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13.xml" ContentType="application/vnd.openxmlformats-officedocument.drawing+xml"/>
  <Override PartName="/xl/drawings/drawing16.xml" ContentType="application/vnd.openxmlformats-officedocument.drawing+xml"/>
  <Override PartName="/xl/drawings/drawing19.xml" ContentType="application/vnd.openxmlformats-officedocument.drawing+xml"/>
  <Override PartName="/xl/drawings/drawing18.xml" ContentType="application/vnd.openxmlformats-officedocument.drawing+xml"/>
  <Override PartName="/xl/drawings/drawing17.xml" ContentType="application/vnd.openxmlformats-officedocument.drawing+xml"/>
  <Override PartName="/xl/drawings/drawing12.xml" ContentType="application/vnd.openxmlformats-officedocument.drawing+xml"/>
  <Override PartName="/xl/drawings/drawing11.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xl/drawings/drawing10.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5.xml" ContentType="application/vnd.openxmlformats-officedocument.drawing+xml"/>
  <Override PartName="/xl/drawings/drawing9.xml" ContentType="application/vnd.openxmlformats-officedocument.drawing+xml"/>
  <Override PartName="/xl/drawings/drawing1.xml" ContentType="application/vnd.openxmlformats-officedocument.drawing+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27.xml" ContentType="application/vnd.openxmlformats-officedocument.spreadsheetml.worksheet+xml"/>
  <Override PartName="/xl/worksheets/sheet18.xml" ContentType="application/vnd.openxmlformats-officedocument.spreadsheetml.worksheet+xml"/>
  <Override PartName="/xl/drawings/drawing2.xml" ContentType="application/vnd.openxmlformats-officedocument.drawing+xml"/>
  <Override PartName="/xl/worksheets/sheet1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drawings/drawing4.xml" ContentType="application/vnd.openxmlformats-officedocument.drawing+xml"/>
  <Override PartName="/xl/worksheets/sheet10.xml" ContentType="application/vnd.openxmlformats-officedocument.spreadsheetml.worksheet+xml"/>
  <Override PartName="/xl/drawings/drawing3.xml" ContentType="application/vnd.openxmlformats-officedocument.drawing+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comments2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comments1.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Override PartName="/xl/comments7.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6.xml" ContentType="application/vnd.openxmlformats-officedocument.spreadsheetml.comments+xml"/>
  <Override PartName="/xl/comments10.xml" ContentType="application/vnd.openxmlformats-officedocument.spreadsheetml.comments+xml"/>
  <Override PartName="/xl/comments8.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9.xml" ContentType="application/vnd.openxmlformats-officedocument.spreadsheetml.comments+xml"/>
  <Override PartName="/xl/comments9.xml" ContentType="application/vnd.openxmlformats-officedocument.spreadsheetml.comments+xml"/>
  <Override PartName="/xl/comments3.xml" ContentType="application/vnd.openxmlformats-officedocument.spreadsheetml.comments+xml"/>
  <Override PartName="/xl/comments20.xml" ContentType="application/vnd.openxmlformats-officedocument.spreadsheetml.comments+xml"/>
  <Override PartName="/xl/comments4.xml" ContentType="application/vnd.openxmlformats-officedocument.spreadsheetml.comments+xml"/>
  <Override PartName="/xl/comments18.xml" ContentType="application/vnd.openxmlformats-officedocument.spreadsheetml.comments+xml"/>
  <Override PartName="/xl/comments5.xml" ContentType="application/vnd.openxmlformats-officedocument.spreadsheetml.comments+xml"/>
  <Override PartName="/xl/comments17.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6380" windowHeight="8190" tabRatio="921" firstSheet="5" activeTab="13"/>
  </bookViews>
  <sheets>
    <sheet name="CAN DOI_60_342 BTC" sheetId="31" state="hidden" r:id="rId1"/>
    <sheet name="CAN DOI_60_342" sheetId="1" state="hidden" r:id="rId2"/>
    <sheet name="CAN DOI 49_ND31" sheetId="3" state="hidden" r:id="rId3"/>
    <sheet name="TH THU_61_342_50_31" sheetId="4" state="hidden" r:id="rId4"/>
    <sheet name="TH CHI_62_342_BTC" sheetId="29" state="hidden" r:id="rId5"/>
    <sheet name="BIEU 62_CK_NSNN" sheetId="2" r:id="rId6"/>
    <sheet name="BIEU_63_CK NSNN" sheetId="40" r:id="rId7"/>
    <sheet name="CAN DOI 48_ND31_BC" sheetId="42" state="hidden" r:id="rId8"/>
    <sheet name="TH THU_50_ND31_BC" sheetId="35" state="hidden" r:id="rId9"/>
    <sheet name="BIEU 64  CK NSNN" sheetId="39" r:id="rId10"/>
    <sheet name="BIEU 65 CK NSNN" sheetId="38" r:id="rId11"/>
    <sheet name="BIEU 66_CK NSNN" sheetId="23" r:id="rId12"/>
    <sheet name="BIEU 67 CK NSNN" sheetId="9" r:id="rId13"/>
    <sheet name="BIEU 68 CK NSNN" sheetId="22" r:id="rId14"/>
    <sheet name="TH CHI 51 ND31" sheetId="36" state="hidden" r:id="rId15"/>
    <sheet name="TH CHI 53 ND31 BC" sheetId="41" state="hidden" r:id="rId16"/>
    <sheet name="TRA NO VAY" sheetId="30" state="hidden" r:id="rId17"/>
    <sheet name="CHI HUYEN 58_31" sheetId="7" state="hidden" r:id="rId18"/>
    <sheet name="DAU TU" sheetId="33" state="hidden" r:id="rId19"/>
    <sheet name="TH CHI_62_342_51_52_53_31" sheetId="5" state="hidden" r:id="rId20"/>
    <sheet name="TM DP, TT 68_342" sheetId="11" state="hidden" r:id="rId21"/>
    <sheet name="TM THIEN TAI 67_342" sheetId="15" state="hidden" r:id="rId22"/>
    <sheet name="TM QLHC 66_342" sheetId="16" state="hidden" r:id="rId23"/>
    <sheet name="KIEM TOAN 69_342" sheetId="34" state="hidden" r:id="rId24"/>
    <sheet name="CHUYEN NGUON 70_342" sheetId="27" state="hidden" r:id="rId25"/>
    <sheet name="MAU 59_342" sheetId="32" state="hidden" r:id="rId26"/>
    <sheet name="MAU 58_342" sheetId="24" state="hidden" r:id="rId27"/>
  </sheets>
  <definedNames>
    <definedName name="___xlnm._FilterDatabase" localSheetId="9">#REF!</definedName>
    <definedName name="___xlnm._FilterDatabase" localSheetId="10">#REF!</definedName>
    <definedName name="___xlnm._FilterDatabase" localSheetId="6">#REF!</definedName>
    <definedName name="___xlnm._FilterDatabase" localSheetId="7">#REF!</definedName>
    <definedName name="___xlnm._FilterDatabase" localSheetId="0">#REF!</definedName>
    <definedName name="___xlnm._FilterDatabase" localSheetId="14">#REF!</definedName>
    <definedName name="___xlnm._FilterDatabase" localSheetId="15">#REF!</definedName>
    <definedName name="___xlnm._FilterDatabase" localSheetId="4">#REF!</definedName>
    <definedName name="___xlnm._FilterDatabase" localSheetId="8">#REF!</definedName>
    <definedName name="___xlnm._FilterDatabase">#REF!</definedName>
    <definedName name="__xlnm.Print_Area" localSheetId="5">'BIEU 62_CK_NSNN'!$A$1:$G$59</definedName>
    <definedName name="__xlnm.Print_Area" localSheetId="9">'BIEU 64  CK NSNN'!$A$8:$R$94</definedName>
    <definedName name="__xlnm.Print_Area" localSheetId="10">'BIEU 65 CK NSNN'!$A$1:$Q$67</definedName>
    <definedName name="__xlnm.Print_Area" localSheetId="6">'BIEU_63_CK NSNN'!$A$1:$L$135</definedName>
    <definedName name="__xlnm.Print_Area" localSheetId="7">'CAN DOI 48_ND31_BC'!$A$1:$G$59</definedName>
    <definedName name="__xlnm.Print_Area" localSheetId="2">'CAN DOI 49_ND31'!$A$1:$E$51</definedName>
    <definedName name="__xlnm.Print_Area" localSheetId="1">'CAN DOI_60_342'!$A$1:$L$31</definedName>
    <definedName name="__xlnm.Print_Area" localSheetId="0">'CAN DOI_60_342 BTC'!$A$1:$L$31</definedName>
    <definedName name="__xlnm.Print_Area" localSheetId="17">'CHI HUYEN 58_31'!$A$8:$U$26</definedName>
    <definedName name="__xlnm.Print_Area" localSheetId="14">'TH CHI 51 ND31'!$A$1:$P$122</definedName>
    <definedName name="__xlnm.Print_Area" localSheetId="15">'TH CHI 53 ND31 BC'!$A$1:$R$92</definedName>
    <definedName name="__xlnm.Print_Area" localSheetId="19">'TH CHI_62_342_51_52_53_31'!$A$1:$P$112</definedName>
    <definedName name="__xlnm.Print_Area" localSheetId="4">'TH CHI_62_342_BTC'!$A$1:$P$112</definedName>
    <definedName name="__xlnm.Print_Area" localSheetId="8">'TH THU_50_ND31_BC'!$A$1:$L$137</definedName>
    <definedName name="__xlnm.Print_Area" localSheetId="3">'TH THU_61_342_50_31'!$A$1:$J$133</definedName>
    <definedName name="__xlnm.Print_Area" localSheetId="20">'TM DP, TT 68_342'!$A$1:$F$29</definedName>
    <definedName name="__xlnm.Print_Area" localSheetId="22">'TM QLHC 66_342'!$B$1:$J$25</definedName>
    <definedName name="__xlnm.Print_Area" localSheetId="21">'TM THIEN TAI 67_342'!$A$1:$F$22</definedName>
    <definedName name="__xlnm.Print_Titles" localSheetId="5">'BIEU 62_CK_NSNN'!$11:$14</definedName>
    <definedName name="__xlnm.Print_Titles" localSheetId="9">'BIEU 64  CK NSNN'!$8:$10</definedName>
    <definedName name="__xlnm.Print_Titles" localSheetId="10">'BIEU 65 CK NSNN'!$8:$10</definedName>
    <definedName name="__xlnm.Print_Titles" localSheetId="6">'BIEU_63_CK NSNN'!$5:$8</definedName>
    <definedName name="__xlnm.Print_Titles" localSheetId="7">'CAN DOI 48_ND31_BC'!$11:$14</definedName>
    <definedName name="__xlnm.Print_Titles" localSheetId="2">'CAN DOI 49_ND31'!$5:$6</definedName>
    <definedName name="__xlnm.Print_Titles" localSheetId="14">'TH CHI 51 ND31'!$8:$9</definedName>
    <definedName name="__xlnm.Print_Titles" localSheetId="15">'TH CHI 53 ND31 BC'!$5:$8</definedName>
    <definedName name="__xlnm.Print_Titles" localSheetId="19">'TH CHI_62_342_51_52_53_31'!$4:$7</definedName>
    <definedName name="__xlnm.Print_Titles" localSheetId="4">'TH CHI_62_342_BTC'!$4:$7</definedName>
    <definedName name="__xlnm.Print_Titles" localSheetId="8">'TH THU_50_ND31_BC'!$8:$10</definedName>
    <definedName name="__xlnm.Print_Titles" localSheetId="3">'TH THU_61_342_50_31'!$4:$7</definedName>
    <definedName name="_1">#N/A</definedName>
    <definedName name="_1000A01">#N/A</definedName>
    <definedName name="_2">#N/A</definedName>
    <definedName name="_40x4">5100</definedName>
    <definedName name="_boi1" localSheetId="9">#REF!</definedName>
    <definedName name="_boi1" localSheetId="10">#REF!</definedName>
    <definedName name="_boi1" localSheetId="6">#REF!</definedName>
    <definedName name="_boi1" localSheetId="7">#REF!</definedName>
    <definedName name="_boi1" localSheetId="14">#REF!</definedName>
    <definedName name="_boi1" localSheetId="15">#REF!</definedName>
    <definedName name="_boi1" localSheetId="8">#REF!</definedName>
    <definedName name="_boi1">#REF!</definedName>
    <definedName name="_boi2" localSheetId="9">#REF!</definedName>
    <definedName name="_boi2" localSheetId="10">#REF!</definedName>
    <definedName name="_boi2" localSheetId="6">#REF!</definedName>
    <definedName name="_boi2" localSheetId="7">#REF!</definedName>
    <definedName name="_boi2" localSheetId="14">#REF!</definedName>
    <definedName name="_boi2" localSheetId="15">#REF!</definedName>
    <definedName name="_boi2" localSheetId="8">#REF!</definedName>
    <definedName name="_boi2">#REF!</definedName>
    <definedName name="_boi3" localSheetId="9">#REF!</definedName>
    <definedName name="_boi3" localSheetId="10">#REF!</definedName>
    <definedName name="_boi3" localSheetId="6">#REF!</definedName>
    <definedName name="_boi3" localSheetId="7">#REF!</definedName>
    <definedName name="_boi3" localSheetId="14">#REF!</definedName>
    <definedName name="_boi3" localSheetId="15">#REF!</definedName>
    <definedName name="_boi3" localSheetId="8">#REF!</definedName>
    <definedName name="_boi3">#REF!</definedName>
    <definedName name="_boi4" localSheetId="9">#REF!</definedName>
    <definedName name="_boi4" localSheetId="10">#REF!</definedName>
    <definedName name="_boi4" localSheetId="6">#REF!</definedName>
    <definedName name="_boi4" localSheetId="7">#REF!</definedName>
    <definedName name="_boi4" localSheetId="14">#REF!</definedName>
    <definedName name="_boi4" localSheetId="15">#REF!</definedName>
    <definedName name="_boi4" localSheetId="8">#REF!</definedName>
    <definedName name="_boi4">#REF!</definedName>
    <definedName name="_btm10" localSheetId="9">#REF!</definedName>
    <definedName name="_btm10" localSheetId="10">#REF!</definedName>
    <definedName name="_btm10" localSheetId="6">#REF!</definedName>
    <definedName name="_btm10" localSheetId="7">#REF!</definedName>
    <definedName name="_btm10" localSheetId="14">#REF!</definedName>
    <definedName name="_btm10" localSheetId="15">#REF!</definedName>
    <definedName name="_btm10" localSheetId="8">#REF!</definedName>
    <definedName name="_btm10">#REF!</definedName>
    <definedName name="_btm100" localSheetId="9">#REF!</definedName>
    <definedName name="_btm100" localSheetId="10">#REF!</definedName>
    <definedName name="_btm100" localSheetId="6">#REF!</definedName>
    <definedName name="_btm100" localSheetId="7">#REF!</definedName>
    <definedName name="_btm100" localSheetId="14">#REF!</definedName>
    <definedName name="_btm100" localSheetId="15">#REF!</definedName>
    <definedName name="_btm100" localSheetId="8">#REF!</definedName>
    <definedName name="_btm100">#REF!</definedName>
    <definedName name="_BTM250" localSheetId="9">#REF!</definedName>
    <definedName name="_BTM250" localSheetId="10">#REF!</definedName>
    <definedName name="_BTM250" localSheetId="6">#REF!</definedName>
    <definedName name="_BTM250" localSheetId="7">#REF!</definedName>
    <definedName name="_BTM250" localSheetId="14">#REF!</definedName>
    <definedName name="_BTM250" localSheetId="15">#REF!</definedName>
    <definedName name="_BTM250" localSheetId="8">#REF!</definedName>
    <definedName name="_BTM250">#REF!</definedName>
    <definedName name="_btM300" localSheetId="9">#REF!</definedName>
    <definedName name="_btM300" localSheetId="10">#REF!</definedName>
    <definedName name="_btM300" localSheetId="6">#REF!</definedName>
    <definedName name="_btM300" localSheetId="7">#REF!</definedName>
    <definedName name="_btM300" localSheetId="14">#REF!</definedName>
    <definedName name="_btM300" localSheetId="15">#REF!</definedName>
    <definedName name="_btM300" localSheetId="8">#REF!</definedName>
    <definedName name="_btM300">#REF!</definedName>
    <definedName name="_cao1" localSheetId="9">#REF!</definedName>
    <definedName name="_cao1" localSheetId="10">#REF!</definedName>
    <definedName name="_cao1" localSheetId="6">#REF!</definedName>
    <definedName name="_cao1" localSheetId="7">#REF!</definedName>
    <definedName name="_cao1" localSheetId="14">#REF!</definedName>
    <definedName name="_cao1" localSheetId="15">#REF!</definedName>
    <definedName name="_cao1" localSheetId="8">#REF!</definedName>
    <definedName name="_cao1">#REF!</definedName>
    <definedName name="_cao2" localSheetId="9">#REF!</definedName>
    <definedName name="_cao2" localSheetId="10">#REF!</definedName>
    <definedName name="_cao2" localSheetId="6">#REF!</definedName>
    <definedName name="_cao2" localSheetId="7">#REF!</definedName>
    <definedName name="_cao2" localSheetId="14">#REF!</definedName>
    <definedName name="_cao2" localSheetId="15">#REF!</definedName>
    <definedName name="_cao2" localSheetId="8">#REF!</definedName>
    <definedName name="_cao2">#REF!</definedName>
    <definedName name="_cao3" localSheetId="9">#REF!</definedName>
    <definedName name="_cao3" localSheetId="10">#REF!</definedName>
    <definedName name="_cao3" localSheetId="6">#REF!</definedName>
    <definedName name="_cao3" localSheetId="7">#REF!</definedName>
    <definedName name="_cao3" localSheetId="14">#REF!</definedName>
    <definedName name="_cao3" localSheetId="15">#REF!</definedName>
    <definedName name="_cao3" localSheetId="8">#REF!</definedName>
    <definedName name="_cao3">#REF!</definedName>
    <definedName name="_cao4" localSheetId="9">#REF!</definedName>
    <definedName name="_cao4" localSheetId="10">#REF!</definedName>
    <definedName name="_cao4" localSheetId="6">#REF!</definedName>
    <definedName name="_cao4" localSheetId="7">#REF!</definedName>
    <definedName name="_cao4" localSheetId="14">#REF!</definedName>
    <definedName name="_cao4" localSheetId="15">#REF!</definedName>
    <definedName name="_cao4" localSheetId="8">#REF!</definedName>
    <definedName name="_cao4">#REF!</definedName>
    <definedName name="_cao5" localSheetId="9">#REF!</definedName>
    <definedName name="_cao5" localSheetId="10">#REF!</definedName>
    <definedName name="_cao5" localSheetId="6">#REF!</definedName>
    <definedName name="_cao5" localSheetId="7">#REF!</definedName>
    <definedName name="_cao5" localSheetId="14">#REF!</definedName>
    <definedName name="_cao5" localSheetId="15">#REF!</definedName>
    <definedName name="_cao5" localSheetId="8">#REF!</definedName>
    <definedName name="_cao5">#REF!</definedName>
    <definedName name="_cao6" localSheetId="9">#REF!</definedName>
    <definedName name="_cao6" localSheetId="10">#REF!</definedName>
    <definedName name="_cao6" localSheetId="6">#REF!</definedName>
    <definedName name="_cao6" localSheetId="7">#REF!</definedName>
    <definedName name="_cao6" localSheetId="14">#REF!</definedName>
    <definedName name="_cao6" localSheetId="15">#REF!</definedName>
    <definedName name="_cao6" localSheetId="8">#REF!</definedName>
    <definedName name="_cao6">#REF!</definedName>
    <definedName name="_CON1" localSheetId="9">#REF!</definedName>
    <definedName name="_CON1" localSheetId="10">#REF!</definedName>
    <definedName name="_CON1" localSheetId="6">#REF!</definedName>
    <definedName name="_CON1" localSheetId="7">#REF!</definedName>
    <definedName name="_CON1" localSheetId="14">#REF!</definedName>
    <definedName name="_CON1" localSheetId="15">#REF!</definedName>
    <definedName name="_CON1" localSheetId="8">#REF!</definedName>
    <definedName name="_CON1">#REF!</definedName>
    <definedName name="_CON2" localSheetId="9">#REF!</definedName>
    <definedName name="_CON2" localSheetId="10">#REF!</definedName>
    <definedName name="_CON2" localSheetId="6">#REF!</definedName>
    <definedName name="_CON2" localSheetId="7">#REF!</definedName>
    <definedName name="_CON2" localSheetId="14">#REF!</definedName>
    <definedName name="_CON2" localSheetId="15">#REF!</definedName>
    <definedName name="_CON2" localSheetId="8">#REF!</definedName>
    <definedName name="_CON2">#REF!</definedName>
    <definedName name="_dai1" localSheetId="9">#REF!</definedName>
    <definedName name="_dai1" localSheetId="10">#REF!</definedName>
    <definedName name="_dai1" localSheetId="6">#REF!</definedName>
    <definedName name="_dai1" localSheetId="7">#REF!</definedName>
    <definedName name="_dai1" localSheetId="14">#REF!</definedName>
    <definedName name="_dai1" localSheetId="15">#REF!</definedName>
    <definedName name="_dai1" localSheetId="8">#REF!</definedName>
    <definedName name="_dai1">#REF!</definedName>
    <definedName name="_dai2" localSheetId="9">#REF!</definedName>
    <definedName name="_dai2" localSheetId="10">#REF!</definedName>
    <definedName name="_dai2" localSheetId="6">#REF!</definedName>
    <definedName name="_dai2" localSheetId="7">#REF!</definedName>
    <definedName name="_dai2" localSheetId="14">#REF!</definedName>
    <definedName name="_dai2" localSheetId="15">#REF!</definedName>
    <definedName name="_dai2" localSheetId="8">#REF!</definedName>
    <definedName name="_dai2">#REF!</definedName>
    <definedName name="_dai3" localSheetId="9">#REF!</definedName>
    <definedName name="_dai3" localSheetId="10">#REF!</definedName>
    <definedName name="_dai3" localSheetId="6">#REF!</definedName>
    <definedName name="_dai3" localSheetId="7">#REF!</definedName>
    <definedName name="_dai3" localSheetId="14">#REF!</definedName>
    <definedName name="_dai3" localSheetId="15">#REF!</definedName>
    <definedName name="_dai3" localSheetId="8">#REF!</definedName>
    <definedName name="_dai3">#REF!</definedName>
    <definedName name="_dai4" localSheetId="9">#REF!</definedName>
    <definedName name="_dai4" localSheetId="10">#REF!</definedName>
    <definedName name="_dai4" localSheetId="6">#REF!</definedName>
    <definedName name="_dai4" localSheetId="7">#REF!</definedName>
    <definedName name="_dai4" localSheetId="14">#REF!</definedName>
    <definedName name="_dai4" localSheetId="15">#REF!</definedName>
    <definedName name="_dai4" localSheetId="8">#REF!</definedName>
    <definedName name="_dai4">#REF!</definedName>
    <definedName name="_dai5" localSheetId="9">#REF!</definedName>
    <definedName name="_dai5" localSheetId="10">#REF!</definedName>
    <definedName name="_dai5" localSheetId="6">#REF!</definedName>
    <definedName name="_dai5" localSheetId="7">#REF!</definedName>
    <definedName name="_dai5" localSheetId="14">#REF!</definedName>
    <definedName name="_dai5" localSheetId="15">#REF!</definedName>
    <definedName name="_dai5" localSheetId="8">#REF!</definedName>
    <definedName name="_dai5">#REF!</definedName>
    <definedName name="_dai6" localSheetId="9">#REF!</definedName>
    <definedName name="_dai6" localSheetId="10">#REF!</definedName>
    <definedName name="_dai6" localSheetId="6">#REF!</definedName>
    <definedName name="_dai6" localSheetId="7">#REF!</definedName>
    <definedName name="_dai6" localSheetId="14">#REF!</definedName>
    <definedName name="_dai6" localSheetId="15">#REF!</definedName>
    <definedName name="_dai6" localSheetId="8">#REF!</definedName>
    <definedName name="_dai6">#REF!</definedName>
    <definedName name="_dan1" localSheetId="9">#REF!</definedName>
    <definedName name="_dan1" localSheetId="10">#REF!</definedName>
    <definedName name="_dan1" localSheetId="6">#REF!</definedName>
    <definedName name="_dan1" localSheetId="7">#REF!</definedName>
    <definedName name="_dan1" localSheetId="14">#REF!</definedName>
    <definedName name="_dan1" localSheetId="15">#REF!</definedName>
    <definedName name="_dan1" localSheetId="8">#REF!</definedName>
    <definedName name="_dan1">#REF!</definedName>
    <definedName name="_dan2" localSheetId="9">#REF!</definedName>
    <definedName name="_dan2" localSheetId="10">#REF!</definedName>
    <definedName name="_dan2" localSheetId="6">#REF!</definedName>
    <definedName name="_dan2" localSheetId="7">#REF!</definedName>
    <definedName name="_dan2" localSheetId="14">#REF!</definedName>
    <definedName name="_dan2" localSheetId="15">#REF!</definedName>
    <definedName name="_dan2" localSheetId="8">#REF!</definedName>
    <definedName name="_dan2">#REF!</definedName>
    <definedName name="_dao1" localSheetId="9">#REF!</definedName>
    <definedName name="_dao1" localSheetId="10">#REF!</definedName>
    <definedName name="_dao1" localSheetId="6">#REF!</definedName>
    <definedName name="_dao1" localSheetId="7">#REF!</definedName>
    <definedName name="_dao1" localSheetId="14">#REF!</definedName>
    <definedName name="_dao1" localSheetId="15">#REF!</definedName>
    <definedName name="_dao1" localSheetId="8">#REF!</definedName>
    <definedName name="_dao1">#REF!</definedName>
    <definedName name="_dbu1" localSheetId="9">#REF!</definedName>
    <definedName name="_dbu1" localSheetId="10">#REF!</definedName>
    <definedName name="_dbu1" localSheetId="6">#REF!</definedName>
    <definedName name="_dbu1" localSheetId="7">#REF!</definedName>
    <definedName name="_dbu1" localSheetId="14">#REF!</definedName>
    <definedName name="_dbu1" localSheetId="15">#REF!</definedName>
    <definedName name="_dbu1" localSheetId="8">#REF!</definedName>
    <definedName name="_dbu1">#REF!</definedName>
    <definedName name="_dbu2" localSheetId="9">#REF!</definedName>
    <definedName name="_dbu2" localSheetId="10">#REF!</definedName>
    <definedName name="_dbu2" localSheetId="6">#REF!</definedName>
    <definedName name="_dbu2" localSheetId="7">#REF!</definedName>
    <definedName name="_dbu2" localSheetId="14">#REF!</definedName>
    <definedName name="_dbu2" localSheetId="15">#REF!</definedName>
    <definedName name="_dbu2" localSheetId="8">#REF!</definedName>
    <definedName name="_dbu2">#REF!</definedName>
    <definedName name="_ddn400" localSheetId="9">#REF!</definedName>
    <definedName name="_ddn400" localSheetId="10">#REF!</definedName>
    <definedName name="_ddn400" localSheetId="6">#REF!</definedName>
    <definedName name="_ddn400" localSheetId="7">#REF!</definedName>
    <definedName name="_ddn400" localSheetId="14">#REF!</definedName>
    <definedName name="_ddn400" localSheetId="15">#REF!</definedName>
    <definedName name="_ddn400" localSheetId="8">#REF!</definedName>
    <definedName name="_ddn400">#REF!</definedName>
    <definedName name="_ddn600" localSheetId="9">#REF!</definedName>
    <definedName name="_ddn600" localSheetId="10">#REF!</definedName>
    <definedName name="_ddn600" localSheetId="6">#REF!</definedName>
    <definedName name="_ddn600" localSheetId="7">#REF!</definedName>
    <definedName name="_ddn600" localSheetId="14">#REF!</definedName>
    <definedName name="_ddn600" localSheetId="15">#REF!</definedName>
    <definedName name="_ddn600" localSheetId="8">#REF!</definedName>
    <definedName name="_ddn600">#REF!</definedName>
    <definedName name="_Fill" localSheetId="9" hidden="1">#REF!</definedName>
    <definedName name="_Fill" localSheetId="10" hidden="1">#REF!</definedName>
    <definedName name="_Fill" localSheetId="6" hidden="1">#REF!</definedName>
    <definedName name="_Fill" localSheetId="7" hidden="1">#REF!</definedName>
    <definedName name="_Fill" localSheetId="14" hidden="1">#REF!</definedName>
    <definedName name="_Fill" localSheetId="15" hidden="1">#REF!</definedName>
    <definedName name="_Fill" localSheetId="8" hidden="1">#REF!</definedName>
    <definedName name="_Fill" hidden="1">#REF!</definedName>
    <definedName name="_xlnm._FilterDatabase" localSheetId="18" hidden="1">'DAU TU'!$A$9:$X$939</definedName>
    <definedName name="_xlnm._FilterDatabase" localSheetId="25" hidden="1">'MAU 59_342'!$A$12:$Y$984</definedName>
    <definedName name="_gon4" localSheetId="9">#REF!</definedName>
    <definedName name="_gon4" localSheetId="10">#REF!</definedName>
    <definedName name="_gon4" localSheetId="6">#REF!</definedName>
    <definedName name="_gon4" localSheetId="7">#REF!</definedName>
    <definedName name="_gon4" localSheetId="14">#REF!</definedName>
    <definedName name="_gon4" localSheetId="15">#REF!</definedName>
    <definedName name="_gon4" localSheetId="8">#REF!</definedName>
    <definedName name="_gon4">#REF!</definedName>
    <definedName name="_hom2" localSheetId="9">#REF!</definedName>
    <definedName name="_hom2" localSheetId="10">#REF!</definedName>
    <definedName name="_hom2" localSheetId="6">#REF!</definedName>
    <definedName name="_hom2" localSheetId="7">#REF!</definedName>
    <definedName name="_hom2" localSheetId="14">#REF!</definedName>
    <definedName name="_hom2" localSheetId="15">#REF!</definedName>
    <definedName name="_hom2" localSheetId="8">#REF!</definedName>
    <definedName name="_hom2">#REF!</definedName>
    <definedName name="_Key1" localSheetId="9" hidden="1">#REF!</definedName>
    <definedName name="_Key1" localSheetId="10" hidden="1">#REF!</definedName>
    <definedName name="_Key1" localSheetId="6" hidden="1">#REF!</definedName>
    <definedName name="_Key1" localSheetId="7" hidden="1">#REF!</definedName>
    <definedName name="_Key1" localSheetId="14" hidden="1">#REF!</definedName>
    <definedName name="_Key1" localSheetId="15" hidden="1">#REF!</definedName>
    <definedName name="_Key1" localSheetId="8" hidden="1">#REF!</definedName>
    <definedName name="_Key1" hidden="1">#REF!</definedName>
    <definedName name="_Key2" localSheetId="9" hidden="1">#REF!</definedName>
    <definedName name="_Key2" localSheetId="10" hidden="1">#REF!</definedName>
    <definedName name="_Key2" localSheetId="6" hidden="1">#REF!</definedName>
    <definedName name="_Key2" localSheetId="7" hidden="1">#REF!</definedName>
    <definedName name="_Key2" localSheetId="14" hidden="1">#REF!</definedName>
    <definedName name="_Key2" localSheetId="15" hidden="1">#REF!</definedName>
    <definedName name="_Key2" localSheetId="8" hidden="1">#REF!</definedName>
    <definedName name="_Key2" hidden="1">#REF!</definedName>
    <definedName name="_KM188" localSheetId="9">#REF!</definedName>
    <definedName name="_KM188" localSheetId="10">#REF!</definedName>
    <definedName name="_KM188" localSheetId="6">#REF!</definedName>
    <definedName name="_KM188" localSheetId="7">#REF!</definedName>
    <definedName name="_KM188" localSheetId="14">#REF!</definedName>
    <definedName name="_KM188" localSheetId="15">#REF!</definedName>
    <definedName name="_KM188" localSheetId="8">#REF!</definedName>
    <definedName name="_KM188">#REF!</definedName>
    <definedName name="_km189" localSheetId="9">#REF!</definedName>
    <definedName name="_km189" localSheetId="10">#REF!</definedName>
    <definedName name="_km189" localSheetId="6">#REF!</definedName>
    <definedName name="_km189" localSheetId="7">#REF!</definedName>
    <definedName name="_km189" localSheetId="14">#REF!</definedName>
    <definedName name="_km189" localSheetId="15">#REF!</definedName>
    <definedName name="_km189" localSheetId="8">#REF!</definedName>
    <definedName name="_km189">#REF!</definedName>
    <definedName name="_km190" localSheetId="9">#REF!</definedName>
    <definedName name="_km190" localSheetId="10">#REF!</definedName>
    <definedName name="_km190" localSheetId="6">#REF!</definedName>
    <definedName name="_km190" localSheetId="7">#REF!</definedName>
    <definedName name="_km190" localSheetId="14">#REF!</definedName>
    <definedName name="_km190" localSheetId="15">#REF!</definedName>
    <definedName name="_km190" localSheetId="8">#REF!</definedName>
    <definedName name="_km190">#REF!</definedName>
    <definedName name="_km191" localSheetId="9">#REF!</definedName>
    <definedName name="_km191" localSheetId="10">#REF!</definedName>
    <definedName name="_km191" localSheetId="6">#REF!</definedName>
    <definedName name="_km191" localSheetId="7">#REF!</definedName>
    <definedName name="_km191" localSheetId="14">#REF!</definedName>
    <definedName name="_km191" localSheetId="15">#REF!</definedName>
    <definedName name="_km191" localSheetId="8">#REF!</definedName>
    <definedName name="_km191">#REF!</definedName>
    <definedName name="_km192" localSheetId="9">#REF!</definedName>
    <definedName name="_km192" localSheetId="10">#REF!</definedName>
    <definedName name="_km192" localSheetId="6">#REF!</definedName>
    <definedName name="_km192" localSheetId="7">#REF!</definedName>
    <definedName name="_km192" localSheetId="14">#REF!</definedName>
    <definedName name="_km192" localSheetId="15">#REF!</definedName>
    <definedName name="_km192" localSheetId="8">#REF!</definedName>
    <definedName name="_km192">#REF!</definedName>
    <definedName name="_km193" localSheetId="9">#REF!</definedName>
    <definedName name="_km193" localSheetId="10">#REF!</definedName>
    <definedName name="_km193" localSheetId="6">#REF!</definedName>
    <definedName name="_km193" localSheetId="7">#REF!</definedName>
    <definedName name="_km193" localSheetId="14">#REF!</definedName>
    <definedName name="_km193" localSheetId="15">#REF!</definedName>
    <definedName name="_km193" localSheetId="8">#REF!</definedName>
    <definedName name="_km193">#REF!</definedName>
    <definedName name="_km194" localSheetId="9">#REF!</definedName>
    <definedName name="_km194" localSheetId="10">#REF!</definedName>
    <definedName name="_km194" localSheetId="6">#REF!</definedName>
    <definedName name="_km194" localSheetId="7">#REF!</definedName>
    <definedName name="_km194" localSheetId="14">#REF!</definedName>
    <definedName name="_km194" localSheetId="15">#REF!</definedName>
    <definedName name="_km194" localSheetId="8">#REF!</definedName>
    <definedName name="_km194">#REF!</definedName>
    <definedName name="_km195" localSheetId="9">#REF!</definedName>
    <definedName name="_km195" localSheetId="10">#REF!</definedName>
    <definedName name="_km195" localSheetId="6">#REF!</definedName>
    <definedName name="_km195" localSheetId="7">#REF!</definedName>
    <definedName name="_km195" localSheetId="14">#REF!</definedName>
    <definedName name="_km195" localSheetId="15">#REF!</definedName>
    <definedName name="_km195" localSheetId="8">#REF!</definedName>
    <definedName name="_km195">#REF!</definedName>
    <definedName name="_km196" localSheetId="9">#REF!</definedName>
    <definedName name="_km196" localSheetId="10">#REF!</definedName>
    <definedName name="_km196" localSheetId="6">#REF!</definedName>
    <definedName name="_km196" localSheetId="7">#REF!</definedName>
    <definedName name="_km196" localSheetId="14">#REF!</definedName>
    <definedName name="_km196" localSheetId="15">#REF!</definedName>
    <definedName name="_km196" localSheetId="8">#REF!</definedName>
    <definedName name="_km196">#REF!</definedName>
    <definedName name="_km197" localSheetId="9">#REF!</definedName>
    <definedName name="_km197" localSheetId="10">#REF!</definedName>
    <definedName name="_km197" localSheetId="6">#REF!</definedName>
    <definedName name="_km197" localSheetId="7">#REF!</definedName>
    <definedName name="_km197" localSheetId="14">#REF!</definedName>
    <definedName name="_km197" localSheetId="15">#REF!</definedName>
    <definedName name="_km197" localSheetId="8">#REF!</definedName>
    <definedName name="_km197">#REF!</definedName>
    <definedName name="_km198" localSheetId="9">#REF!</definedName>
    <definedName name="_km198" localSheetId="10">#REF!</definedName>
    <definedName name="_km198" localSheetId="6">#REF!</definedName>
    <definedName name="_km198" localSheetId="7">#REF!</definedName>
    <definedName name="_km198" localSheetId="14">#REF!</definedName>
    <definedName name="_km198" localSheetId="15">#REF!</definedName>
    <definedName name="_km198" localSheetId="8">#REF!</definedName>
    <definedName name="_km198">#REF!</definedName>
    <definedName name="_lap1" localSheetId="9">#REF!</definedName>
    <definedName name="_lap1" localSheetId="10">#REF!</definedName>
    <definedName name="_lap1" localSheetId="6">#REF!</definedName>
    <definedName name="_lap1" localSheetId="7">#REF!</definedName>
    <definedName name="_lap1" localSheetId="14">#REF!</definedName>
    <definedName name="_lap1" localSheetId="15">#REF!</definedName>
    <definedName name="_lap1" localSheetId="8">#REF!</definedName>
    <definedName name="_lap1">#REF!</definedName>
    <definedName name="_lap2" localSheetId="9">#REF!</definedName>
    <definedName name="_lap2" localSheetId="10">#REF!</definedName>
    <definedName name="_lap2" localSheetId="6">#REF!</definedName>
    <definedName name="_lap2" localSheetId="7">#REF!</definedName>
    <definedName name="_lap2" localSheetId="14">#REF!</definedName>
    <definedName name="_lap2" localSheetId="15">#REF!</definedName>
    <definedName name="_lap2" localSheetId="8">#REF!</definedName>
    <definedName name="_lap2">#REF!</definedName>
    <definedName name="_MAC12" localSheetId="9">#REF!</definedName>
    <definedName name="_MAC12" localSheetId="10">#REF!</definedName>
    <definedName name="_MAC12" localSheetId="6">#REF!</definedName>
    <definedName name="_MAC12" localSheetId="7">#REF!</definedName>
    <definedName name="_MAC12" localSheetId="14">#REF!</definedName>
    <definedName name="_MAC12" localSheetId="15">#REF!</definedName>
    <definedName name="_MAC12" localSheetId="8">#REF!</definedName>
    <definedName name="_MAC12">#REF!</definedName>
    <definedName name="_MAC46" localSheetId="9">#REF!</definedName>
    <definedName name="_MAC46" localSheetId="10">#REF!</definedName>
    <definedName name="_MAC46" localSheetId="6">#REF!</definedName>
    <definedName name="_MAC46" localSheetId="7">#REF!</definedName>
    <definedName name="_MAC46" localSheetId="14">#REF!</definedName>
    <definedName name="_MAC46" localSheetId="15">#REF!</definedName>
    <definedName name="_MAC46" localSheetId="8">#REF!</definedName>
    <definedName name="_MAC46">#REF!</definedName>
    <definedName name="_NCL100" localSheetId="9">#REF!</definedName>
    <definedName name="_NCL100" localSheetId="10">#REF!</definedName>
    <definedName name="_NCL100" localSheetId="6">#REF!</definedName>
    <definedName name="_NCL100" localSheetId="7">#REF!</definedName>
    <definedName name="_NCL100" localSheetId="14">#REF!</definedName>
    <definedName name="_NCL100" localSheetId="15">#REF!</definedName>
    <definedName name="_NCL100" localSheetId="8">#REF!</definedName>
    <definedName name="_NCL100">#REF!</definedName>
    <definedName name="_NCL200" localSheetId="9">#REF!</definedName>
    <definedName name="_NCL200" localSheetId="10">#REF!</definedName>
    <definedName name="_NCL200" localSheetId="6">#REF!</definedName>
    <definedName name="_NCL200" localSheetId="7">#REF!</definedName>
    <definedName name="_NCL200" localSheetId="14">#REF!</definedName>
    <definedName name="_NCL200" localSheetId="15">#REF!</definedName>
    <definedName name="_NCL200" localSheetId="8">#REF!</definedName>
    <definedName name="_NCL200">#REF!</definedName>
    <definedName name="_NCL250" localSheetId="9">#REF!</definedName>
    <definedName name="_NCL250" localSheetId="10">#REF!</definedName>
    <definedName name="_NCL250" localSheetId="6">#REF!</definedName>
    <definedName name="_NCL250" localSheetId="7">#REF!</definedName>
    <definedName name="_NCL250" localSheetId="14">#REF!</definedName>
    <definedName name="_NCL250" localSheetId="15">#REF!</definedName>
    <definedName name="_NCL250" localSheetId="8">#REF!</definedName>
    <definedName name="_NCL250">#REF!</definedName>
    <definedName name="_NET2" localSheetId="9">#REF!</definedName>
    <definedName name="_NET2" localSheetId="10">#REF!</definedName>
    <definedName name="_NET2" localSheetId="6">#REF!</definedName>
    <definedName name="_NET2" localSheetId="7">#REF!</definedName>
    <definedName name="_NET2" localSheetId="14">#REF!</definedName>
    <definedName name="_NET2" localSheetId="15">#REF!</definedName>
    <definedName name="_NET2" localSheetId="8">#REF!</definedName>
    <definedName name="_NET2">#REF!</definedName>
    <definedName name="_nin190" localSheetId="9">#REF!</definedName>
    <definedName name="_nin190" localSheetId="10">#REF!</definedName>
    <definedName name="_nin190" localSheetId="6">#REF!</definedName>
    <definedName name="_nin190" localSheetId="7">#REF!</definedName>
    <definedName name="_nin190" localSheetId="14">#REF!</definedName>
    <definedName name="_nin190" localSheetId="15">#REF!</definedName>
    <definedName name="_nin190" localSheetId="8">#REF!</definedName>
    <definedName name="_nin190">#REF!</definedName>
    <definedName name="_NSO2" hidden="1">{"'Sheet1'!$L$16"}</definedName>
    <definedName name="_Order1" hidden="1">255</definedName>
    <definedName name="_Order2" hidden="1">255</definedName>
    <definedName name="_phi10" localSheetId="9">#REF!</definedName>
    <definedName name="_phi10" localSheetId="10">#REF!</definedName>
    <definedName name="_phi10" localSheetId="6">#REF!</definedName>
    <definedName name="_phi10" localSheetId="7">#REF!</definedName>
    <definedName name="_phi10" localSheetId="14">#REF!</definedName>
    <definedName name="_phi10" localSheetId="15">#REF!</definedName>
    <definedName name="_phi10" localSheetId="8">#REF!</definedName>
    <definedName name="_phi10">#REF!</definedName>
    <definedName name="_phi12" localSheetId="9">#REF!</definedName>
    <definedName name="_phi12" localSheetId="10">#REF!</definedName>
    <definedName name="_phi12" localSheetId="6">#REF!</definedName>
    <definedName name="_phi12" localSheetId="7">#REF!</definedName>
    <definedName name="_phi12" localSheetId="14">#REF!</definedName>
    <definedName name="_phi12" localSheetId="15">#REF!</definedName>
    <definedName name="_phi12" localSheetId="8">#REF!</definedName>
    <definedName name="_phi12">#REF!</definedName>
    <definedName name="_phi14" localSheetId="9">#REF!</definedName>
    <definedName name="_phi14" localSheetId="10">#REF!</definedName>
    <definedName name="_phi14" localSheetId="6">#REF!</definedName>
    <definedName name="_phi14" localSheetId="7">#REF!</definedName>
    <definedName name="_phi14" localSheetId="14">#REF!</definedName>
    <definedName name="_phi14" localSheetId="15">#REF!</definedName>
    <definedName name="_phi14" localSheetId="8">#REF!</definedName>
    <definedName name="_phi14">#REF!</definedName>
    <definedName name="_phi16" localSheetId="9">#REF!</definedName>
    <definedName name="_phi16" localSheetId="10">#REF!</definedName>
    <definedName name="_phi16" localSheetId="6">#REF!</definedName>
    <definedName name="_phi16" localSheetId="7">#REF!</definedName>
    <definedName name="_phi16" localSheetId="14">#REF!</definedName>
    <definedName name="_phi16" localSheetId="15">#REF!</definedName>
    <definedName name="_phi16" localSheetId="8">#REF!</definedName>
    <definedName name="_phi16">#REF!</definedName>
    <definedName name="_phi18" localSheetId="9">#REF!</definedName>
    <definedName name="_phi18" localSheetId="10">#REF!</definedName>
    <definedName name="_phi18" localSheetId="6">#REF!</definedName>
    <definedName name="_phi18" localSheetId="7">#REF!</definedName>
    <definedName name="_phi18" localSheetId="14">#REF!</definedName>
    <definedName name="_phi18" localSheetId="15">#REF!</definedName>
    <definedName name="_phi18" localSheetId="8">#REF!</definedName>
    <definedName name="_phi18">#REF!</definedName>
    <definedName name="_phi20" localSheetId="9">#REF!</definedName>
    <definedName name="_phi20" localSheetId="10">#REF!</definedName>
    <definedName name="_phi20" localSheetId="6">#REF!</definedName>
    <definedName name="_phi20" localSheetId="7">#REF!</definedName>
    <definedName name="_phi20" localSheetId="14">#REF!</definedName>
    <definedName name="_phi20" localSheetId="15">#REF!</definedName>
    <definedName name="_phi20" localSheetId="8">#REF!</definedName>
    <definedName name="_phi20">#REF!</definedName>
    <definedName name="_phi22" localSheetId="9">#REF!</definedName>
    <definedName name="_phi22" localSheetId="10">#REF!</definedName>
    <definedName name="_phi22" localSheetId="6">#REF!</definedName>
    <definedName name="_phi22" localSheetId="7">#REF!</definedName>
    <definedName name="_phi22" localSheetId="14">#REF!</definedName>
    <definedName name="_phi22" localSheetId="15">#REF!</definedName>
    <definedName name="_phi22" localSheetId="8">#REF!</definedName>
    <definedName name="_phi22">#REF!</definedName>
    <definedName name="_phi25" localSheetId="9">#REF!</definedName>
    <definedName name="_phi25" localSheetId="10">#REF!</definedName>
    <definedName name="_phi25" localSheetId="6">#REF!</definedName>
    <definedName name="_phi25" localSheetId="7">#REF!</definedName>
    <definedName name="_phi25" localSheetId="14">#REF!</definedName>
    <definedName name="_phi25" localSheetId="15">#REF!</definedName>
    <definedName name="_phi25" localSheetId="8">#REF!</definedName>
    <definedName name="_phi25">#REF!</definedName>
    <definedName name="_phi28" localSheetId="9">#REF!</definedName>
    <definedName name="_phi28" localSheetId="10">#REF!</definedName>
    <definedName name="_phi28" localSheetId="6">#REF!</definedName>
    <definedName name="_phi28" localSheetId="7">#REF!</definedName>
    <definedName name="_phi28" localSheetId="14">#REF!</definedName>
    <definedName name="_phi28" localSheetId="15">#REF!</definedName>
    <definedName name="_phi28" localSheetId="8">#REF!</definedName>
    <definedName name="_phi28">#REF!</definedName>
    <definedName name="_phi6" localSheetId="9">#REF!</definedName>
    <definedName name="_phi6" localSheetId="10">#REF!</definedName>
    <definedName name="_phi6" localSheetId="6">#REF!</definedName>
    <definedName name="_phi6" localSheetId="7">#REF!</definedName>
    <definedName name="_phi6" localSheetId="14">#REF!</definedName>
    <definedName name="_phi6" localSheetId="15">#REF!</definedName>
    <definedName name="_phi6" localSheetId="8">#REF!</definedName>
    <definedName name="_phi6">#REF!</definedName>
    <definedName name="_phi8" localSheetId="9">#REF!</definedName>
    <definedName name="_phi8" localSheetId="10">#REF!</definedName>
    <definedName name="_phi8" localSheetId="6">#REF!</definedName>
    <definedName name="_phi8" localSheetId="7">#REF!</definedName>
    <definedName name="_phi8" localSheetId="14">#REF!</definedName>
    <definedName name="_phi8" localSheetId="15">#REF!</definedName>
    <definedName name="_phi8" localSheetId="8">#REF!</definedName>
    <definedName name="_phi8">#REF!</definedName>
    <definedName name="_PL1242" localSheetId="9">#REF!</definedName>
    <definedName name="_PL1242" localSheetId="10">#REF!</definedName>
    <definedName name="_PL1242" localSheetId="6">#REF!</definedName>
    <definedName name="_PL1242" localSheetId="7">#REF!</definedName>
    <definedName name="_PL1242" localSheetId="14">#REF!</definedName>
    <definedName name="_PL1242" localSheetId="15">#REF!</definedName>
    <definedName name="_PL1242" localSheetId="8">#REF!</definedName>
    <definedName name="_PL1242">#REF!</definedName>
    <definedName name="_sat10" localSheetId="9">#REF!</definedName>
    <definedName name="_sat10" localSheetId="10">#REF!</definedName>
    <definedName name="_sat10" localSheetId="6">#REF!</definedName>
    <definedName name="_sat10" localSheetId="7">#REF!</definedName>
    <definedName name="_sat10" localSheetId="14">#REF!</definedName>
    <definedName name="_sat10" localSheetId="15">#REF!</definedName>
    <definedName name="_sat10" localSheetId="8">#REF!</definedName>
    <definedName name="_sat10">#REF!</definedName>
    <definedName name="_sat14" localSheetId="9">#REF!</definedName>
    <definedName name="_sat14" localSheetId="10">#REF!</definedName>
    <definedName name="_sat14" localSheetId="6">#REF!</definedName>
    <definedName name="_sat14" localSheetId="7">#REF!</definedName>
    <definedName name="_sat14" localSheetId="14">#REF!</definedName>
    <definedName name="_sat14" localSheetId="15">#REF!</definedName>
    <definedName name="_sat14" localSheetId="8">#REF!</definedName>
    <definedName name="_sat14">#REF!</definedName>
    <definedName name="_sat16" localSheetId="9">#REF!</definedName>
    <definedName name="_sat16" localSheetId="10">#REF!</definedName>
    <definedName name="_sat16" localSheetId="6">#REF!</definedName>
    <definedName name="_sat16" localSheetId="7">#REF!</definedName>
    <definedName name="_sat16" localSheetId="14">#REF!</definedName>
    <definedName name="_sat16" localSheetId="15">#REF!</definedName>
    <definedName name="_sat16" localSheetId="8">#REF!</definedName>
    <definedName name="_sat16">#REF!</definedName>
    <definedName name="_sat20" localSheetId="9">#REF!</definedName>
    <definedName name="_sat20" localSheetId="10">#REF!</definedName>
    <definedName name="_sat20" localSheetId="6">#REF!</definedName>
    <definedName name="_sat20" localSheetId="7">#REF!</definedName>
    <definedName name="_sat20" localSheetId="14">#REF!</definedName>
    <definedName name="_sat20" localSheetId="15">#REF!</definedName>
    <definedName name="_sat20" localSheetId="8">#REF!</definedName>
    <definedName name="_sat20">#REF!</definedName>
    <definedName name="_sat8" localSheetId="9">#REF!</definedName>
    <definedName name="_sat8" localSheetId="10">#REF!</definedName>
    <definedName name="_sat8" localSheetId="6">#REF!</definedName>
    <definedName name="_sat8" localSheetId="7">#REF!</definedName>
    <definedName name="_sat8" localSheetId="14">#REF!</definedName>
    <definedName name="_sat8" localSheetId="15">#REF!</definedName>
    <definedName name="_sat8" localSheetId="8">#REF!</definedName>
    <definedName name="_sat8">#REF!</definedName>
    <definedName name="_sc1" localSheetId="9">#REF!</definedName>
    <definedName name="_sc1" localSheetId="10">#REF!</definedName>
    <definedName name="_sc1" localSheetId="6">#REF!</definedName>
    <definedName name="_sc1" localSheetId="7">#REF!</definedName>
    <definedName name="_sc1" localSheetId="14">#REF!</definedName>
    <definedName name="_sc1" localSheetId="15">#REF!</definedName>
    <definedName name="_sc1" localSheetId="8">#REF!</definedName>
    <definedName name="_sc1">#REF!</definedName>
    <definedName name="_SC2" localSheetId="9">#REF!</definedName>
    <definedName name="_SC2" localSheetId="10">#REF!</definedName>
    <definedName name="_SC2" localSheetId="6">#REF!</definedName>
    <definedName name="_SC2" localSheetId="7">#REF!</definedName>
    <definedName name="_SC2" localSheetId="14">#REF!</definedName>
    <definedName name="_SC2" localSheetId="15">#REF!</definedName>
    <definedName name="_SC2" localSheetId="8">#REF!</definedName>
    <definedName name="_SC2">#REF!</definedName>
    <definedName name="_sc3" localSheetId="9">#REF!</definedName>
    <definedName name="_sc3" localSheetId="10">#REF!</definedName>
    <definedName name="_sc3" localSheetId="6">#REF!</definedName>
    <definedName name="_sc3" localSheetId="7">#REF!</definedName>
    <definedName name="_sc3" localSheetId="14">#REF!</definedName>
    <definedName name="_sc3" localSheetId="15">#REF!</definedName>
    <definedName name="_sc3" localSheetId="8">#REF!</definedName>
    <definedName name="_sc3">#REF!</definedName>
    <definedName name="_slg1" localSheetId="9">#REF!</definedName>
    <definedName name="_slg1" localSheetId="10">#REF!</definedName>
    <definedName name="_slg1" localSheetId="6">#REF!</definedName>
    <definedName name="_slg1" localSheetId="7">#REF!</definedName>
    <definedName name="_slg1" localSheetId="14">#REF!</definedName>
    <definedName name="_slg1" localSheetId="15">#REF!</definedName>
    <definedName name="_slg1" localSheetId="8">#REF!</definedName>
    <definedName name="_slg1">#REF!</definedName>
    <definedName name="_slg2" localSheetId="9">#REF!</definedName>
    <definedName name="_slg2" localSheetId="10">#REF!</definedName>
    <definedName name="_slg2" localSheetId="6">#REF!</definedName>
    <definedName name="_slg2" localSheetId="7">#REF!</definedName>
    <definedName name="_slg2" localSheetId="14">#REF!</definedName>
    <definedName name="_slg2" localSheetId="15">#REF!</definedName>
    <definedName name="_slg2" localSheetId="8">#REF!</definedName>
    <definedName name="_slg2">#REF!</definedName>
    <definedName name="_slg3" localSheetId="9">#REF!</definedName>
    <definedName name="_slg3" localSheetId="10">#REF!</definedName>
    <definedName name="_slg3" localSheetId="6">#REF!</definedName>
    <definedName name="_slg3" localSheetId="7">#REF!</definedName>
    <definedName name="_slg3" localSheetId="14">#REF!</definedName>
    <definedName name="_slg3" localSheetId="15">#REF!</definedName>
    <definedName name="_slg3" localSheetId="8">#REF!</definedName>
    <definedName name="_slg3">#REF!</definedName>
    <definedName name="_slg4" localSheetId="9">#REF!</definedName>
    <definedName name="_slg4" localSheetId="10">#REF!</definedName>
    <definedName name="_slg4" localSheetId="6">#REF!</definedName>
    <definedName name="_slg4" localSheetId="7">#REF!</definedName>
    <definedName name="_slg4" localSheetId="14">#REF!</definedName>
    <definedName name="_slg4" localSheetId="15">#REF!</definedName>
    <definedName name="_slg4" localSheetId="8">#REF!</definedName>
    <definedName name="_slg4">#REF!</definedName>
    <definedName name="_slg5" localSheetId="9">#REF!</definedName>
    <definedName name="_slg5" localSheetId="10">#REF!</definedName>
    <definedName name="_slg5" localSheetId="6">#REF!</definedName>
    <definedName name="_slg5" localSheetId="7">#REF!</definedName>
    <definedName name="_slg5" localSheetId="14">#REF!</definedName>
    <definedName name="_slg5" localSheetId="15">#REF!</definedName>
    <definedName name="_slg5" localSheetId="8">#REF!</definedName>
    <definedName name="_slg5">#REF!</definedName>
    <definedName name="_slg6" localSheetId="9">#REF!</definedName>
    <definedName name="_slg6" localSheetId="10">#REF!</definedName>
    <definedName name="_slg6" localSheetId="6">#REF!</definedName>
    <definedName name="_slg6" localSheetId="7">#REF!</definedName>
    <definedName name="_slg6" localSheetId="14">#REF!</definedName>
    <definedName name="_slg6" localSheetId="15">#REF!</definedName>
    <definedName name="_slg6" localSheetId="8">#REF!</definedName>
    <definedName name="_slg6">#REF!</definedName>
    <definedName name="_SN3" localSheetId="9">#REF!</definedName>
    <definedName name="_SN3" localSheetId="10">#REF!</definedName>
    <definedName name="_SN3" localSheetId="6">#REF!</definedName>
    <definedName name="_SN3" localSheetId="7">#REF!</definedName>
    <definedName name="_SN3" localSheetId="14">#REF!</definedName>
    <definedName name="_SN3" localSheetId="15">#REF!</definedName>
    <definedName name="_SN3" localSheetId="8">#REF!</definedName>
    <definedName name="_SN3">#REF!</definedName>
    <definedName name="_Sort" localSheetId="9" hidden="1">#REF!</definedName>
    <definedName name="_Sort" localSheetId="10" hidden="1">#REF!</definedName>
    <definedName name="_Sort" localSheetId="6" hidden="1">#REF!</definedName>
    <definedName name="_Sort" localSheetId="7" hidden="1">#REF!</definedName>
    <definedName name="_Sort" localSheetId="14" hidden="1">#REF!</definedName>
    <definedName name="_Sort" localSheetId="15" hidden="1">#REF!</definedName>
    <definedName name="_Sort" localSheetId="8" hidden="1">#REF!</definedName>
    <definedName name="_Sort" hidden="1">#REF!</definedName>
    <definedName name="_sua20" localSheetId="9">#REF!</definedName>
    <definedName name="_sua20" localSheetId="10">#REF!</definedName>
    <definedName name="_sua20" localSheetId="6">#REF!</definedName>
    <definedName name="_sua20" localSheetId="7">#REF!</definedName>
    <definedName name="_sua20" localSheetId="14">#REF!</definedName>
    <definedName name="_sua20" localSheetId="15">#REF!</definedName>
    <definedName name="_sua20" localSheetId="8">#REF!</definedName>
    <definedName name="_sua20">#REF!</definedName>
    <definedName name="_sua30" localSheetId="9">#REF!</definedName>
    <definedName name="_sua30" localSheetId="10">#REF!</definedName>
    <definedName name="_sua30" localSheetId="6">#REF!</definedName>
    <definedName name="_sua30" localSheetId="7">#REF!</definedName>
    <definedName name="_sua30" localSheetId="14">#REF!</definedName>
    <definedName name="_sua30" localSheetId="15">#REF!</definedName>
    <definedName name="_sua30" localSheetId="8">#REF!</definedName>
    <definedName name="_sua30">#REF!</definedName>
    <definedName name="_TB1" localSheetId="9">#REF!</definedName>
    <definedName name="_TB1" localSheetId="10">#REF!</definedName>
    <definedName name="_TB1" localSheetId="6">#REF!</definedName>
    <definedName name="_TB1" localSheetId="7">#REF!</definedName>
    <definedName name="_TB1" localSheetId="14">#REF!</definedName>
    <definedName name="_TB1" localSheetId="15">#REF!</definedName>
    <definedName name="_TB1" localSheetId="8">#REF!</definedName>
    <definedName name="_TB1">#REF!</definedName>
    <definedName name="_TH1" localSheetId="9">#REF!</definedName>
    <definedName name="_TH1" localSheetId="10">#REF!</definedName>
    <definedName name="_TH1" localSheetId="6">#REF!</definedName>
    <definedName name="_TH1" localSheetId="7">#REF!</definedName>
    <definedName name="_TH1" localSheetId="14">#REF!</definedName>
    <definedName name="_TH1" localSheetId="15">#REF!</definedName>
    <definedName name="_TH1" localSheetId="8">#REF!</definedName>
    <definedName name="_TH1">#REF!</definedName>
    <definedName name="_TH2" localSheetId="9">#REF!</definedName>
    <definedName name="_TH2" localSheetId="10">#REF!</definedName>
    <definedName name="_TH2" localSheetId="6">#REF!</definedName>
    <definedName name="_TH2" localSheetId="7">#REF!</definedName>
    <definedName name="_TH2" localSheetId="14">#REF!</definedName>
    <definedName name="_TH2" localSheetId="15">#REF!</definedName>
    <definedName name="_TH2" localSheetId="8">#REF!</definedName>
    <definedName name="_TH2">#REF!</definedName>
    <definedName name="_TH3" localSheetId="9">#REF!</definedName>
    <definedName name="_TH3" localSheetId="10">#REF!</definedName>
    <definedName name="_TH3" localSheetId="6">#REF!</definedName>
    <definedName name="_TH3" localSheetId="7">#REF!</definedName>
    <definedName name="_TH3" localSheetId="14">#REF!</definedName>
    <definedName name="_TH3" localSheetId="15">#REF!</definedName>
    <definedName name="_TH3" localSheetId="8">#REF!</definedName>
    <definedName name="_TH3">#REF!</definedName>
    <definedName name="_TL1" localSheetId="9">#REF!</definedName>
    <definedName name="_TL1" localSheetId="10">#REF!</definedName>
    <definedName name="_TL1" localSheetId="6">#REF!</definedName>
    <definedName name="_TL1" localSheetId="7">#REF!</definedName>
    <definedName name="_TL1" localSheetId="14">#REF!</definedName>
    <definedName name="_TL1" localSheetId="15">#REF!</definedName>
    <definedName name="_TL1" localSheetId="8">#REF!</definedName>
    <definedName name="_TL1">#REF!</definedName>
    <definedName name="_TL2" localSheetId="9">#REF!</definedName>
    <definedName name="_TL2" localSheetId="10">#REF!</definedName>
    <definedName name="_TL2" localSheetId="6">#REF!</definedName>
    <definedName name="_TL2" localSheetId="7">#REF!</definedName>
    <definedName name="_TL2" localSheetId="14">#REF!</definedName>
    <definedName name="_TL2" localSheetId="15">#REF!</definedName>
    <definedName name="_TL2" localSheetId="8">#REF!</definedName>
    <definedName name="_TL2">#REF!</definedName>
    <definedName name="_TL3" localSheetId="9">#REF!</definedName>
    <definedName name="_TL3" localSheetId="10">#REF!</definedName>
    <definedName name="_TL3" localSheetId="6">#REF!</definedName>
    <definedName name="_TL3" localSheetId="7">#REF!</definedName>
    <definedName name="_TL3" localSheetId="14">#REF!</definedName>
    <definedName name="_TL3" localSheetId="15">#REF!</definedName>
    <definedName name="_TL3" localSheetId="8">#REF!</definedName>
    <definedName name="_TL3">#REF!</definedName>
    <definedName name="_TLA120" localSheetId="9">#REF!</definedName>
    <definedName name="_TLA120" localSheetId="10">#REF!</definedName>
    <definedName name="_TLA120" localSheetId="6">#REF!</definedName>
    <definedName name="_TLA120" localSheetId="7">#REF!</definedName>
    <definedName name="_TLA120" localSheetId="14">#REF!</definedName>
    <definedName name="_TLA120" localSheetId="15">#REF!</definedName>
    <definedName name="_TLA120" localSheetId="8">#REF!</definedName>
    <definedName name="_TLA120">#REF!</definedName>
    <definedName name="_TLA35" localSheetId="9">#REF!</definedName>
    <definedName name="_TLA35" localSheetId="10">#REF!</definedName>
    <definedName name="_TLA35" localSheetId="6">#REF!</definedName>
    <definedName name="_TLA35" localSheetId="7">#REF!</definedName>
    <definedName name="_TLA35" localSheetId="14">#REF!</definedName>
    <definedName name="_TLA35" localSheetId="15">#REF!</definedName>
    <definedName name="_TLA35" localSheetId="8">#REF!</definedName>
    <definedName name="_TLA35">#REF!</definedName>
    <definedName name="_TLA50" localSheetId="9">#REF!</definedName>
    <definedName name="_TLA50" localSheetId="10">#REF!</definedName>
    <definedName name="_TLA50" localSheetId="6">#REF!</definedName>
    <definedName name="_TLA50" localSheetId="7">#REF!</definedName>
    <definedName name="_TLA50" localSheetId="14">#REF!</definedName>
    <definedName name="_TLA50" localSheetId="15">#REF!</definedName>
    <definedName name="_TLA50" localSheetId="8">#REF!</definedName>
    <definedName name="_TLA50">#REF!</definedName>
    <definedName name="_TLA70" localSheetId="9">#REF!</definedName>
    <definedName name="_TLA70" localSheetId="10">#REF!</definedName>
    <definedName name="_TLA70" localSheetId="6">#REF!</definedName>
    <definedName name="_TLA70" localSheetId="7">#REF!</definedName>
    <definedName name="_TLA70" localSheetId="14">#REF!</definedName>
    <definedName name="_TLA70" localSheetId="15">#REF!</definedName>
    <definedName name="_TLA70" localSheetId="8">#REF!</definedName>
    <definedName name="_TLA70">#REF!</definedName>
    <definedName name="_TLA95" localSheetId="9">#REF!</definedName>
    <definedName name="_TLA95" localSheetId="10">#REF!</definedName>
    <definedName name="_TLA95" localSheetId="6">#REF!</definedName>
    <definedName name="_TLA95" localSheetId="7">#REF!</definedName>
    <definedName name="_TLA95" localSheetId="14">#REF!</definedName>
    <definedName name="_TLA95" localSheetId="15">#REF!</definedName>
    <definedName name="_TLA95" localSheetId="8">#REF!</definedName>
    <definedName name="_TLA95">#REF!</definedName>
    <definedName name="_vc1" localSheetId="9">#REF!</definedName>
    <definedName name="_vc1" localSheetId="10">#REF!</definedName>
    <definedName name="_vc1" localSheetId="6">#REF!</definedName>
    <definedName name="_vc1" localSheetId="7">#REF!</definedName>
    <definedName name="_vc1" localSheetId="14">#REF!</definedName>
    <definedName name="_vc1" localSheetId="15">#REF!</definedName>
    <definedName name="_vc1" localSheetId="8">#REF!</definedName>
    <definedName name="_vc1">#REF!</definedName>
    <definedName name="_vc2" localSheetId="9">#REF!</definedName>
    <definedName name="_vc2" localSheetId="10">#REF!</definedName>
    <definedName name="_vc2" localSheetId="6">#REF!</definedName>
    <definedName name="_vc2" localSheetId="7">#REF!</definedName>
    <definedName name="_vc2" localSheetId="14">#REF!</definedName>
    <definedName name="_vc2" localSheetId="15">#REF!</definedName>
    <definedName name="_vc2" localSheetId="8">#REF!</definedName>
    <definedName name="_vc2">#REF!</definedName>
    <definedName name="_vc3" localSheetId="9">#REF!</definedName>
    <definedName name="_vc3" localSheetId="10">#REF!</definedName>
    <definedName name="_vc3" localSheetId="6">#REF!</definedName>
    <definedName name="_vc3" localSheetId="7">#REF!</definedName>
    <definedName name="_vc3" localSheetId="14">#REF!</definedName>
    <definedName name="_vc3" localSheetId="15">#REF!</definedName>
    <definedName name="_vc3" localSheetId="8">#REF!</definedName>
    <definedName name="_vc3">#REF!</definedName>
    <definedName name="_VL100" localSheetId="9">#REF!</definedName>
    <definedName name="_VL100" localSheetId="10">#REF!</definedName>
    <definedName name="_VL100" localSheetId="6">#REF!</definedName>
    <definedName name="_VL100" localSheetId="7">#REF!</definedName>
    <definedName name="_VL100" localSheetId="14">#REF!</definedName>
    <definedName name="_VL100" localSheetId="15">#REF!</definedName>
    <definedName name="_VL100" localSheetId="8">#REF!</definedName>
    <definedName name="_VL100">#REF!</definedName>
    <definedName name="_vl2" hidden="1">{"'Sheet1'!$L$16"}</definedName>
    <definedName name="_VL250" localSheetId="9">#REF!</definedName>
    <definedName name="_VL250" localSheetId="10">#REF!</definedName>
    <definedName name="_VL250" localSheetId="6">#REF!</definedName>
    <definedName name="_VL250" localSheetId="7">#REF!</definedName>
    <definedName name="_VL250" localSheetId="14">#REF!</definedName>
    <definedName name="_VL250" localSheetId="15">#REF!</definedName>
    <definedName name="_VL250" localSheetId="8">#REF!</definedName>
    <definedName name="_VL25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20_" localSheetId="9">#REF!</definedName>
    <definedName name="A120_" localSheetId="10">#REF!</definedName>
    <definedName name="A120_" localSheetId="6">#REF!</definedName>
    <definedName name="A120_" localSheetId="7">#REF!</definedName>
    <definedName name="A120_" localSheetId="14">#REF!</definedName>
    <definedName name="A120_" localSheetId="15">#REF!</definedName>
    <definedName name="A120_" localSheetId="8">#REF!</definedName>
    <definedName name="A120_">#REF!</definedName>
    <definedName name="a277Print_Titles" localSheetId="9">#REF!</definedName>
    <definedName name="a277Print_Titles" localSheetId="10">#REF!</definedName>
    <definedName name="a277Print_Titles" localSheetId="6">#REF!</definedName>
    <definedName name="a277Print_Titles" localSheetId="7">#REF!</definedName>
    <definedName name="a277Print_Titles" localSheetId="14">#REF!</definedName>
    <definedName name="a277Print_Titles" localSheetId="15">#REF!</definedName>
    <definedName name="a277Print_Titles" localSheetId="8">#REF!</definedName>
    <definedName name="a277Print_Titles">#REF!</definedName>
    <definedName name="A35_" localSheetId="9">#REF!</definedName>
    <definedName name="A35_" localSheetId="10">#REF!</definedName>
    <definedName name="A35_" localSheetId="6">#REF!</definedName>
    <definedName name="A35_" localSheetId="7">#REF!</definedName>
    <definedName name="A35_" localSheetId="14">#REF!</definedName>
    <definedName name="A35_" localSheetId="15">#REF!</definedName>
    <definedName name="A35_" localSheetId="8">#REF!</definedName>
    <definedName name="A35_">#REF!</definedName>
    <definedName name="A50_" localSheetId="9">#REF!</definedName>
    <definedName name="A50_" localSheetId="10">#REF!</definedName>
    <definedName name="A50_" localSheetId="6">#REF!</definedName>
    <definedName name="A50_" localSheetId="7">#REF!</definedName>
    <definedName name="A50_" localSheetId="14">#REF!</definedName>
    <definedName name="A50_" localSheetId="15">#REF!</definedName>
    <definedName name="A50_" localSheetId="8">#REF!</definedName>
    <definedName name="A50_">#REF!</definedName>
    <definedName name="A6N2" localSheetId="9">#REF!</definedName>
    <definedName name="A6N2" localSheetId="10">#REF!</definedName>
    <definedName name="A6N2" localSheetId="6">#REF!</definedName>
    <definedName name="A6N2" localSheetId="7">#REF!</definedName>
    <definedName name="A6N2" localSheetId="14">#REF!</definedName>
    <definedName name="A6N2" localSheetId="15">#REF!</definedName>
    <definedName name="A6N2" localSheetId="8">#REF!</definedName>
    <definedName name="A6N2">#REF!</definedName>
    <definedName name="A6N3" localSheetId="9">#REF!</definedName>
    <definedName name="A6N3" localSheetId="10">#REF!</definedName>
    <definedName name="A6N3" localSheetId="6">#REF!</definedName>
    <definedName name="A6N3" localSheetId="7">#REF!</definedName>
    <definedName name="A6N3" localSheetId="14">#REF!</definedName>
    <definedName name="A6N3" localSheetId="15">#REF!</definedName>
    <definedName name="A6N3" localSheetId="8">#REF!</definedName>
    <definedName name="A6N3">#REF!</definedName>
    <definedName name="A70_" localSheetId="9">#REF!</definedName>
    <definedName name="A70_" localSheetId="10">#REF!</definedName>
    <definedName name="A70_" localSheetId="6">#REF!</definedName>
    <definedName name="A70_" localSheetId="7">#REF!</definedName>
    <definedName name="A70_" localSheetId="14">#REF!</definedName>
    <definedName name="A70_" localSheetId="15">#REF!</definedName>
    <definedName name="A70_" localSheetId="8">#REF!</definedName>
    <definedName name="A70_">#REF!</definedName>
    <definedName name="A95_" localSheetId="9">#REF!</definedName>
    <definedName name="A95_" localSheetId="10">#REF!</definedName>
    <definedName name="A95_" localSheetId="6">#REF!</definedName>
    <definedName name="A95_" localSheetId="7">#REF!</definedName>
    <definedName name="A95_" localSheetId="14">#REF!</definedName>
    <definedName name="A95_" localSheetId="15">#REF!</definedName>
    <definedName name="A95_" localSheetId="8">#REF!</definedName>
    <definedName name="A95_">#REF!</definedName>
    <definedName name="AA" localSheetId="9">#REF!</definedName>
    <definedName name="AA" localSheetId="10">#REF!</definedName>
    <definedName name="AA" localSheetId="6">#REF!</definedName>
    <definedName name="AA" localSheetId="7">#REF!</definedName>
    <definedName name="AA" localSheetId="14">#REF!</definedName>
    <definedName name="AA" localSheetId="15">#REF!</definedName>
    <definedName name="AA" localSheetId="8">#REF!</definedName>
    <definedName name="AA">#REF!</definedName>
    <definedName name="abc" localSheetId="9">#REF!</definedName>
    <definedName name="abc" localSheetId="10">#REF!</definedName>
    <definedName name="abc" localSheetId="6">#REF!</definedName>
    <definedName name="abc" localSheetId="7">#REF!</definedName>
    <definedName name="abc" localSheetId="14">#REF!</definedName>
    <definedName name="abc" localSheetId="15">#REF!</definedName>
    <definedName name="abc" localSheetId="8">#REF!</definedName>
    <definedName name="abc">#REF!</definedName>
    <definedName name="AC120_" localSheetId="9">#REF!</definedName>
    <definedName name="AC120_" localSheetId="10">#REF!</definedName>
    <definedName name="AC120_" localSheetId="6">#REF!</definedName>
    <definedName name="AC120_" localSheetId="7">#REF!</definedName>
    <definedName name="AC120_" localSheetId="14">#REF!</definedName>
    <definedName name="AC120_" localSheetId="15">#REF!</definedName>
    <definedName name="AC120_" localSheetId="8">#REF!</definedName>
    <definedName name="AC120_">#REF!</definedName>
    <definedName name="AC35_" localSheetId="9">#REF!</definedName>
    <definedName name="AC35_" localSheetId="10">#REF!</definedName>
    <definedName name="AC35_" localSheetId="6">#REF!</definedName>
    <definedName name="AC35_" localSheetId="7">#REF!</definedName>
    <definedName name="AC35_" localSheetId="14">#REF!</definedName>
    <definedName name="AC35_" localSheetId="15">#REF!</definedName>
    <definedName name="AC35_" localSheetId="8">#REF!</definedName>
    <definedName name="AC35_">#REF!</definedName>
    <definedName name="AC50_" localSheetId="9">#REF!</definedName>
    <definedName name="AC50_" localSheetId="10">#REF!</definedName>
    <definedName name="AC50_" localSheetId="6">#REF!</definedName>
    <definedName name="AC50_" localSheetId="7">#REF!</definedName>
    <definedName name="AC50_" localSheetId="14">#REF!</definedName>
    <definedName name="AC50_" localSheetId="15">#REF!</definedName>
    <definedName name="AC50_" localSheetId="8">#REF!</definedName>
    <definedName name="AC50_">#REF!</definedName>
    <definedName name="AC70_" localSheetId="9">#REF!</definedName>
    <definedName name="AC70_" localSheetId="10">#REF!</definedName>
    <definedName name="AC70_" localSheetId="6">#REF!</definedName>
    <definedName name="AC70_" localSheetId="7">#REF!</definedName>
    <definedName name="AC70_" localSheetId="14">#REF!</definedName>
    <definedName name="AC70_" localSheetId="15">#REF!</definedName>
    <definedName name="AC70_" localSheetId="8">#REF!</definedName>
    <definedName name="AC70_">#REF!</definedName>
    <definedName name="AC95_" localSheetId="9">#REF!</definedName>
    <definedName name="AC95_" localSheetId="10">#REF!</definedName>
    <definedName name="AC95_" localSheetId="6">#REF!</definedName>
    <definedName name="AC95_" localSheetId="7">#REF!</definedName>
    <definedName name="AC95_" localSheetId="14">#REF!</definedName>
    <definedName name="AC95_" localSheetId="15">#REF!</definedName>
    <definedName name="AC95_" localSheetId="8">#REF!</definedName>
    <definedName name="AC95_">#REF!</definedName>
    <definedName name="All_Item" localSheetId="9">#REF!</definedName>
    <definedName name="All_Item" localSheetId="10">#REF!</definedName>
    <definedName name="All_Item" localSheetId="6">#REF!</definedName>
    <definedName name="All_Item" localSheetId="7">#REF!</definedName>
    <definedName name="All_Item" localSheetId="14">#REF!</definedName>
    <definedName name="All_Item" localSheetId="15">#REF!</definedName>
    <definedName name="All_Item" localSheetId="8">#REF!</definedName>
    <definedName name="All_Item">#REF!</definedName>
    <definedName name="ALPIN">#N/A</definedName>
    <definedName name="ALPJYOU">#N/A</definedName>
    <definedName name="ALPTOI">#N/A</definedName>
    <definedName name="anpha" localSheetId="9">#REF!</definedName>
    <definedName name="anpha" localSheetId="10">#REF!</definedName>
    <definedName name="anpha" localSheetId="6">#REF!</definedName>
    <definedName name="anpha" localSheetId="7">#REF!</definedName>
    <definedName name="anpha" localSheetId="14">#REF!</definedName>
    <definedName name="anpha" localSheetId="15">#REF!</definedName>
    <definedName name="anpha" localSheetId="8">#REF!</definedName>
    <definedName name="anpha">#REF!</definedName>
    <definedName name="b_240" localSheetId="9">#REF!</definedName>
    <definedName name="b_240" localSheetId="10">#REF!</definedName>
    <definedName name="b_240" localSheetId="6">#REF!</definedName>
    <definedName name="b_240" localSheetId="7">#REF!</definedName>
    <definedName name="b_240" localSheetId="14">#REF!</definedName>
    <definedName name="b_240" localSheetId="15">#REF!</definedName>
    <definedName name="b_240" localSheetId="8">#REF!</definedName>
    <definedName name="b_240">#REF!</definedName>
    <definedName name="b_280" localSheetId="9">#REF!</definedName>
    <definedName name="b_280" localSheetId="10">#REF!</definedName>
    <definedName name="b_280" localSheetId="6">#REF!</definedName>
    <definedName name="b_280" localSheetId="7">#REF!</definedName>
    <definedName name="b_280" localSheetId="14">#REF!</definedName>
    <definedName name="b_280" localSheetId="15">#REF!</definedName>
    <definedName name="b_280" localSheetId="8">#REF!</definedName>
    <definedName name="b_280">#REF!</definedName>
    <definedName name="b_320" localSheetId="9">#REF!</definedName>
    <definedName name="b_320" localSheetId="10">#REF!</definedName>
    <definedName name="b_320" localSheetId="6">#REF!</definedName>
    <definedName name="b_320" localSheetId="7">#REF!</definedName>
    <definedName name="b_320" localSheetId="14">#REF!</definedName>
    <definedName name="b_320" localSheetId="15">#REF!</definedName>
    <definedName name="b_320" localSheetId="8">#REF!</definedName>
    <definedName name="b_320">#REF!</definedName>
    <definedName name="BANG_CHI_TIET_THI_NGHIEM_CONG_TO" localSheetId="9">#REF!</definedName>
    <definedName name="BANG_CHI_TIET_THI_NGHIEM_CONG_TO" localSheetId="10">#REF!</definedName>
    <definedName name="BANG_CHI_TIET_THI_NGHIEM_CONG_TO" localSheetId="6">#REF!</definedName>
    <definedName name="BANG_CHI_TIET_THI_NGHIEM_CONG_TO" localSheetId="7">#REF!</definedName>
    <definedName name="BANG_CHI_TIET_THI_NGHIEM_CONG_TO" localSheetId="14">#REF!</definedName>
    <definedName name="BANG_CHI_TIET_THI_NGHIEM_CONG_TO" localSheetId="15">#REF!</definedName>
    <definedName name="BANG_CHI_TIET_THI_NGHIEM_CONG_TO" localSheetId="8">#REF!</definedName>
    <definedName name="BANG_CHI_TIET_THI_NGHIEM_CONG_TO">#REF!</definedName>
    <definedName name="BANG_CHI_TIET_THI_NGHIEM_DZ0.4KV" localSheetId="9">#REF!</definedName>
    <definedName name="BANG_CHI_TIET_THI_NGHIEM_DZ0.4KV" localSheetId="10">#REF!</definedName>
    <definedName name="BANG_CHI_TIET_THI_NGHIEM_DZ0.4KV" localSheetId="6">#REF!</definedName>
    <definedName name="BANG_CHI_TIET_THI_NGHIEM_DZ0.4KV" localSheetId="7">#REF!</definedName>
    <definedName name="BANG_CHI_TIET_THI_NGHIEM_DZ0.4KV" localSheetId="14">#REF!</definedName>
    <definedName name="BANG_CHI_TIET_THI_NGHIEM_DZ0.4KV" localSheetId="15">#REF!</definedName>
    <definedName name="BANG_CHI_TIET_THI_NGHIEM_DZ0.4KV" localSheetId="8">#REF!</definedName>
    <definedName name="BANG_CHI_TIET_THI_NGHIEM_DZ0.4KV">#REF!</definedName>
    <definedName name="Bang_cly" localSheetId="9">#REF!</definedName>
    <definedName name="Bang_cly" localSheetId="10">#REF!</definedName>
    <definedName name="Bang_cly" localSheetId="6">#REF!</definedName>
    <definedName name="Bang_cly" localSheetId="7">#REF!</definedName>
    <definedName name="Bang_cly" localSheetId="14">#REF!</definedName>
    <definedName name="Bang_cly" localSheetId="15">#REF!</definedName>
    <definedName name="Bang_cly" localSheetId="8">#REF!</definedName>
    <definedName name="Bang_cly">#REF!</definedName>
    <definedName name="Bang_CVC" localSheetId="9">#REF!</definedName>
    <definedName name="Bang_CVC" localSheetId="10">#REF!</definedName>
    <definedName name="Bang_CVC" localSheetId="6">#REF!</definedName>
    <definedName name="Bang_CVC" localSheetId="7">#REF!</definedName>
    <definedName name="Bang_CVC" localSheetId="14">#REF!</definedName>
    <definedName name="Bang_CVC" localSheetId="15">#REF!</definedName>
    <definedName name="Bang_CVC" localSheetId="8">#REF!</definedName>
    <definedName name="Bang_CVC">#REF!</definedName>
    <definedName name="bang_gia" localSheetId="9">#REF!</definedName>
    <definedName name="bang_gia" localSheetId="10">#REF!</definedName>
    <definedName name="bang_gia" localSheetId="6">#REF!</definedName>
    <definedName name="bang_gia" localSheetId="7">#REF!</definedName>
    <definedName name="bang_gia" localSheetId="14">#REF!</definedName>
    <definedName name="bang_gia" localSheetId="15">#REF!</definedName>
    <definedName name="bang_gia" localSheetId="8">#REF!</definedName>
    <definedName name="bang_gia">#REF!</definedName>
    <definedName name="BANG_TONG_HOP_CONG_TO" localSheetId="9">#REF!</definedName>
    <definedName name="BANG_TONG_HOP_CONG_TO" localSheetId="10">#REF!</definedName>
    <definedName name="BANG_TONG_HOP_CONG_TO" localSheetId="6">#REF!</definedName>
    <definedName name="BANG_TONG_HOP_CONG_TO" localSheetId="7">#REF!</definedName>
    <definedName name="BANG_TONG_HOP_CONG_TO" localSheetId="14">#REF!</definedName>
    <definedName name="BANG_TONG_HOP_CONG_TO" localSheetId="15">#REF!</definedName>
    <definedName name="BANG_TONG_HOP_CONG_TO" localSheetId="8">#REF!</definedName>
    <definedName name="BANG_TONG_HOP_CONG_TO">#REF!</definedName>
    <definedName name="BANG_TONG_HOP_DZ0.4KV" localSheetId="9">#REF!</definedName>
    <definedName name="BANG_TONG_HOP_DZ0.4KV" localSheetId="10">#REF!</definedName>
    <definedName name="BANG_TONG_HOP_DZ0.4KV" localSheetId="6">#REF!</definedName>
    <definedName name="BANG_TONG_HOP_DZ0.4KV" localSheetId="7">#REF!</definedName>
    <definedName name="BANG_TONG_HOP_DZ0.4KV" localSheetId="14">#REF!</definedName>
    <definedName name="BANG_TONG_HOP_DZ0.4KV" localSheetId="15">#REF!</definedName>
    <definedName name="BANG_TONG_HOP_DZ0.4KV" localSheetId="8">#REF!</definedName>
    <definedName name="BANG_TONG_HOP_DZ0.4KV">#REF!</definedName>
    <definedName name="BANG_TONG_HOP_DZ22KV" localSheetId="9">#REF!</definedName>
    <definedName name="BANG_TONG_HOP_DZ22KV" localSheetId="10">#REF!</definedName>
    <definedName name="BANG_TONG_HOP_DZ22KV" localSheetId="6">#REF!</definedName>
    <definedName name="BANG_TONG_HOP_DZ22KV" localSheetId="7">#REF!</definedName>
    <definedName name="BANG_TONG_HOP_DZ22KV" localSheetId="14">#REF!</definedName>
    <definedName name="BANG_TONG_HOP_DZ22KV" localSheetId="15">#REF!</definedName>
    <definedName name="BANG_TONG_HOP_DZ22KV" localSheetId="8">#REF!</definedName>
    <definedName name="BANG_TONG_HOP_DZ22KV">#REF!</definedName>
    <definedName name="BANG_TONG_HOP_KHO_BAI" localSheetId="9">#REF!</definedName>
    <definedName name="BANG_TONG_HOP_KHO_BAI" localSheetId="10">#REF!</definedName>
    <definedName name="BANG_TONG_HOP_KHO_BAI" localSheetId="6">#REF!</definedName>
    <definedName name="BANG_TONG_HOP_KHO_BAI" localSheetId="7">#REF!</definedName>
    <definedName name="BANG_TONG_HOP_KHO_BAI" localSheetId="14">#REF!</definedName>
    <definedName name="BANG_TONG_HOP_KHO_BAI" localSheetId="15">#REF!</definedName>
    <definedName name="BANG_TONG_HOP_KHO_BAI" localSheetId="8">#REF!</definedName>
    <definedName name="BANG_TONG_HOP_KHO_BAI">#REF!</definedName>
    <definedName name="BANG_TONG_HOP_TBA" localSheetId="9">#REF!</definedName>
    <definedName name="BANG_TONG_HOP_TBA" localSheetId="10">#REF!</definedName>
    <definedName name="BANG_TONG_HOP_TBA" localSheetId="6">#REF!</definedName>
    <definedName name="BANG_TONG_HOP_TBA" localSheetId="7">#REF!</definedName>
    <definedName name="BANG_TONG_HOP_TBA" localSheetId="14">#REF!</definedName>
    <definedName name="BANG_TONG_HOP_TBA" localSheetId="15">#REF!</definedName>
    <definedName name="BANG_TONG_HOP_TBA" localSheetId="8">#REF!</definedName>
    <definedName name="BANG_TONG_HOP_TBA">#REF!</definedName>
    <definedName name="Bang_travl" localSheetId="9">#REF!</definedName>
    <definedName name="Bang_travl" localSheetId="10">#REF!</definedName>
    <definedName name="Bang_travl" localSheetId="6">#REF!</definedName>
    <definedName name="Bang_travl" localSheetId="7">#REF!</definedName>
    <definedName name="Bang_travl" localSheetId="14">#REF!</definedName>
    <definedName name="Bang_travl" localSheetId="15">#REF!</definedName>
    <definedName name="Bang_travl" localSheetId="8">#REF!</definedName>
    <definedName name="Bang_travl">#REF!</definedName>
    <definedName name="bangchu" localSheetId="9">#REF!</definedName>
    <definedName name="bangchu" localSheetId="10">#REF!</definedName>
    <definedName name="bangchu" localSheetId="6">#REF!</definedName>
    <definedName name="bangchu" localSheetId="7">#REF!</definedName>
    <definedName name="bangchu" localSheetId="14">#REF!</definedName>
    <definedName name="bangchu" localSheetId="15">#REF!</definedName>
    <definedName name="bangchu" localSheetId="8">#REF!</definedName>
    <definedName name="bangchu">#REF!</definedName>
    <definedName name="BB" localSheetId="9">#REF!</definedName>
    <definedName name="BB" localSheetId="10">#REF!</definedName>
    <definedName name="BB" localSheetId="6">#REF!</definedName>
    <definedName name="BB" localSheetId="7">#REF!</definedName>
    <definedName name="BB" localSheetId="14">#REF!</definedName>
    <definedName name="BB" localSheetId="15">#REF!</definedName>
    <definedName name="BB" localSheetId="8">#REF!</definedName>
    <definedName name="BB">#REF!</definedName>
    <definedName name="bengam" localSheetId="9">#REF!</definedName>
    <definedName name="bengam" localSheetId="10">#REF!</definedName>
    <definedName name="bengam" localSheetId="6">#REF!</definedName>
    <definedName name="bengam" localSheetId="7">#REF!</definedName>
    <definedName name="bengam" localSheetId="14">#REF!</definedName>
    <definedName name="bengam" localSheetId="15">#REF!</definedName>
    <definedName name="bengam" localSheetId="8">#REF!</definedName>
    <definedName name="bengam">#REF!</definedName>
    <definedName name="benuoc" localSheetId="9">#REF!</definedName>
    <definedName name="benuoc" localSheetId="10">#REF!</definedName>
    <definedName name="benuoc" localSheetId="6">#REF!</definedName>
    <definedName name="benuoc" localSheetId="7">#REF!</definedName>
    <definedName name="benuoc" localSheetId="14">#REF!</definedName>
    <definedName name="benuoc" localSheetId="15">#REF!</definedName>
    <definedName name="benuoc" localSheetId="8">#REF!</definedName>
    <definedName name="benuoc">#REF!</definedName>
    <definedName name="beta" localSheetId="9">#REF!</definedName>
    <definedName name="beta" localSheetId="10">#REF!</definedName>
    <definedName name="beta" localSheetId="6">#REF!</definedName>
    <definedName name="beta" localSheetId="7">#REF!</definedName>
    <definedName name="beta" localSheetId="14">#REF!</definedName>
    <definedName name="beta" localSheetId="15">#REF!</definedName>
    <definedName name="beta" localSheetId="8">#REF!</definedName>
    <definedName name="beta">#REF!</definedName>
    <definedName name="blkh" localSheetId="9">#REF!</definedName>
    <definedName name="blkh" localSheetId="10">#REF!</definedName>
    <definedName name="blkh" localSheetId="6">#REF!</definedName>
    <definedName name="blkh" localSheetId="7">#REF!</definedName>
    <definedName name="blkh" localSheetId="14">#REF!</definedName>
    <definedName name="blkh" localSheetId="15">#REF!</definedName>
    <definedName name="blkh" localSheetId="8">#REF!</definedName>
    <definedName name="blkh">#REF!</definedName>
    <definedName name="blkh1" localSheetId="9">#REF!</definedName>
    <definedName name="blkh1" localSheetId="10">#REF!</definedName>
    <definedName name="blkh1" localSheetId="6">#REF!</definedName>
    <definedName name="blkh1" localSheetId="7">#REF!</definedName>
    <definedName name="blkh1" localSheetId="14">#REF!</definedName>
    <definedName name="blkh1" localSheetId="15">#REF!</definedName>
    <definedName name="blkh1" localSheetId="8">#REF!</definedName>
    <definedName name="blkh1">#REF!</definedName>
    <definedName name="Book2" localSheetId="9">#REF!</definedName>
    <definedName name="Book2" localSheetId="10">#REF!</definedName>
    <definedName name="Book2" localSheetId="6">#REF!</definedName>
    <definedName name="Book2" localSheetId="7">#REF!</definedName>
    <definedName name="Book2" localSheetId="14">#REF!</definedName>
    <definedName name="Book2" localSheetId="15">#REF!</definedName>
    <definedName name="Book2" localSheetId="8">#REF!</definedName>
    <definedName name="Book2">#REF!</definedName>
    <definedName name="BOQ" localSheetId="9">#REF!</definedName>
    <definedName name="BOQ" localSheetId="10">#REF!</definedName>
    <definedName name="BOQ" localSheetId="6">#REF!</definedName>
    <definedName name="BOQ" localSheetId="7">#REF!</definedName>
    <definedName name="BOQ" localSheetId="14">#REF!</definedName>
    <definedName name="BOQ" localSheetId="15">#REF!</definedName>
    <definedName name="BOQ" localSheetId="8">#REF!</definedName>
    <definedName name="BOQ">#REF!</definedName>
    <definedName name="BT" localSheetId="9">#REF!</definedName>
    <definedName name="BT" localSheetId="10">#REF!</definedName>
    <definedName name="BT" localSheetId="6">#REF!</definedName>
    <definedName name="BT" localSheetId="7">#REF!</definedName>
    <definedName name="BT" localSheetId="14">#REF!</definedName>
    <definedName name="BT" localSheetId="15">#REF!</definedName>
    <definedName name="BT" localSheetId="8">#REF!</definedName>
    <definedName name="BT">#REF!</definedName>
    <definedName name="btchiuaxitm300" localSheetId="9">#REF!</definedName>
    <definedName name="btchiuaxitm300" localSheetId="10">#REF!</definedName>
    <definedName name="btchiuaxitm300" localSheetId="6">#REF!</definedName>
    <definedName name="btchiuaxitm300" localSheetId="7">#REF!</definedName>
    <definedName name="btchiuaxitm300" localSheetId="14">#REF!</definedName>
    <definedName name="btchiuaxitm300" localSheetId="15">#REF!</definedName>
    <definedName name="btchiuaxitm300" localSheetId="8">#REF!</definedName>
    <definedName name="btchiuaxitm300">#REF!</definedName>
    <definedName name="BTchiuaxm200" localSheetId="9">#REF!</definedName>
    <definedName name="BTchiuaxm200" localSheetId="10">#REF!</definedName>
    <definedName name="BTchiuaxm200" localSheetId="6">#REF!</definedName>
    <definedName name="BTchiuaxm200" localSheetId="7">#REF!</definedName>
    <definedName name="BTchiuaxm200" localSheetId="14">#REF!</definedName>
    <definedName name="BTchiuaxm200" localSheetId="15">#REF!</definedName>
    <definedName name="BTchiuaxm200" localSheetId="8">#REF!</definedName>
    <definedName name="BTchiuaxm200">#REF!</definedName>
    <definedName name="btcocM400" localSheetId="9">#REF!</definedName>
    <definedName name="btcocM400" localSheetId="10">#REF!</definedName>
    <definedName name="btcocM400" localSheetId="6">#REF!</definedName>
    <definedName name="btcocM400" localSheetId="7">#REF!</definedName>
    <definedName name="btcocM400" localSheetId="14">#REF!</definedName>
    <definedName name="btcocM400" localSheetId="15">#REF!</definedName>
    <definedName name="btcocM400" localSheetId="8">#REF!</definedName>
    <definedName name="btcocM400">#REF!</definedName>
    <definedName name="BTlotm100" localSheetId="9">#REF!</definedName>
    <definedName name="BTlotm100" localSheetId="10">#REF!</definedName>
    <definedName name="BTlotm100" localSheetId="6">#REF!</definedName>
    <definedName name="BTlotm100" localSheetId="7">#REF!</definedName>
    <definedName name="BTlotm100" localSheetId="14">#REF!</definedName>
    <definedName name="BTlotm100" localSheetId="15">#REF!</definedName>
    <definedName name="BTlotm100" localSheetId="8">#REF!</definedName>
    <definedName name="BTlotm100">#REF!</definedName>
    <definedName name="BU_CHENH_LECH_DZ0.4KV" localSheetId="9">#REF!</definedName>
    <definedName name="BU_CHENH_LECH_DZ0.4KV" localSheetId="10">#REF!</definedName>
    <definedName name="BU_CHENH_LECH_DZ0.4KV" localSheetId="6">#REF!</definedName>
    <definedName name="BU_CHENH_LECH_DZ0.4KV" localSheetId="7">#REF!</definedName>
    <definedName name="BU_CHENH_LECH_DZ0.4KV" localSheetId="14">#REF!</definedName>
    <definedName name="BU_CHENH_LECH_DZ0.4KV" localSheetId="15">#REF!</definedName>
    <definedName name="BU_CHENH_LECH_DZ0.4KV" localSheetId="8">#REF!</definedName>
    <definedName name="BU_CHENH_LECH_DZ0.4KV">#REF!</definedName>
    <definedName name="BU_CHENH_LECH_DZ22KV" localSheetId="9">#REF!</definedName>
    <definedName name="BU_CHENH_LECH_DZ22KV" localSheetId="10">#REF!</definedName>
    <definedName name="BU_CHENH_LECH_DZ22KV" localSheetId="6">#REF!</definedName>
    <definedName name="BU_CHENH_LECH_DZ22KV" localSheetId="7">#REF!</definedName>
    <definedName name="BU_CHENH_LECH_DZ22KV" localSheetId="14">#REF!</definedName>
    <definedName name="BU_CHENH_LECH_DZ22KV" localSheetId="15">#REF!</definedName>
    <definedName name="BU_CHENH_LECH_DZ22KV" localSheetId="8">#REF!</definedName>
    <definedName name="BU_CHENH_LECH_DZ22KV">#REF!</definedName>
    <definedName name="BU_CHENH_LECH_TBA" localSheetId="9">#REF!</definedName>
    <definedName name="BU_CHENH_LECH_TBA" localSheetId="10">#REF!</definedName>
    <definedName name="BU_CHENH_LECH_TBA" localSheetId="6">#REF!</definedName>
    <definedName name="BU_CHENH_LECH_TBA" localSheetId="7">#REF!</definedName>
    <definedName name="BU_CHENH_LECH_TBA" localSheetId="14">#REF!</definedName>
    <definedName name="BU_CHENH_LECH_TBA" localSheetId="15">#REF!</definedName>
    <definedName name="BU_CHENH_LECH_TBA" localSheetId="8">#REF!</definedName>
    <definedName name="BU_CHENH_LECH_TBA">#REF!</definedName>
    <definedName name="Bulongma">8700</definedName>
    <definedName name="BVCISUMMARY" localSheetId="9">#REF!</definedName>
    <definedName name="BVCISUMMARY" localSheetId="10">#REF!</definedName>
    <definedName name="BVCISUMMARY" localSheetId="6">#REF!</definedName>
    <definedName name="BVCISUMMARY" localSheetId="7">#REF!</definedName>
    <definedName name="BVCISUMMARY" localSheetId="14">#REF!</definedName>
    <definedName name="BVCISUMMARY" localSheetId="15">#REF!</definedName>
    <definedName name="BVCISUMMARY" localSheetId="8">#REF!</definedName>
    <definedName name="BVCISUMMARY">#REF!</definedName>
    <definedName name="BŸo_cŸo_täng_hìp_giŸ_trÙ_t_i_s_n_câ__Ùnh" localSheetId="9">#REF!</definedName>
    <definedName name="BŸo_cŸo_täng_hìp_giŸ_trÙ_t_i_s_n_câ__Ùnh" localSheetId="10">#REF!</definedName>
    <definedName name="BŸo_cŸo_täng_hìp_giŸ_trÙ_t_i_s_n_câ__Ùnh" localSheetId="6">#REF!</definedName>
    <definedName name="BŸo_cŸo_täng_hìp_giŸ_trÙ_t_i_s_n_câ__Ùnh" localSheetId="7">#REF!</definedName>
    <definedName name="BŸo_cŸo_täng_hìp_giŸ_trÙ_t_i_s_n_câ__Ùnh" localSheetId="14">#REF!</definedName>
    <definedName name="BŸo_cŸo_täng_hìp_giŸ_trÙ_t_i_s_n_câ__Ùnh" localSheetId="15">#REF!</definedName>
    <definedName name="BŸo_cŸo_täng_hìp_giŸ_trÙ_t_i_s_n_câ__Ùnh" localSheetId="8">#REF!</definedName>
    <definedName name="BŸo_cŸo_täng_hìp_giŸ_trÙ_t_i_s_n_câ__Ùnh">#REF!</definedName>
    <definedName name="C.1.1..Phat_tuyen" localSheetId="9">#REF!</definedName>
    <definedName name="C.1.1..Phat_tuyen" localSheetId="10">#REF!</definedName>
    <definedName name="C.1.1..Phat_tuyen" localSheetId="6">#REF!</definedName>
    <definedName name="C.1.1..Phat_tuyen" localSheetId="7">#REF!</definedName>
    <definedName name="C.1.1..Phat_tuyen" localSheetId="14">#REF!</definedName>
    <definedName name="C.1.1..Phat_tuyen" localSheetId="15">#REF!</definedName>
    <definedName name="C.1.1..Phat_tuyen" localSheetId="8">#REF!</definedName>
    <definedName name="C.1.1..Phat_tuyen">#REF!</definedName>
    <definedName name="C.1.10..VC_Thu_cong_CG" localSheetId="9">#REF!</definedName>
    <definedName name="C.1.10..VC_Thu_cong_CG" localSheetId="10">#REF!</definedName>
    <definedName name="C.1.10..VC_Thu_cong_CG" localSheetId="6">#REF!</definedName>
    <definedName name="C.1.10..VC_Thu_cong_CG" localSheetId="7">#REF!</definedName>
    <definedName name="C.1.10..VC_Thu_cong_CG" localSheetId="14">#REF!</definedName>
    <definedName name="C.1.10..VC_Thu_cong_CG" localSheetId="15">#REF!</definedName>
    <definedName name="C.1.10..VC_Thu_cong_CG" localSheetId="8">#REF!</definedName>
    <definedName name="C.1.10..VC_Thu_cong_CG">#REF!</definedName>
    <definedName name="C.1.2..Chat_cay_thu_cong" localSheetId="9">#REF!</definedName>
    <definedName name="C.1.2..Chat_cay_thu_cong" localSheetId="10">#REF!</definedName>
    <definedName name="C.1.2..Chat_cay_thu_cong" localSheetId="6">#REF!</definedName>
    <definedName name="C.1.2..Chat_cay_thu_cong" localSheetId="7">#REF!</definedName>
    <definedName name="C.1.2..Chat_cay_thu_cong" localSheetId="14">#REF!</definedName>
    <definedName name="C.1.2..Chat_cay_thu_cong" localSheetId="15">#REF!</definedName>
    <definedName name="C.1.2..Chat_cay_thu_cong" localSheetId="8">#REF!</definedName>
    <definedName name="C.1.2..Chat_cay_thu_cong">#REF!</definedName>
    <definedName name="C.1.3..Chat_cay_may" localSheetId="9">#REF!</definedName>
    <definedName name="C.1.3..Chat_cay_may" localSheetId="10">#REF!</definedName>
    <definedName name="C.1.3..Chat_cay_may" localSheetId="6">#REF!</definedName>
    <definedName name="C.1.3..Chat_cay_may" localSheetId="7">#REF!</definedName>
    <definedName name="C.1.3..Chat_cay_may" localSheetId="14">#REF!</definedName>
    <definedName name="C.1.3..Chat_cay_may" localSheetId="15">#REF!</definedName>
    <definedName name="C.1.3..Chat_cay_may" localSheetId="8">#REF!</definedName>
    <definedName name="C.1.3..Chat_cay_may">#REF!</definedName>
    <definedName name="C.1.4..Dao_goc_cay" localSheetId="9">#REF!</definedName>
    <definedName name="C.1.4..Dao_goc_cay" localSheetId="10">#REF!</definedName>
    <definedName name="C.1.4..Dao_goc_cay" localSheetId="6">#REF!</definedName>
    <definedName name="C.1.4..Dao_goc_cay" localSheetId="7">#REF!</definedName>
    <definedName name="C.1.4..Dao_goc_cay" localSheetId="14">#REF!</definedName>
    <definedName name="C.1.4..Dao_goc_cay" localSheetId="15">#REF!</definedName>
    <definedName name="C.1.4..Dao_goc_cay" localSheetId="8">#REF!</definedName>
    <definedName name="C.1.4..Dao_goc_cay">#REF!</definedName>
    <definedName name="C.1.5..Lam_duong_tam" localSheetId="9">#REF!</definedName>
    <definedName name="C.1.5..Lam_duong_tam" localSheetId="10">#REF!</definedName>
    <definedName name="C.1.5..Lam_duong_tam" localSheetId="6">#REF!</definedName>
    <definedName name="C.1.5..Lam_duong_tam" localSheetId="7">#REF!</definedName>
    <definedName name="C.1.5..Lam_duong_tam" localSheetId="14">#REF!</definedName>
    <definedName name="C.1.5..Lam_duong_tam" localSheetId="15">#REF!</definedName>
    <definedName name="C.1.5..Lam_duong_tam" localSheetId="8">#REF!</definedName>
    <definedName name="C.1.5..Lam_duong_tam">#REF!</definedName>
    <definedName name="C.1.6..Lam_cau_tam" localSheetId="9">#REF!</definedName>
    <definedName name="C.1.6..Lam_cau_tam" localSheetId="10">#REF!</definedName>
    <definedName name="C.1.6..Lam_cau_tam" localSheetId="6">#REF!</definedName>
    <definedName name="C.1.6..Lam_cau_tam" localSheetId="7">#REF!</definedName>
    <definedName name="C.1.6..Lam_cau_tam" localSheetId="14">#REF!</definedName>
    <definedName name="C.1.6..Lam_cau_tam" localSheetId="15">#REF!</definedName>
    <definedName name="C.1.6..Lam_cau_tam" localSheetId="8">#REF!</definedName>
    <definedName name="C.1.6..Lam_cau_tam">#REF!</definedName>
    <definedName name="C.1.7..Rai_da_chong_lun" localSheetId="9">#REF!</definedName>
    <definedName name="C.1.7..Rai_da_chong_lun" localSheetId="10">#REF!</definedName>
    <definedName name="C.1.7..Rai_da_chong_lun" localSheetId="6">#REF!</definedName>
    <definedName name="C.1.7..Rai_da_chong_lun" localSheetId="7">#REF!</definedName>
    <definedName name="C.1.7..Rai_da_chong_lun" localSheetId="14">#REF!</definedName>
    <definedName name="C.1.7..Rai_da_chong_lun" localSheetId="15">#REF!</definedName>
    <definedName name="C.1.7..Rai_da_chong_lun" localSheetId="8">#REF!</definedName>
    <definedName name="C.1.7..Rai_da_chong_lun">#REF!</definedName>
    <definedName name="C.1.8..Lam_kho_tam" localSheetId="9">#REF!</definedName>
    <definedName name="C.1.8..Lam_kho_tam" localSheetId="10">#REF!</definedName>
    <definedName name="C.1.8..Lam_kho_tam" localSheetId="6">#REF!</definedName>
    <definedName name="C.1.8..Lam_kho_tam" localSheetId="7">#REF!</definedName>
    <definedName name="C.1.8..Lam_kho_tam" localSheetId="14">#REF!</definedName>
    <definedName name="C.1.8..Lam_kho_tam" localSheetId="15">#REF!</definedName>
    <definedName name="C.1.8..Lam_kho_tam" localSheetId="8">#REF!</definedName>
    <definedName name="C.1.8..Lam_kho_tam">#REF!</definedName>
    <definedName name="C.1.8..San_mat_bang" localSheetId="9">#REF!</definedName>
    <definedName name="C.1.8..San_mat_bang" localSheetId="10">#REF!</definedName>
    <definedName name="C.1.8..San_mat_bang" localSheetId="6">#REF!</definedName>
    <definedName name="C.1.8..San_mat_bang" localSheetId="7">#REF!</definedName>
    <definedName name="C.1.8..San_mat_bang" localSheetId="14">#REF!</definedName>
    <definedName name="C.1.8..San_mat_bang" localSheetId="15">#REF!</definedName>
    <definedName name="C.1.8..San_mat_bang" localSheetId="8">#REF!</definedName>
    <definedName name="C.1.8..San_mat_bang">#REF!</definedName>
    <definedName name="C.2.1..VC_Thu_cong" localSheetId="9">#REF!</definedName>
    <definedName name="C.2.1..VC_Thu_cong" localSheetId="10">#REF!</definedName>
    <definedName name="C.2.1..VC_Thu_cong" localSheetId="6">#REF!</definedName>
    <definedName name="C.2.1..VC_Thu_cong" localSheetId="7">#REF!</definedName>
    <definedName name="C.2.1..VC_Thu_cong" localSheetId="14">#REF!</definedName>
    <definedName name="C.2.1..VC_Thu_cong" localSheetId="15">#REF!</definedName>
    <definedName name="C.2.1..VC_Thu_cong" localSheetId="8">#REF!</definedName>
    <definedName name="C.2.1..VC_Thu_cong">#REF!</definedName>
    <definedName name="C.2.2..VC_T_cong_CG" localSheetId="9">#REF!</definedName>
    <definedName name="C.2.2..VC_T_cong_CG" localSheetId="10">#REF!</definedName>
    <definedName name="C.2.2..VC_T_cong_CG" localSheetId="6">#REF!</definedName>
    <definedName name="C.2.2..VC_T_cong_CG" localSheetId="7">#REF!</definedName>
    <definedName name="C.2.2..VC_T_cong_CG" localSheetId="14">#REF!</definedName>
    <definedName name="C.2.2..VC_T_cong_CG" localSheetId="15">#REF!</definedName>
    <definedName name="C.2.2..VC_T_cong_CG" localSheetId="8">#REF!</definedName>
    <definedName name="C.2.2..VC_T_cong_CG">#REF!</definedName>
    <definedName name="C.2.3..Boc_do" localSheetId="9">#REF!</definedName>
    <definedName name="C.2.3..Boc_do" localSheetId="10">#REF!</definedName>
    <definedName name="C.2.3..Boc_do" localSheetId="6">#REF!</definedName>
    <definedName name="C.2.3..Boc_do" localSheetId="7">#REF!</definedName>
    <definedName name="C.2.3..Boc_do" localSheetId="14">#REF!</definedName>
    <definedName name="C.2.3..Boc_do" localSheetId="15">#REF!</definedName>
    <definedName name="C.2.3..Boc_do" localSheetId="8">#REF!</definedName>
    <definedName name="C.2.3..Boc_do">#REF!</definedName>
    <definedName name="C.3.1..Dao_dat_mong_cot" localSheetId="9">#REF!</definedName>
    <definedName name="C.3.1..Dao_dat_mong_cot" localSheetId="10">#REF!</definedName>
    <definedName name="C.3.1..Dao_dat_mong_cot" localSheetId="6">#REF!</definedName>
    <definedName name="C.3.1..Dao_dat_mong_cot" localSheetId="7">#REF!</definedName>
    <definedName name="C.3.1..Dao_dat_mong_cot" localSheetId="14">#REF!</definedName>
    <definedName name="C.3.1..Dao_dat_mong_cot" localSheetId="15">#REF!</definedName>
    <definedName name="C.3.1..Dao_dat_mong_cot" localSheetId="8">#REF!</definedName>
    <definedName name="C.3.1..Dao_dat_mong_cot">#REF!</definedName>
    <definedName name="C.3.2..Dao_dat_de_dap" localSheetId="9">#REF!</definedName>
    <definedName name="C.3.2..Dao_dat_de_dap" localSheetId="10">#REF!</definedName>
    <definedName name="C.3.2..Dao_dat_de_dap" localSheetId="6">#REF!</definedName>
    <definedName name="C.3.2..Dao_dat_de_dap" localSheetId="7">#REF!</definedName>
    <definedName name="C.3.2..Dao_dat_de_dap" localSheetId="14">#REF!</definedName>
    <definedName name="C.3.2..Dao_dat_de_dap" localSheetId="15">#REF!</definedName>
    <definedName name="C.3.2..Dao_dat_de_dap" localSheetId="8">#REF!</definedName>
    <definedName name="C.3.2..Dao_dat_de_dap">#REF!</definedName>
    <definedName name="C.3.3..Dap_dat_mong" localSheetId="9">#REF!</definedName>
    <definedName name="C.3.3..Dap_dat_mong" localSheetId="10">#REF!</definedName>
    <definedName name="C.3.3..Dap_dat_mong" localSheetId="6">#REF!</definedName>
    <definedName name="C.3.3..Dap_dat_mong" localSheetId="7">#REF!</definedName>
    <definedName name="C.3.3..Dap_dat_mong" localSheetId="14">#REF!</definedName>
    <definedName name="C.3.3..Dap_dat_mong" localSheetId="15">#REF!</definedName>
    <definedName name="C.3.3..Dap_dat_mong" localSheetId="8">#REF!</definedName>
    <definedName name="C.3.3..Dap_dat_mong">#REF!</definedName>
    <definedName name="C.3.4..Dao_dap_TDia" localSheetId="9">#REF!</definedName>
    <definedName name="C.3.4..Dao_dap_TDia" localSheetId="10">#REF!</definedName>
    <definedName name="C.3.4..Dao_dap_TDia" localSheetId="6">#REF!</definedName>
    <definedName name="C.3.4..Dao_dap_TDia" localSheetId="7">#REF!</definedName>
    <definedName name="C.3.4..Dao_dap_TDia" localSheetId="14">#REF!</definedName>
    <definedName name="C.3.4..Dao_dap_TDia" localSheetId="15">#REF!</definedName>
    <definedName name="C.3.4..Dao_dap_TDia" localSheetId="8">#REF!</definedName>
    <definedName name="C.3.4..Dao_dap_TDia">#REF!</definedName>
    <definedName name="C.3.5..Dap_bo_bao" localSheetId="9">#REF!</definedName>
    <definedName name="C.3.5..Dap_bo_bao" localSheetId="10">#REF!</definedName>
    <definedName name="C.3.5..Dap_bo_bao" localSheetId="6">#REF!</definedName>
    <definedName name="C.3.5..Dap_bo_bao" localSheetId="7">#REF!</definedName>
    <definedName name="C.3.5..Dap_bo_bao" localSheetId="14">#REF!</definedName>
    <definedName name="C.3.5..Dap_bo_bao" localSheetId="15">#REF!</definedName>
    <definedName name="C.3.5..Dap_bo_bao" localSheetId="8">#REF!</definedName>
    <definedName name="C.3.5..Dap_bo_bao">#REF!</definedName>
    <definedName name="C.3.6..Bom_tat_nuoc" localSheetId="9">#REF!</definedName>
    <definedName name="C.3.6..Bom_tat_nuoc" localSheetId="10">#REF!</definedName>
    <definedName name="C.3.6..Bom_tat_nuoc" localSheetId="6">#REF!</definedName>
    <definedName name="C.3.6..Bom_tat_nuoc" localSheetId="7">#REF!</definedName>
    <definedName name="C.3.6..Bom_tat_nuoc" localSheetId="14">#REF!</definedName>
    <definedName name="C.3.6..Bom_tat_nuoc" localSheetId="15">#REF!</definedName>
    <definedName name="C.3.6..Bom_tat_nuoc" localSheetId="8">#REF!</definedName>
    <definedName name="C.3.6..Bom_tat_nuoc">#REF!</definedName>
    <definedName name="C.3.7..Dao_bun" localSheetId="9">#REF!</definedName>
    <definedName name="C.3.7..Dao_bun" localSheetId="10">#REF!</definedName>
    <definedName name="C.3.7..Dao_bun" localSheetId="6">#REF!</definedName>
    <definedName name="C.3.7..Dao_bun" localSheetId="7">#REF!</definedName>
    <definedName name="C.3.7..Dao_bun" localSheetId="14">#REF!</definedName>
    <definedName name="C.3.7..Dao_bun" localSheetId="15">#REF!</definedName>
    <definedName name="C.3.7..Dao_bun" localSheetId="8">#REF!</definedName>
    <definedName name="C.3.7..Dao_bun">#REF!</definedName>
    <definedName name="C.3.8..Dap_cat_CT" localSheetId="9">#REF!</definedName>
    <definedName name="C.3.8..Dap_cat_CT" localSheetId="10">#REF!</definedName>
    <definedName name="C.3.8..Dap_cat_CT" localSheetId="6">#REF!</definedName>
    <definedName name="C.3.8..Dap_cat_CT" localSheetId="7">#REF!</definedName>
    <definedName name="C.3.8..Dap_cat_CT" localSheetId="14">#REF!</definedName>
    <definedName name="C.3.8..Dap_cat_CT" localSheetId="15">#REF!</definedName>
    <definedName name="C.3.8..Dap_cat_CT" localSheetId="8">#REF!</definedName>
    <definedName name="C.3.8..Dap_cat_CT">#REF!</definedName>
    <definedName name="C.3.9..Dao_pha_da" localSheetId="9">#REF!</definedName>
    <definedName name="C.3.9..Dao_pha_da" localSheetId="10">#REF!</definedName>
    <definedName name="C.3.9..Dao_pha_da" localSheetId="6">#REF!</definedName>
    <definedName name="C.3.9..Dao_pha_da" localSheetId="7">#REF!</definedName>
    <definedName name="C.3.9..Dao_pha_da" localSheetId="14">#REF!</definedName>
    <definedName name="C.3.9..Dao_pha_da" localSheetId="15">#REF!</definedName>
    <definedName name="C.3.9..Dao_pha_da" localSheetId="8">#REF!</definedName>
    <definedName name="C.3.9..Dao_pha_da">#REF!</definedName>
    <definedName name="C.4.1.Cot_thep" localSheetId="9">#REF!</definedName>
    <definedName name="C.4.1.Cot_thep" localSheetId="10">#REF!</definedName>
    <definedName name="C.4.1.Cot_thep" localSheetId="6">#REF!</definedName>
    <definedName name="C.4.1.Cot_thep" localSheetId="7">#REF!</definedName>
    <definedName name="C.4.1.Cot_thep" localSheetId="14">#REF!</definedName>
    <definedName name="C.4.1.Cot_thep" localSheetId="15">#REF!</definedName>
    <definedName name="C.4.1.Cot_thep" localSheetId="8">#REF!</definedName>
    <definedName name="C.4.1.Cot_thep">#REF!</definedName>
    <definedName name="C.4.2..Van_khuon" localSheetId="9">#REF!</definedName>
    <definedName name="C.4.2..Van_khuon" localSheetId="10">#REF!</definedName>
    <definedName name="C.4.2..Van_khuon" localSheetId="6">#REF!</definedName>
    <definedName name="C.4.2..Van_khuon" localSheetId="7">#REF!</definedName>
    <definedName name="C.4.2..Van_khuon" localSheetId="14">#REF!</definedName>
    <definedName name="C.4.2..Van_khuon" localSheetId="15">#REF!</definedName>
    <definedName name="C.4.2..Van_khuon" localSheetId="8">#REF!</definedName>
    <definedName name="C.4.2..Van_khuon">#REF!</definedName>
    <definedName name="C.4.3..Be_tong" localSheetId="9">#REF!</definedName>
    <definedName name="C.4.3..Be_tong" localSheetId="10">#REF!</definedName>
    <definedName name="C.4.3..Be_tong" localSheetId="6">#REF!</definedName>
    <definedName name="C.4.3..Be_tong" localSheetId="7">#REF!</definedName>
    <definedName name="C.4.3..Be_tong" localSheetId="14">#REF!</definedName>
    <definedName name="C.4.3..Be_tong" localSheetId="15">#REF!</definedName>
    <definedName name="C.4.3..Be_tong" localSheetId="8">#REF!</definedName>
    <definedName name="C.4.3..Be_tong">#REF!</definedName>
    <definedName name="C.4.4..Lap_BT_D.San" localSheetId="9">#REF!</definedName>
    <definedName name="C.4.4..Lap_BT_D.San" localSheetId="10">#REF!</definedName>
    <definedName name="C.4.4..Lap_BT_D.San" localSheetId="6">#REF!</definedName>
    <definedName name="C.4.4..Lap_BT_D.San" localSheetId="7">#REF!</definedName>
    <definedName name="C.4.4..Lap_BT_D.San" localSheetId="14">#REF!</definedName>
    <definedName name="C.4.4..Lap_BT_D.San" localSheetId="15">#REF!</definedName>
    <definedName name="C.4.4..Lap_BT_D.San" localSheetId="8">#REF!</definedName>
    <definedName name="C.4.4..Lap_BT_D.San">#REF!</definedName>
    <definedName name="C.4.5..Xay_da_hoc" localSheetId="9">#REF!</definedName>
    <definedName name="C.4.5..Xay_da_hoc" localSheetId="10">#REF!</definedName>
    <definedName name="C.4.5..Xay_da_hoc" localSheetId="6">#REF!</definedName>
    <definedName name="C.4.5..Xay_da_hoc" localSheetId="7">#REF!</definedName>
    <definedName name="C.4.5..Xay_da_hoc" localSheetId="14">#REF!</definedName>
    <definedName name="C.4.5..Xay_da_hoc" localSheetId="15">#REF!</definedName>
    <definedName name="C.4.5..Xay_da_hoc" localSheetId="8">#REF!</definedName>
    <definedName name="C.4.5..Xay_da_hoc">#REF!</definedName>
    <definedName name="C.4.6..Dong_coc" localSheetId="9">#REF!</definedName>
    <definedName name="C.4.6..Dong_coc" localSheetId="10">#REF!</definedName>
    <definedName name="C.4.6..Dong_coc" localSheetId="6">#REF!</definedName>
    <definedName name="C.4.6..Dong_coc" localSheetId="7">#REF!</definedName>
    <definedName name="C.4.6..Dong_coc" localSheetId="14">#REF!</definedName>
    <definedName name="C.4.6..Dong_coc" localSheetId="15">#REF!</definedName>
    <definedName name="C.4.6..Dong_coc" localSheetId="8">#REF!</definedName>
    <definedName name="C.4.6..Dong_coc">#REF!</definedName>
    <definedName name="C.4.7..Quet_Bi_tum" localSheetId="9">#REF!</definedName>
    <definedName name="C.4.7..Quet_Bi_tum" localSheetId="10">#REF!</definedName>
    <definedName name="C.4.7..Quet_Bi_tum" localSheetId="6">#REF!</definedName>
    <definedName name="C.4.7..Quet_Bi_tum" localSheetId="7">#REF!</definedName>
    <definedName name="C.4.7..Quet_Bi_tum" localSheetId="14">#REF!</definedName>
    <definedName name="C.4.7..Quet_Bi_tum" localSheetId="15">#REF!</definedName>
    <definedName name="C.4.7..Quet_Bi_tum" localSheetId="8">#REF!</definedName>
    <definedName name="C.4.7..Quet_Bi_tum">#REF!</definedName>
    <definedName name="C.5.1..Lap_cot_thep" localSheetId="9">#REF!</definedName>
    <definedName name="C.5.1..Lap_cot_thep" localSheetId="10">#REF!</definedName>
    <definedName name="C.5.1..Lap_cot_thep" localSheetId="6">#REF!</definedName>
    <definedName name="C.5.1..Lap_cot_thep" localSheetId="7">#REF!</definedName>
    <definedName name="C.5.1..Lap_cot_thep" localSheetId="14">#REF!</definedName>
    <definedName name="C.5.1..Lap_cot_thep" localSheetId="15">#REF!</definedName>
    <definedName name="C.5.1..Lap_cot_thep" localSheetId="8">#REF!</definedName>
    <definedName name="C.5.1..Lap_cot_thep">#REF!</definedName>
    <definedName name="C.5.2..Lap_cot_BT" localSheetId="9">#REF!</definedName>
    <definedName name="C.5.2..Lap_cot_BT" localSheetId="10">#REF!</definedName>
    <definedName name="C.5.2..Lap_cot_BT" localSheetId="6">#REF!</definedName>
    <definedName name="C.5.2..Lap_cot_BT" localSheetId="7">#REF!</definedName>
    <definedName name="C.5.2..Lap_cot_BT" localSheetId="14">#REF!</definedName>
    <definedName name="C.5.2..Lap_cot_BT" localSheetId="15">#REF!</definedName>
    <definedName name="C.5.2..Lap_cot_BT" localSheetId="8">#REF!</definedName>
    <definedName name="C.5.2..Lap_cot_BT">#REF!</definedName>
    <definedName name="C.5.3..Lap_dat_xa" localSheetId="9">#REF!</definedName>
    <definedName name="C.5.3..Lap_dat_xa" localSheetId="10">#REF!</definedName>
    <definedName name="C.5.3..Lap_dat_xa" localSheetId="6">#REF!</definedName>
    <definedName name="C.5.3..Lap_dat_xa" localSheetId="7">#REF!</definedName>
    <definedName name="C.5.3..Lap_dat_xa" localSheetId="14">#REF!</definedName>
    <definedName name="C.5.3..Lap_dat_xa" localSheetId="15">#REF!</definedName>
    <definedName name="C.5.3..Lap_dat_xa" localSheetId="8">#REF!</definedName>
    <definedName name="C.5.3..Lap_dat_xa">#REF!</definedName>
    <definedName name="C.5.4..Lap_tiep_dia" localSheetId="9">#REF!</definedName>
    <definedName name="C.5.4..Lap_tiep_dia" localSheetId="10">#REF!</definedName>
    <definedName name="C.5.4..Lap_tiep_dia" localSheetId="6">#REF!</definedName>
    <definedName name="C.5.4..Lap_tiep_dia" localSheetId="7">#REF!</definedName>
    <definedName name="C.5.4..Lap_tiep_dia" localSheetId="14">#REF!</definedName>
    <definedName name="C.5.4..Lap_tiep_dia" localSheetId="15">#REF!</definedName>
    <definedName name="C.5.4..Lap_tiep_dia" localSheetId="8">#REF!</definedName>
    <definedName name="C.5.4..Lap_tiep_dia">#REF!</definedName>
    <definedName name="C.5.5..Son_sat_thep" localSheetId="9">#REF!</definedName>
    <definedName name="C.5.5..Son_sat_thep" localSheetId="10">#REF!</definedName>
    <definedName name="C.5.5..Son_sat_thep" localSheetId="6">#REF!</definedName>
    <definedName name="C.5.5..Son_sat_thep" localSheetId="7">#REF!</definedName>
    <definedName name="C.5.5..Son_sat_thep" localSheetId="14">#REF!</definedName>
    <definedName name="C.5.5..Son_sat_thep" localSheetId="15">#REF!</definedName>
    <definedName name="C.5.5..Son_sat_thep" localSheetId="8">#REF!</definedName>
    <definedName name="C.5.5..Son_sat_thep">#REF!</definedName>
    <definedName name="C.6.1..Lap_su_dung" localSheetId="9">#REF!</definedName>
    <definedName name="C.6.1..Lap_su_dung" localSheetId="10">#REF!</definedName>
    <definedName name="C.6.1..Lap_su_dung" localSheetId="6">#REF!</definedName>
    <definedName name="C.6.1..Lap_su_dung" localSheetId="7">#REF!</definedName>
    <definedName name="C.6.1..Lap_su_dung" localSheetId="14">#REF!</definedName>
    <definedName name="C.6.1..Lap_su_dung" localSheetId="15">#REF!</definedName>
    <definedName name="C.6.1..Lap_su_dung" localSheetId="8">#REF!</definedName>
    <definedName name="C.6.1..Lap_su_dung">#REF!</definedName>
    <definedName name="C.6.2..Lap_su_CS" localSheetId="9">#REF!</definedName>
    <definedName name="C.6.2..Lap_su_CS" localSheetId="10">#REF!</definedName>
    <definedName name="C.6.2..Lap_su_CS" localSheetId="6">#REF!</definedName>
    <definedName name="C.6.2..Lap_su_CS" localSheetId="7">#REF!</definedName>
    <definedName name="C.6.2..Lap_su_CS" localSheetId="14">#REF!</definedName>
    <definedName name="C.6.2..Lap_su_CS" localSheetId="15">#REF!</definedName>
    <definedName name="C.6.2..Lap_su_CS" localSheetId="8">#REF!</definedName>
    <definedName name="C.6.2..Lap_su_CS">#REF!</definedName>
    <definedName name="C.6.3..Su_chuoi_do" localSheetId="9">#REF!</definedName>
    <definedName name="C.6.3..Su_chuoi_do" localSheetId="10">#REF!</definedName>
    <definedName name="C.6.3..Su_chuoi_do" localSheetId="6">#REF!</definedName>
    <definedName name="C.6.3..Su_chuoi_do" localSheetId="7">#REF!</definedName>
    <definedName name="C.6.3..Su_chuoi_do" localSheetId="14">#REF!</definedName>
    <definedName name="C.6.3..Su_chuoi_do" localSheetId="15">#REF!</definedName>
    <definedName name="C.6.3..Su_chuoi_do" localSheetId="8">#REF!</definedName>
    <definedName name="C.6.3..Su_chuoi_do">#REF!</definedName>
    <definedName name="C.6.4..Su_chuoi_neo" localSheetId="9">#REF!</definedName>
    <definedName name="C.6.4..Su_chuoi_neo" localSheetId="10">#REF!</definedName>
    <definedName name="C.6.4..Su_chuoi_neo" localSheetId="6">#REF!</definedName>
    <definedName name="C.6.4..Su_chuoi_neo" localSheetId="7">#REF!</definedName>
    <definedName name="C.6.4..Su_chuoi_neo" localSheetId="14">#REF!</definedName>
    <definedName name="C.6.4..Su_chuoi_neo" localSheetId="15">#REF!</definedName>
    <definedName name="C.6.4..Su_chuoi_neo" localSheetId="8">#REF!</definedName>
    <definedName name="C.6.4..Su_chuoi_neo">#REF!</definedName>
    <definedName name="C.6.5..Lap_phu_kien" localSheetId="9">#REF!</definedName>
    <definedName name="C.6.5..Lap_phu_kien" localSheetId="10">#REF!</definedName>
    <definedName name="C.6.5..Lap_phu_kien" localSheetId="6">#REF!</definedName>
    <definedName name="C.6.5..Lap_phu_kien" localSheetId="7">#REF!</definedName>
    <definedName name="C.6.5..Lap_phu_kien" localSheetId="14">#REF!</definedName>
    <definedName name="C.6.5..Lap_phu_kien" localSheetId="15">#REF!</definedName>
    <definedName name="C.6.5..Lap_phu_kien" localSheetId="8">#REF!</definedName>
    <definedName name="C.6.5..Lap_phu_kien">#REF!</definedName>
    <definedName name="C.6.6..Ep_noi_day" localSheetId="9">#REF!</definedName>
    <definedName name="C.6.6..Ep_noi_day" localSheetId="10">#REF!</definedName>
    <definedName name="C.6.6..Ep_noi_day" localSheetId="6">#REF!</definedName>
    <definedName name="C.6.6..Ep_noi_day" localSheetId="7">#REF!</definedName>
    <definedName name="C.6.6..Ep_noi_day" localSheetId="14">#REF!</definedName>
    <definedName name="C.6.6..Ep_noi_day" localSheetId="15">#REF!</definedName>
    <definedName name="C.6.6..Ep_noi_day" localSheetId="8">#REF!</definedName>
    <definedName name="C.6.6..Ep_noi_day">#REF!</definedName>
    <definedName name="C.6.7..KD_vuot_CN" localSheetId="9">#REF!</definedName>
    <definedName name="C.6.7..KD_vuot_CN" localSheetId="10">#REF!</definedName>
    <definedName name="C.6.7..KD_vuot_CN" localSheetId="6">#REF!</definedName>
    <definedName name="C.6.7..KD_vuot_CN" localSheetId="7">#REF!</definedName>
    <definedName name="C.6.7..KD_vuot_CN" localSheetId="14">#REF!</definedName>
    <definedName name="C.6.7..KD_vuot_CN" localSheetId="15">#REF!</definedName>
    <definedName name="C.6.7..KD_vuot_CN" localSheetId="8">#REF!</definedName>
    <definedName name="C.6.7..KD_vuot_CN">#REF!</definedName>
    <definedName name="C.6.8..Rai_cang_day" localSheetId="9">#REF!</definedName>
    <definedName name="C.6.8..Rai_cang_day" localSheetId="10">#REF!</definedName>
    <definedName name="C.6.8..Rai_cang_day" localSheetId="6">#REF!</definedName>
    <definedName name="C.6.8..Rai_cang_day" localSheetId="7">#REF!</definedName>
    <definedName name="C.6.8..Rai_cang_day" localSheetId="14">#REF!</definedName>
    <definedName name="C.6.8..Rai_cang_day" localSheetId="15">#REF!</definedName>
    <definedName name="C.6.8..Rai_cang_day" localSheetId="8">#REF!</definedName>
    <definedName name="C.6.8..Rai_cang_day">#REF!</definedName>
    <definedName name="C.6.9..Cap_quang" localSheetId="9">#REF!</definedName>
    <definedName name="C.6.9..Cap_quang" localSheetId="10">#REF!</definedName>
    <definedName name="C.6.9..Cap_quang" localSheetId="6">#REF!</definedName>
    <definedName name="C.6.9..Cap_quang" localSheetId="7">#REF!</definedName>
    <definedName name="C.6.9..Cap_quang" localSheetId="14">#REF!</definedName>
    <definedName name="C.6.9..Cap_quang" localSheetId="15">#REF!</definedName>
    <definedName name="C.6.9..Cap_quang" localSheetId="8">#REF!</definedName>
    <definedName name="C.6.9..Cap_quang">#REF!</definedName>
    <definedName name="ca.1111" localSheetId="9">#REF!</definedName>
    <definedName name="ca.1111" localSheetId="10">#REF!</definedName>
    <definedName name="ca.1111" localSheetId="6">#REF!</definedName>
    <definedName name="ca.1111" localSheetId="7">#REF!</definedName>
    <definedName name="ca.1111" localSheetId="14">#REF!</definedName>
    <definedName name="ca.1111" localSheetId="15">#REF!</definedName>
    <definedName name="ca.1111" localSheetId="8">#REF!</definedName>
    <definedName name="ca.1111">#REF!</definedName>
    <definedName name="ca.1111.th" localSheetId="9">#REF!</definedName>
    <definedName name="ca.1111.th" localSheetId="10">#REF!</definedName>
    <definedName name="ca.1111.th" localSheetId="6">#REF!</definedName>
    <definedName name="ca.1111.th" localSheetId="7">#REF!</definedName>
    <definedName name="ca.1111.th" localSheetId="14">#REF!</definedName>
    <definedName name="ca.1111.th" localSheetId="15">#REF!</definedName>
    <definedName name="ca.1111.th" localSheetId="8">#REF!</definedName>
    <definedName name="ca.1111.th">#REF!</definedName>
    <definedName name="CACAU">298161</definedName>
    <definedName name="cao" localSheetId="9">#REF!</definedName>
    <definedName name="cao" localSheetId="10">#REF!</definedName>
    <definedName name="cao" localSheetId="6">#REF!</definedName>
    <definedName name="cao" localSheetId="7">#REF!</definedName>
    <definedName name="cao" localSheetId="14">#REF!</definedName>
    <definedName name="cao" localSheetId="15">#REF!</definedName>
    <definedName name="cao" localSheetId="8">#REF!</definedName>
    <definedName name="cao">#REF!</definedName>
    <definedName name="Cat" localSheetId="9">#REF!</definedName>
    <definedName name="Cat" localSheetId="10">#REF!</definedName>
    <definedName name="Cat" localSheetId="6">#REF!</definedName>
    <definedName name="Cat" localSheetId="7">#REF!</definedName>
    <definedName name="Cat" localSheetId="14">#REF!</definedName>
    <definedName name="Cat" localSheetId="15">#REF!</definedName>
    <definedName name="Cat" localSheetId="8">#REF!</definedName>
    <definedName name="Cat">#REF!</definedName>
    <definedName name="Category_All" localSheetId="9">#REF!</definedName>
    <definedName name="Category_All" localSheetId="10">#REF!</definedName>
    <definedName name="Category_All" localSheetId="6">#REF!</definedName>
    <definedName name="Category_All" localSheetId="7">#REF!</definedName>
    <definedName name="Category_All" localSheetId="14">#REF!</definedName>
    <definedName name="Category_All" localSheetId="15">#REF!</definedName>
    <definedName name="Category_All" localSheetId="8">#REF!</definedName>
    <definedName name="Category_All">#REF!</definedName>
    <definedName name="CATIN">#N/A</definedName>
    <definedName name="CATJYOU">#N/A</definedName>
    <definedName name="catm" localSheetId="9">#REF!</definedName>
    <definedName name="catm" localSheetId="10">#REF!</definedName>
    <definedName name="catm" localSheetId="6">#REF!</definedName>
    <definedName name="catm" localSheetId="7">#REF!</definedName>
    <definedName name="catm" localSheetId="14">#REF!</definedName>
    <definedName name="catm" localSheetId="15">#REF!</definedName>
    <definedName name="catm" localSheetId="8">#REF!</definedName>
    <definedName name="catm">#REF!</definedName>
    <definedName name="catn" localSheetId="9">#REF!</definedName>
    <definedName name="catn" localSheetId="10">#REF!</definedName>
    <definedName name="catn" localSheetId="6">#REF!</definedName>
    <definedName name="catn" localSheetId="7">#REF!</definedName>
    <definedName name="catn" localSheetId="14">#REF!</definedName>
    <definedName name="catn" localSheetId="15">#REF!</definedName>
    <definedName name="catn" localSheetId="8">#REF!</definedName>
    <definedName name="catn">#REF!</definedName>
    <definedName name="CATREC">#N/A</definedName>
    <definedName name="CATSYU">#N/A</definedName>
    <definedName name="catvang" localSheetId="9">#REF!</definedName>
    <definedName name="catvang" localSheetId="10">#REF!</definedName>
    <definedName name="catvang" localSheetId="6">#REF!</definedName>
    <definedName name="catvang" localSheetId="7">#REF!</definedName>
    <definedName name="catvang" localSheetId="14">#REF!</definedName>
    <definedName name="catvang" localSheetId="15">#REF!</definedName>
    <definedName name="catvang" localSheetId="8">#REF!</definedName>
    <definedName name="catvang">#REF!</definedName>
    <definedName name="CCS" localSheetId="9">#REF!</definedName>
    <definedName name="CCS" localSheetId="10">#REF!</definedName>
    <definedName name="CCS" localSheetId="6">#REF!</definedName>
    <definedName name="CCS" localSheetId="7">#REF!</definedName>
    <definedName name="CCS" localSheetId="14">#REF!</definedName>
    <definedName name="CCS" localSheetId="15">#REF!</definedName>
    <definedName name="CCS" localSheetId="8">#REF!</definedName>
    <definedName name="CCS">#REF!</definedName>
    <definedName name="CDD" localSheetId="9">#REF!</definedName>
    <definedName name="CDD" localSheetId="10">#REF!</definedName>
    <definedName name="CDD" localSheetId="6">#REF!</definedName>
    <definedName name="CDD" localSheetId="7">#REF!</definedName>
    <definedName name="CDD" localSheetId="14">#REF!</definedName>
    <definedName name="CDD" localSheetId="15">#REF!</definedName>
    <definedName name="CDD" localSheetId="8">#REF!</definedName>
    <definedName name="CDD">#REF!</definedName>
    <definedName name="CDDD" localSheetId="9">#REF!</definedName>
    <definedName name="CDDD" localSheetId="10">#REF!</definedName>
    <definedName name="CDDD" localSheetId="6">#REF!</definedName>
    <definedName name="CDDD" localSheetId="7">#REF!</definedName>
    <definedName name="CDDD" localSheetId="14">#REF!</definedName>
    <definedName name="CDDD" localSheetId="15">#REF!</definedName>
    <definedName name="CDDD" localSheetId="8">#REF!</definedName>
    <definedName name="CDDD">#REF!</definedName>
    <definedName name="CDDD1P" localSheetId="9">#REF!</definedName>
    <definedName name="CDDD1P" localSheetId="10">#REF!</definedName>
    <definedName name="CDDD1P" localSheetId="6">#REF!</definedName>
    <definedName name="CDDD1P" localSheetId="7">#REF!</definedName>
    <definedName name="CDDD1P" localSheetId="14">#REF!</definedName>
    <definedName name="CDDD1P" localSheetId="15">#REF!</definedName>
    <definedName name="CDDD1P" localSheetId="8">#REF!</definedName>
    <definedName name="CDDD1P">#REF!</definedName>
    <definedName name="CDDD1PHA" localSheetId="9">#REF!</definedName>
    <definedName name="CDDD1PHA" localSheetId="10">#REF!</definedName>
    <definedName name="CDDD1PHA" localSheetId="6">#REF!</definedName>
    <definedName name="CDDD1PHA" localSheetId="7">#REF!</definedName>
    <definedName name="CDDD1PHA" localSheetId="14">#REF!</definedName>
    <definedName name="CDDD1PHA" localSheetId="15">#REF!</definedName>
    <definedName name="CDDD1PHA" localSheetId="8">#REF!</definedName>
    <definedName name="CDDD1PHA">#REF!</definedName>
    <definedName name="CDDD3PHA" localSheetId="9">#REF!</definedName>
    <definedName name="CDDD3PHA" localSheetId="10">#REF!</definedName>
    <definedName name="CDDD3PHA" localSheetId="6">#REF!</definedName>
    <definedName name="CDDD3PHA" localSheetId="7">#REF!</definedName>
    <definedName name="CDDD3PHA" localSheetId="14">#REF!</definedName>
    <definedName name="CDDD3PHA" localSheetId="15">#REF!</definedName>
    <definedName name="CDDD3PHA" localSheetId="8">#REF!</definedName>
    <definedName name="CDDD3PHA">#REF!</definedName>
    <definedName name="Cdnum" localSheetId="9">#REF!</definedName>
    <definedName name="Cdnum" localSheetId="10">#REF!</definedName>
    <definedName name="Cdnum" localSheetId="6">#REF!</definedName>
    <definedName name="Cdnum" localSheetId="7">#REF!</definedName>
    <definedName name="Cdnum" localSheetId="14">#REF!</definedName>
    <definedName name="Cdnum" localSheetId="15">#REF!</definedName>
    <definedName name="Cdnum" localSheetId="8">#REF!</definedName>
    <definedName name="Cdnum">#REF!</definedName>
    <definedName name="CH" localSheetId="9">#REF!</definedName>
    <definedName name="CH" localSheetId="10">#REF!</definedName>
    <definedName name="CH" localSheetId="6">#REF!</definedName>
    <definedName name="CH" localSheetId="7">#REF!</definedName>
    <definedName name="CH" localSheetId="14">#REF!</definedName>
    <definedName name="CH" localSheetId="15">#REF!</definedName>
    <definedName name="CH" localSheetId="8">#REF!</definedName>
    <definedName name="CH">#REF!</definedName>
    <definedName name="chon" localSheetId="9">#REF!</definedName>
    <definedName name="chon" localSheetId="10">#REF!</definedName>
    <definedName name="chon" localSheetId="6">#REF!</definedName>
    <definedName name="chon" localSheetId="7">#REF!</definedName>
    <definedName name="chon" localSheetId="14">#REF!</definedName>
    <definedName name="chon" localSheetId="15">#REF!</definedName>
    <definedName name="chon" localSheetId="8">#REF!</definedName>
    <definedName name="chon">#REF!</definedName>
    <definedName name="chon1" localSheetId="9">#REF!</definedName>
    <definedName name="chon1" localSheetId="10">#REF!</definedName>
    <definedName name="chon1" localSheetId="6">#REF!</definedName>
    <definedName name="chon1" localSheetId="7">#REF!</definedName>
    <definedName name="chon1" localSheetId="14">#REF!</definedName>
    <definedName name="chon1" localSheetId="15">#REF!</definedName>
    <definedName name="chon1" localSheetId="8">#REF!</definedName>
    <definedName name="chon1">#REF!</definedName>
    <definedName name="chon2" localSheetId="9">#REF!</definedName>
    <definedName name="chon2" localSheetId="10">#REF!</definedName>
    <definedName name="chon2" localSheetId="6">#REF!</definedName>
    <definedName name="chon2" localSheetId="7">#REF!</definedName>
    <definedName name="chon2" localSheetId="14">#REF!</definedName>
    <definedName name="chon2" localSheetId="15">#REF!</definedName>
    <definedName name="chon2" localSheetId="8">#REF!</definedName>
    <definedName name="chon2">#REF!</definedName>
    <definedName name="chon3" localSheetId="9">#REF!</definedName>
    <definedName name="chon3" localSheetId="10">#REF!</definedName>
    <definedName name="chon3" localSheetId="6">#REF!</definedName>
    <definedName name="chon3" localSheetId="7">#REF!</definedName>
    <definedName name="chon3" localSheetId="14">#REF!</definedName>
    <definedName name="chon3" localSheetId="15">#REF!</definedName>
    <definedName name="chon3" localSheetId="8">#REF!</definedName>
    <definedName name="chon3">#REF!</definedName>
    <definedName name="CK" localSheetId="9">#REF!</definedName>
    <definedName name="CK" localSheetId="10">#REF!</definedName>
    <definedName name="CK" localSheetId="6">#REF!</definedName>
    <definedName name="CK" localSheetId="7">#REF!</definedName>
    <definedName name="CK" localSheetId="14">#REF!</definedName>
    <definedName name="CK" localSheetId="15">#REF!</definedName>
    <definedName name="CK" localSheetId="8">#REF!</definedName>
    <definedName name="CK">#REF!</definedName>
    <definedName name="CLECH_0.4" localSheetId="9">#REF!</definedName>
    <definedName name="CLECH_0.4" localSheetId="10">#REF!</definedName>
    <definedName name="CLECH_0.4" localSheetId="6">#REF!</definedName>
    <definedName name="CLECH_0.4" localSheetId="7">#REF!</definedName>
    <definedName name="CLECH_0.4" localSheetId="14">#REF!</definedName>
    <definedName name="CLECH_0.4" localSheetId="15">#REF!</definedName>
    <definedName name="CLECH_0.4" localSheetId="8">#REF!</definedName>
    <definedName name="CLECH_0.4">#REF!</definedName>
    <definedName name="CLVC3">0.1</definedName>
    <definedName name="CLVC35" localSheetId="9">#REF!</definedName>
    <definedName name="CLVC35" localSheetId="10">#REF!</definedName>
    <definedName name="CLVC35" localSheetId="6">#REF!</definedName>
    <definedName name="CLVC35" localSheetId="7">#REF!</definedName>
    <definedName name="CLVC35" localSheetId="14">#REF!</definedName>
    <definedName name="CLVC35" localSheetId="15">#REF!</definedName>
    <definedName name="CLVC35" localSheetId="8">#REF!</definedName>
    <definedName name="CLVC35">#REF!</definedName>
    <definedName name="CLVCTB" localSheetId="9">#REF!</definedName>
    <definedName name="CLVCTB" localSheetId="10">#REF!</definedName>
    <definedName name="CLVCTB" localSheetId="6">#REF!</definedName>
    <definedName name="CLVCTB" localSheetId="7">#REF!</definedName>
    <definedName name="CLVCTB" localSheetId="14">#REF!</definedName>
    <definedName name="CLVCTB" localSheetId="15">#REF!</definedName>
    <definedName name="CLVCTB" localSheetId="8">#REF!</definedName>
    <definedName name="CLVCTB">#REF!</definedName>
    <definedName name="clvl" localSheetId="9">#REF!</definedName>
    <definedName name="clvl" localSheetId="10">#REF!</definedName>
    <definedName name="clvl" localSheetId="6">#REF!</definedName>
    <definedName name="clvl" localSheetId="7">#REF!</definedName>
    <definedName name="clvl" localSheetId="14">#REF!</definedName>
    <definedName name="clvl" localSheetId="15">#REF!</definedName>
    <definedName name="clvl" localSheetId="8">#REF!</definedName>
    <definedName name="clvl">#REF!</definedName>
    <definedName name="cn" localSheetId="9">#REF!</definedName>
    <definedName name="cn" localSheetId="10">#REF!</definedName>
    <definedName name="cn" localSheetId="6">#REF!</definedName>
    <definedName name="cn" localSheetId="7">#REF!</definedName>
    <definedName name="cn" localSheetId="14">#REF!</definedName>
    <definedName name="cn" localSheetId="15">#REF!</definedName>
    <definedName name="cn" localSheetId="8">#REF!</definedName>
    <definedName name="cn">#REF!</definedName>
    <definedName name="CNC" localSheetId="9">#REF!</definedName>
    <definedName name="CNC" localSheetId="10">#REF!</definedName>
    <definedName name="CNC" localSheetId="6">#REF!</definedName>
    <definedName name="CNC" localSheetId="7">#REF!</definedName>
    <definedName name="CNC" localSheetId="14">#REF!</definedName>
    <definedName name="CNC" localSheetId="15">#REF!</definedName>
    <definedName name="CNC" localSheetId="8">#REF!</definedName>
    <definedName name="CNC">#REF!</definedName>
    <definedName name="CND" localSheetId="9">#REF!</definedName>
    <definedName name="CND" localSheetId="10">#REF!</definedName>
    <definedName name="CND" localSheetId="6">#REF!</definedName>
    <definedName name="CND" localSheetId="7">#REF!</definedName>
    <definedName name="CND" localSheetId="14">#REF!</definedName>
    <definedName name="CND" localSheetId="15">#REF!</definedName>
    <definedName name="CND" localSheetId="8">#REF!</definedName>
    <definedName name="CND">#REF!</definedName>
    <definedName name="CNG" localSheetId="9">#REF!</definedName>
    <definedName name="CNG" localSheetId="10">#REF!</definedName>
    <definedName name="CNG" localSheetId="6">#REF!</definedName>
    <definedName name="CNG" localSheetId="7">#REF!</definedName>
    <definedName name="CNG" localSheetId="14">#REF!</definedName>
    <definedName name="CNG" localSheetId="15">#REF!</definedName>
    <definedName name="CNG" localSheetId="8">#REF!</definedName>
    <definedName name="CNG">#REF!</definedName>
    <definedName name="Co" localSheetId="9">#REF!</definedName>
    <definedName name="Co" localSheetId="10">#REF!</definedName>
    <definedName name="Co" localSheetId="6">#REF!</definedName>
    <definedName name="Co" localSheetId="7">#REF!</definedName>
    <definedName name="Co" localSheetId="14">#REF!</definedName>
    <definedName name="Co" localSheetId="15">#REF!</definedName>
    <definedName name="Co" localSheetId="8">#REF!</definedName>
    <definedName name="Co">#REF!</definedName>
    <definedName name="coc" localSheetId="9">#REF!</definedName>
    <definedName name="coc" localSheetId="10">#REF!</definedName>
    <definedName name="coc" localSheetId="6">#REF!</definedName>
    <definedName name="coc" localSheetId="7">#REF!</definedName>
    <definedName name="coc" localSheetId="14">#REF!</definedName>
    <definedName name="coc" localSheetId="15">#REF!</definedName>
    <definedName name="coc" localSheetId="8">#REF!</definedName>
    <definedName name="coc">#REF!</definedName>
    <definedName name="cocbtct" localSheetId="9">#REF!</definedName>
    <definedName name="cocbtct" localSheetId="10">#REF!</definedName>
    <definedName name="cocbtct" localSheetId="6">#REF!</definedName>
    <definedName name="cocbtct" localSheetId="7">#REF!</definedName>
    <definedName name="cocbtct" localSheetId="14">#REF!</definedName>
    <definedName name="cocbtct" localSheetId="15">#REF!</definedName>
    <definedName name="cocbtct" localSheetId="8">#REF!</definedName>
    <definedName name="cocbtct">#REF!</definedName>
    <definedName name="cocot" localSheetId="9">#REF!</definedName>
    <definedName name="cocot" localSheetId="10">#REF!</definedName>
    <definedName name="cocot" localSheetId="6">#REF!</definedName>
    <definedName name="cocot" localSheetId="7">#REF!</definedName>
    <definedName name="cocot" localSheetId="14">#REF!</definedName>
    <definedName name="cocot" localSheetId="15">#REF!</definedName>
    <definedName name="cocot" localSheetId="8">#REF!</definedName>
    <definedName name="cocot">#REF!</definedName>
    <definedName name="cocott" localSheetId="9">#REF!</definedName>
    <definedName name="cocott" localSheetId="10">#REF!</definedName>
    <definedName name="cocott" localSheetId="6">#REF!</definedName>
    <definedName name="cocott" localSheetId="7">#REF!</definedName>
    <definedName name="cocott" localSheetId="14">#REF!</definedName>
    <definedName name="cocott" localSheetId="15">#REF!</definedName>
    <definedName name="cocott" localSheetId="8">#REF!</definedName>
    <definedName name="cocott">#REF!</definedName>
    <definedName name="Cöï_ly_vaän_chuyeãn" localSheetId="9">#REF!</definedName>
    <definedName name="Cöï_ly_vaän_chuyeãn" localSheetId="10">#REF!</definedName>
    <definedName name="Cöï_ly_vaän_chuyeãn" localSheetId="6">#REF!</definedName>
    <definedName name="Cöï_ly_vaän_chuyeãn" localSheetId="7">#REF!</definedName>
    <definedName name="Cöï_ly_vaän_chuyeãn" localSheetId="14">#REF!</definedName>
    <definedName name="Cöï_ly_vaän_chuyeãn" localSheetId="15">#REF!</definedName>
    <definedName name="Cöï_ly_vaän_chuyeãn" localSheetId="8">#REF!</definedName>
    <definedName name="Cöï_ly_vaän_chuyeãn">#REF!</definedName>
    <definedName name="CÖÏ_LY_VAÄN_CHUYEÅN" localSheetId="9">#REF!</definedName>
    <definedName name="CÖÏ_LY_VAÄN_CHUYEÅN" localSheetId="10">#REF!</definedName>
    <definedName name="CÖÏ_LY_VAÄN_CHUYEÅN" localSheetId="6">#REF!</definedName>
    <definedName name="CÖÏ_LY_VAÄN_CHUYEÅN" localSheetId="7">#REF!</definedName>
    <definedName name="CÖÏ_LY_VAÄN_CHUYEÅN" localSheetId="14">#REF!</definedName>
    <definedName name="CÖÏ_LY_VAÄN_CHUYEÅN" localSheetId="15">#REF!</definedName>
    <definedName name="CÖÏ_LY_VAÄN_CHUYEÅN" localSheetId="8">#REF!</definedName>
    <definedName name="CÖÏ_LY_VAÄN_CHUYEÅN">#REF!</definedName>
    <definedName name="COMMON" localSheetId="9">#REF!</definedName>
    <definedName name="COMMON" localSheetId="10">#REF!</definedName>
    <definedName name="COMMON" localSheetId="6">#REF!</definedName>
    <definedName name="COMMON" localSheetId="7">#REF!</definedName>
    <definedName name="COMMON" localSheetId="14">#REF!</definedName>
    <definedName name="COMMON" localSheetId="15">#REF!</definedName>
    <definedName name="COMMON" localSheetId="8">#REF!</definedName>
    <definedName name="COMMON">#REF!</definedName>
    <definedName name="comong" localSheetId="9">#REF!</definedName>
    <definedName name="comong" localSheetId="10">#REF!</definedName>
    <definedName name="comong" localSheetId="6">#REF!</definedName>
    <definedName name="comong" localSheetId="7">#REF!</definedName>
    <definedName name="comong" localSheetId="14">#REF!</definedName>
    <definedName name="comong" localSheetId="15">#REF!</definedName>
    <definedName name="comong" localSheetId="8">#REF!</definedName>
    <definedName name="comong">#REF!</definedName>
    <definedName name="CON_EQP_COS" localSheetId="9">#REF!</definedName>
    <definedName name="CON_EQP_COS" localSheetId="10">#REF!</definedName>
    <definedName name="CON_EQP_COS" localSheetId="6">#REF!</definedName>
    <definedName name="CON_EQP_COS" localSheetId="7">#REF!</definedName>
    <definedName name="CON_EQP_COS" localSheetId="14">#REF!</definedName>
    <definedName name="CON_EQP_COS" localSheetId="15">#REF!</definedName>
    <definedName name="CON_EQP_COS" localSheetId="8">#REF!</definedName>
    <definedName name="CON_EQP_COS">#REF!</definedName>
    <definedName name="CON_EQP_COST" localSheetId="9">#REF!</definedName>
    <definedName name="CON_EQP_COST" localSheetId="10">#REF!</definedName>
    <definedName name="CON_EQP_COST" localSheetId="6">#REF!</definedName>
    <definedName name="CON_EQP_COST" localSheetId="7">#REF!</definedName>
    <definedName name="CON_EQP_COST" localSheetId="14">#REF!</definedName>
    <definedName name="CON_EQP_COST" localSheetId="15">#REF!</definedName>
    <definedName name="CON_EQP_COST" localSheetId="8">#REF!</definedName>
    <definedName name="CON_EQP_COST">#REF!</definedName>
    <definedName name="Cong_HM_DTCT" localSheetId="9">#REF!</definedName>
    <definedName name="Cong_HM_DTCT" localSheetId="10">#REF!</definedName>
    <definedName name="Cong_HM_DTCT" localSheetId="6">#REF!</definedName>
    <definedName name="Cong_HM_DTCT" localSheetId="7">#REF!</definedName>
    <definedName name="Cong_HM_DTCT" localSheetId="14">#REF!</definedName>
    <definedName name="Cong_HM_DTCT" localSheetId="15">#REF!</definedName>
    <definedName name="Cong_HM_DTCT" localSheetId="8">#REF!</definedName>
    <definedName name="Cong_HM_DTCT">#REF!</definedName>
    <definedName name="Cong_M_DTCT" localSheetId="9">#REF!</definedName>
    <definedName name="Cong_M_DTCT" localSheetId="10">#REF!</definedName>
    <definedName name="Cong_M_DTCT" localSheetId="6">#REF!</definedName>
    <definedName name="Cong_M_DTCT" localSheetId="7">#REF!</definedName>
    <definedName name="Cong_M_DTCT" localSheetId="14">#REF!</definedName>
    <definedName name="Cong_M_DTCT" localSheetId="15">#REF!</definedName>
    <definedName name="Cong_M_DTCT" localSheetId="8">#REF!</definedName>
    <definedName name="Cong_M_DTCT">#REF!</definedName>
    <definedName name="Cong_NC_DTCT" localSheetId="9">#REF!</definedName>
    <definedName name="Cong_NC_DTCT" localSheetId="10">#REF!</definedName>
    <definedName name="Cong_NC_DTCT" localSheetId="6">#REF!</definedName>
    <definedName name="Cong_NC_DTCT" localSheetId="7">#REF!</definedName>
    <definedName name="Cong_NC_DTCT" localSheetId="14">#REF!</definedName>
    <definedName name="Cong_NC_DTCT" localSheetId="15">#REF!</definedName>
    <definedName name="Cong_NC_DTCT" localSheetId="8">#REF!</definedName>
    <definedName name="Cong_NC_DTCT">#REF!</definedName>
    <definedName name="Cong_VL_DTCT" localSheetId="9">#REF!</definedName>
    <definedName name="Cong_VL_DTCT" localSheetId="10">#REF!</definedName>
    <definedName name="Cong_VL_DTCT" localSheetId="6">#REF!</definedName>
    <definedName name="Cong_VL_DTCT" localSheetId="7">#REF!</definedName>
    <definedName name="Cong_VL_DTCT" localSheetId="14">#REF!</definedName>
    <definedName name="Cong_VL_DTCT" localSheetId="15">#REF!</definedName>
    <definedName name="Cong_VL_DTCT" localSheetId="8">#REF!</definedName>
    <definedName name="Cong_VL_DTCT">#REF!</definedName>
    <definedName name="congbengam" localSheetId="9">#REF!</definedName>
    <definedName name="congbengam" localSheetId="10">#REF!</definedName>
    <definedName name="congbengam" localSheetId="6">#REF!</definedName>
    <definedName name="congbengam" localSheetId="7">#REF!</definedName>
    <definedName name="congbengam" localSheetId="14">#REF!</definedName>
    <definedName name="congbengam" localSheetId="15">#REF!</definedName>
    <definedName name="congbengam" localSheetId="8">#REF!</definedName>
    <definedName name="congbengam">#REF!</definedName>
    <definedName name="congbenuoc" localSheetId="9">#REF!</definedName>
    <definedName name="congbenuoc" localSheetId="10">#REF!</definedName>
    <definedName name="congbenuoc" localSheetId="6">#REF!</definedName>
    <definedName name="congbenuoc" localSheetId="7">#REF!</definedName>
    <definedName name="congbenuoc" localSheetId="14">#REF!</definedName>
    <definedName name="congbenuoc" localSheetId="15">#REF!</definedName>
    <definedName name="congbenuoc" localSheetId="8">#REF!</definedName>
    <definedName name="congbenuoc">#REF!</definedName>
    <definedName name="congcoc" localSheetId="9">#REF!</definedName>
    <definedName name="congcoc" localSheetId="10">#REF!</definedName>
    <definedName name="congcoc" localSheetId="6">#REF!</definedName>
    <definedName name="congcoc" localSheetId="7">#REF!</definedName>
    <definedName name="congcoc" localSheetId="14">#REF!</definedName>
    <definedName name="congcoc" localSheetId="15">#REF!</definedName>
    <definedName name="congcoc" localSheetId="8">#REF!</definedName>
    <definedName name="congcoc">#REF!</definedName>
    <definedName name="congcocot" localSheetId="9">#REF!</definedName>
    <definedName name="congcocot" localSheetId="10">#REF!</definedName>
    <definedName name="congcocot" localSheetId="6">#REF!</definedName>
    <definedName name="congcocot" localSheetId="7">#REF!</definedName>
    <definedName name="congcocot" localSheetId="14">#REF!</definedName>
    <definedName name="congcocot" localSheetId="15">#REF!</definedName>
    <definedName name="congcocot" localSheetId="8">#REF!</definedName>
    <definedName name="congcocot">#REF!</definedName>
    <definedName name="congcocott" localSheetId="9">#REF!</definedName>
    <definedName name="congcocott" localSheetId="10">#REF!</definedName>
    <definedName name="congcocott" localSheetId="6">#REF!</definedName>
    <definedName name="congcocott" localSheetId="7">#REF!</definedName>
    <definedName name="congcocott" localSheetId="14">#REF!</definedName>
    <definedName name="congcocott" localSheetId="15">#REF!</definedName>
    <definedName name="congcocott" localSheetId="8">#REF!</definedName>
    <definedName name="congcocott">#REF!</definedName>
    <definedName name="congcomong" localSheetId="9">#REF!</definedName>
    <definedName name="congcomong" localSheetId="10">#REF!</definedName>
    <definedName name="congcomong" localSheetId="6">#REF!</definedName>
    <definedName name="congcomong" localSheetId="7">#REF!</definedName>
    <definedName name="congcomong" localSheetId="14">#REF!</definedName>
    <definedName name="congcomong" localSheetId="15">#REF!</definedName>
    <definedName name="congcomong" localSheetId="8">#REF!</definedName>
    <definedName name="congcomong">#REF!</definedName>
    <definedName name="congcottron" localSheetId="9">#REF!</definedName>
    <definedName name="congcottron" localSheetId="10">#REF!</definedName>
    <definedName name="congcottron" localSheetId="6">#REF!</definedName>
    <definedName name="congcottron" localSheetId="7">#REF!</definedName>
    <definedName name="congcottron" localSheetId="14">#REF!</definedName>
    <definedName name="congcottron" localSheetId="15">#REF!</definedName>
    <definedName name="congcottron" localSheetId="8">#REF!</definedName>
    <definedName name="congcottron">#REF!</definedName>
    <definedName name="congcotvuong" localSheetId="9">#REF!</definedName>
    <definedName name="congcotvuong" localSheetId="10">#REF!</definedName>
    <definedName name="congcotvuong" localSheetId="6">#REF!</definedName>
    <definedName name="congcotvuong" localSheetId="7">#REF!</definedName>
    <definedName name="congcotvuong" localSheetId="14">#REF!</definedName>
    <definedName name="congcotvuong" localSheetId="15">#REF!</definedName>
    <definedName name="congcotvuong" localSheetId="8">#REF!</definedName>
    <definedName name="congcotvuong">#REF!</definedName>
    <definedName name="congdam" localSheetId="9">#REF!</definedName>
    <definedName name="congdam" localSheetId="10">#REF!</definedName>
    <definedName name="congdam" localSheetId="6">#REF!</definedName>
    <definedName name="congdam" localSheetId="7">#REF!</definedName>
    <definedName name="congdam" localSheetId="14">#REF!</definedName>
    <definedName name="congdam" localSheetId="15">#REF!</definedName>
    <definedName name="congdam" localSheetId="8">#REF!</definedName>
    <definedName name="congdam">#REF!</definedName>
    <definedName name="congdan1" localSheetId="9">#REF!</definedName>
    <definedName name="congdan1" localSheetId="10">#REF!</definedName>
    <definedName name="congdan1" localSheetId="6">#REF!</definedName>
    <definedName name="congdan1" localSheetId="7">#REF!</definedName>
    <definedName name="congdan1" localSheetId="14">#REF!</definedName>
    <definedName name="congdan1" localSheetId="15">#REF!</definedName>
    <definedName name="congdan1" localSheetId="8">#REF!</definedName>
    <definedName name="congdan1">#REF!</definedName>
    <definedName name="congdan2" localSheetId="9">#REF!</definedName>
    <definedName name="congdan2" localSheetId="10">#REF!</definedName>
    <definedName name="congdan2" localSheetId="6">#REF!</definedName>
    <definedName name="congdan2" localSheetId="7">#REF!</definedName>
    <definedName name="congdan2" localSheetId="14">#REF!</definedName>
    <definedName name="congdan2" localSheetId="15">#REF!</definedName>
    <definedName name="congdan2" localSheetId="8">#REF!</definedName>
    <definedName name="congdan2">#REF!</definedName>
    <definedName name="congdandusan" localSheetId="9">#REF!</definedName>
    <definedName name="congdandusan" localSheetId="10">#REF!</definedName>
    <definedName name="congdandusan" localSheetId="6">#REF!</definedName>
    <definedName name="congdandusan" localSheetId="7">#REF!</definedName>
    <definedName name="congdandusan" localSheetId="14">#REF!</definedName>
    <definedName name="congdandusan" localSheetId="15">#REF!</definedName>
    <definedName name="congdandusan" localSheetId="8">#REF!</definedName>
    <definedName name="congdandusan">#REF!</definedName>
    <definedName name="conglanhto" localSheetId="9">#REF!</definedName>
    <definedName name="conglanhto" localSheetId="10">#REF!</definedName>
    <definedName name="conglanhto" localSheetId="6">#REF!</definedName>
    <definedName name="conglanhto" localSheetId="7">#REF!</definedName>
    <definedName name="conglanhto" localSheetId="14">#REF!</definedName>
    <definedName name="conglanhto" localSheetId="15">#REF!</definedName>
    <definedName name="conglanhto" localSheetId="8">#REF!</definedName>
    <definedName name="conglanhto">#REF!</definedName>
    <definedName name="congmong" localSheetId="9">#REF!</definedName>
    <definedName name="congmong" localSheetId="10">#REF!</definedName>
    <definedName name="congmong" localSheetId="6">#REF!</definedName>
    <definedName name="congmong" localSheetId="7">#REF!</definedName>
    <definedName name="congmong" localSheetId="14">#REF!</definedName>
    <definedName name="congmong" localSheetId="15">#REF!</definedName>
    <definedName name="congmong" localSheetId="8">#REF!</definedName>
    <definedName name="congmong">#REF!</definedName>
    <definedName name="congmongbang" localSheetId="9">#REF!</definedName>
    <definedName name="congmongbang" localSheetId="10">#REF!</definedName>
    <definedName name="congmongbang" localSheetId="6">#REF!</definedName>
    <definedName name="congmongbang" localSheetId="7">#REF!</definedName>
    <definedName name="congmongbang" localSheetId="14">#REF!</definedName>
    <definedName name="congmongbang" localSheetId="15">#REF!</definedName>
    <definedName name="congmongbang" localSheetId="8">#REF!</definedName>
    <definedName name="congmongbang">#REF!</definedName>
    <definedName name="congmongdon" localSheetId="9">#REF!</definedName>
    <definedName name="congmongdon" localSheetId="10">#REF!</definedName>
    <definedName name="congmongdon" localSheetId="6">#REF!</definedName>
    <definedName name="congmongdon" localSheetId="7">#REF!</definedName>
    <definedName name="congmongdon" localSheetId="14">#REF!</definedName>
    <definedName name="congmongdon" localSheetId="15">#REF!</definedName>
    <definedName name="congmongdon" localSheetId="8">#REF!</definedName>
    <definedName name="congmongdon">#REF!</definedName>
    <definedName name="congpanen" localSheetId="9">#REF!</definedName>
    <definedName name="congpanen" localSheetId="10">#REF!</definedName>
    <definedName name="congpanen" localSheetId="6">#REF!</definedName>
    <definedName name="congpanen" localSheetId="7">#REF!</definedName>
    <definedName name="congpanen" localSheetId="14">#REF!</definedName>
    <definedName name="congpanen" localSheetId="15">#REF!</definedName>
    <definedName name="congpanen" localSheetId="8">#REF!</definedName>
    <definedName name="congpanen">#REF!</definedName>
    <definedName name="congsan" localSheetId="9">#REF!</definedName>
    <definedName name="congsan" localSheetId="10">#REF!</definedName>
    <definedName name="congsan" localSheetId="6">#REF!</definedName>
    <definedName name="congsan" localSheetId="7">#REF!</definedName>
    <definedName name="congsan" localSheetId="14">#REF!</definedName>
    <definedName name="congsan" localSheetId="15">#REF!</definedName>
    <definedName name="congsan" localSheetId="8">#REF!</definedName>
    <definedName name="congsan">#REF!</definedName>
    <definedName name="congthang" localSheetId="9">#REF!</definedName>
    <definedName name="congthang" localSheetId="10">#REF!</definedName>
    <definedName name="congthang" localSheetId="6">#REF!</definedName>
    <definedName name="congthang" localSheetId="7">#REF!</definedName>
    <definedName name="congthang" localSheetId="14">#REF!</definedName>
    <definedName name="congthang" localSheetId="15">#REF!</definedName>
    <definedName name="congthang" localSheetId="8">#REF!</definedName>
    <definedName name="congthang">#REF!</definedName>
    <definedName name="CONST_EQ" localSheetId="9">#REF!</definedName>
    <definedName name="CONST_EQ" localSheetId="10">#REF!</definedName>
    <definedName name="CONST_EQ" localSheetId="6">#REF!</definedName>
    <definedName name="CONST_EQ" localSheetId="7">#REF!</definedName>
    <definedName name="CONST_EQ" localSheetId="14">#REF!</definedName>
    <definedName name="CONST_EQ" localSheetId="15">#REF!</definedName>
    <definedName name="CONST_EQ" localSheetId="8">#REF!</definedName>
    <definedName name="CONST_EQ">#REF!</definedName>
    <definedName name="COT" localSheetId="9">#REF!</definedName>
    <definedName name="COT" localSheetId="10">#REF!</definedName>
    <definedName name="COT" localSheetId="6">#REF!</definedName>
    <definedName name="COT" localSheetId="7">#REF!</definedName>
    <definedName name="COT" localSheetId="14">#REF!</definedName>
    <definedName name="COT" localSheetId="15">#REF!</definedName>
    <definedName name="COT" localSheetId="8">#REF!</definedName>
    <definedName name="COT">#REF!</definedName>
    <definedName name="cot7.5" localSheetId="9">#REF!</definedName>
    <definedName name="cot7.5" localSheetId="10">#REF!</definedName>
    <definedName name="cot7.5" localSheetId="6">#REF!</definedName>
    <definedName name="cot7.5" localSheetId="7">#REF!</definedName>
    <definedName name="cot7.5" localSheetId="14">#REF!</definedName>
    <definedName name="cot7.5" localSheetId="15">#REF!</definedName>
    <definedName name="cot7.5" localSheetId="8">#REF!</definedName>
    <definedName name="cot7.5">#REF!</definedName>
    <definedName name="cot8.5" localSheetId="9">#REF!</definedName>
    <definedName name="cot8.5" localSheetId="10">#REF!</definedName>
    <definedName name="cot8.5" localSheetId="6">#REF!</definedName>
    <definedName name="cot8.5" localSheetId="7">#REF!</definedName>
    <definedName name="cot8.5" localSheetId="14">#REF!</definedName>
    <definedName name="cot8.5" localSheetId="15">#REF!</definedName>
    <definedName name="cot8.5" localSheetId="8">#REF!</definedName>
    <definedName name="cot8.5">#REF!</definedName>
    <definedName name="Cotsatma">9726</definedName>
    <definedName name="Cotthepma">9726</definedName>
    <definedName name="cottron" localSheetId="9">#REF!</definedName>
    <definedName name="cottron" localSheetId="10">#REF!</definedName>
    <definedName name="cottron" localSheetId="6">#REF!</definedName>
    <definedName name="cottron" localSheetId="7">#REF!</definedName>
    <definedName name="cottron" localSheetId="14">#REF!</definedName>
    <definedName name="cottron" localSheetId="15">#REF!</definedName>
    <definedName name="cottron" localSheetId="8">#REF!</definedName>
    <definedName name="cottron">#REF!</definedName>
    <definedName name="cotvuong" localSheetId="9">#REF!</definedName>
    <definedName name="cotvuong" localSheetId="10">#REF!</definedName>
    <definedName name="cotvuong" localSheetId="6">#REF!</definedName>
    <definedName name="cotvuong" localSheetId="7">#REF!</definedName>
    <definedName name="cotvuong" localSheetId="14">#REF!</definedName>
    <definedName name="cotvuong" localSheetId="15">#REF!</definedName>
    <definedName name="cotvuong" localSheetId="8">#REF!</definedName>
    <definedName name="cotvuong">#REF!</definedName>
    <definedName name="COVER" localSheetId="9">#REF!</definedName>
    <definedName name="COVER" localSheetId="10">#REF!</definedName>
    <definedName name="COVER" localSheetId="6">#REF!</definedName>
    <definedName name="COVER" localSheetId="7">#REF!</definedName>
    <definedName name="COVER" localSheetId="14">#REF!</definedName>
    <definedName name="COVER" localSheetId="15">#REF!</definedName>
    <definedName name="COVER" localSheetId="8">#REF!</definedName>
    <definedName name="COVER">#REF!</definedName>
    <definedName name="cpmtc" localSheetId="9">#REF!</definedName>
    <definedName name="cpmtc" localSheetId="10">#REF!</definedName>
    <definedName name="cpmtc" localSheetId="6">#REF!</definedName>
    <definedName name="cpmtc" localSheetId="7">#REF!</definedName>
    <definedName name="cpmtc" localSheetId="14">#REF!</definedName>
    <definedName name="cpmtc" localSheetId="15">#REF!</definedName>
    <definedName name="cpmtc" localSheetId="8">#REF!</definedName>
    <definedName name="cpmtc">#REF!</definedName>
    <definedName name="cpnc" localSheetId="9">#REF!</definedName>
    <definedName name="cpnc" localSheetId="10">#REF!</definedName>
    <definedName name="cpnc" localSheetId="6">#REF!</definedName>
    <definedName name="cpnc" localSheetId="7">#REF!</definedName>
    <definedName name="cpnc" localSheetId="14">#REF!</definedName>
    <definedName name="cpnc" localSheetId="15">#REF!</definedName>
    <definedName name="cpnc" localSheetId="8">#REF!</definedName>
    <definedName name="cpnc">#REF!</definedName>
    <definedName name="cptt" localSheetId="9">#REF!</definedName>
    <definedName name="cptt" localSheetId="10">#REF!</definedName>
    <definedName name="cptt" localSheetId="6">#REF!</definedName>
    <definedName name="cptt" localSheetId="7">#REF!</definedName>
    <definedName name="cptt" localSheetId="14">#REF!</definedName>
    <definedName name="cptt" localSheetId="15">#REF!</definedName>
    <definedName name="cptt" localSheetId="8">#REF!</definedName>
    <definedName name="cptt">#REF!</definedName>
    <definedName name="CPVC35" localSheetId="9">#REF!</definedName>
    <definedName name="CPVC35" localSheetId="10">#REF!</definedName>
    <definedName name="CPVC35" localSheetId="6">#REF!</definedName>
    <definedName name="CPVC35" localSheetId="7">#REF!</definedName>
    <definedName name="CPVC35" localSheetId="14">#REF!</definedName>
    <definedName name="CPVC35" localSheetId="15">#REF!</definedName>
    <definedName name="CPVC35" localSheetId="8">#REF!</definedName>
    <definedName name="CPVC35">#REF!</definedName>
    <definedName name="CPVCDN" localSheetId="9">#REF!</definedName>
    <definedName name="CPVCDN" localSheetId="10">#REF!</definedName>
    <definedName name="CPVCDN" localSheetId="6">#REF!</definedName>
    <definedName name="CPVCDN" localSheetId="7">#REF!</definedName>
    <definedName name="CPVCDN" localSheetId="14">#REF!</definedName>
    <definedName name="CPVCDN" localSheetId="15">#REF!</definedName>
    <definedName name="CPVCDN" localSheetId="8">#REF!</definedName>
    <definedName name="CPVCDN">#REF!</definedName>
    <definedName name="cpvl" localSheetId="9">#REF!</definedName>
    <definedName name="cpvl" localSheetId="10">#REF!</definedName>
    <definedName name="cpvl" localSheetId="6">#REF!</definedName>
    <definedName name="cpvl" localSheetId="7">#REF!</definedName>
    <definedName name="cpvl" localSheetId="14">#REF!</definedName>
    <definedName name="cpvl" localSheetId="15">#REF!</definedName>
    <definedName name="cpvl" localSheetId="8">#REF!</definedName>
    <definedName name="cpvl">#REF!</definedName>
    <definedName name="CRD" localSheetId="9">#REF!</definedName>
    <definedName name="CRD" localSheetId="10">#REF!</definedName>
    <definedName name="CRD" localSheetId="6">#REF!</definedName>
    <definedName name="CRD" localSheetId="7">#REF!</definedName>
    <definedName name="CRD" localSheetId="14">#REF!</definedName>
    <definedName name="CRD" localSheetId="15">#REF!</definedName>
    <definedName name="CRD" localSheetId="8">#REF!</definedName>
    <definedName name="CRD">#REF!</definedName>
    <definedName name="CRITINST" localSheetId="9">#REF!</definedName>
    <definedName name="CRITINST" localSheetId="10">#REF!</definedName>
    <definedName name="CRITINST" localSheetId="6">#REF!</definedName>
    <definedName name="CRITINST" localSheetId="7">#REF!</definedName>
    <definedName name="CRITINST" localSheetId="14">#REF!</definedName>
    <definedName name="CRITINST" localSheetId="15">#REF!</definedName>
    <definedName name="CRITINST" localSheetId="8">#REF!</definedName>
    <definedName name="CRITINST">#REF!</definedName>
    <definedName name="CRITPURC" localSheetId="9">#REF!</definedName>
    <definedName name="CRITPURC" localSheetId="10">#REF!</definedName>
    <definedName name="CRITPURC" localSheetId="6">#REF!</definedName>
    <definedName name="CRITPURC" localSheetId="7">#REF!</definedName>
    <definedName name="CRITPURC" localSheetId="14">#REF!</definedName>
    <definedName name="CRITPURC" localSheetId="15">#REF!</definedName>
    <definedName name="CRITPURC" localSheetId="8">#REF!</definedName>
    <definedName name="CRITPURC">#REF!</definedName>
    <definedName name="CRS" localSheetId="9">#REF!</definedName>
    <definedName name="CRS" localSheetId="10">#REF!</definedName>
    <definedName name="CRS" localSheetId="6">#REF!</definedName>
    <definedName name="CRS" localSheetId="7">#REF!</definedName>
    <definedName name="CRS" localSheetId="14">#REF!</definedName>
    <definedName name="CRS" localSheetId="15">#REF!</definedName>
    <definedName name="CRS" localSheetId="8">#REF!</definedName>
    <definedName name="CRS">#REF!</definedName>
    <definedName name="CS" localSheetId="9">#REF!</definedName>
    <definedName name="CS" localSheetId="10">#REF!</definedName>
    <definedName name="CS" localSheetId="6">#REF!</definedName>
    <definedName name="CS" localSheetId="7">#REF!</definedName>
    <definedName name="CS" localSheetId="14">#REF!</definedName>
    <definedName name="CS" localSheetId="15">#REF!</definedName>
    <definedName name="CS" localSheetId="8">#REF!</definedName>
    <definedName name="CS">#REF!</definedName>
    <definedName name="CS_10" localSheetId="9">#REF!</definedName>
    <definedName name="CS_10" localSheetId="10">#REF!</definedName>
    <definedName name="CS_10" localSheetId="6">#REF!</definedName>
    <definedName name="CS_10" localSheetId="7">#REF!</definedName>
    <definedName name="CS_10" localSheetId="14">#REF!</definedName>
    <definedName name="CS_10" localSheetId="15">#REF!</definedName>
    <definedName name="CS_10" localSheetId="8">#REF!</definedName>
    <definedName name="CS_10">#REF!</definedName>
    <definedName name="CS_100" localSheetId="9">#REF!</definedName>
    <definedName name="CS_100" localSheetId="10">#REF!</definedName>
    <definedName name="CS_100" localSheetId="6">#REF!</definedName>
    <definedName name="CS_100" localSheetId="7">#REF!</definedName>
    <definedName name="CS_100" localSheetId="14">#REF!</definedName>
    <definedName name="CS_100" localSheetId="15">#REF!</definedName>
    <definedName name="CS_100" localSheetId="8">#REF!</definedName>
    <definedName name="CS_100">#REF!</definedName>
    <definedName name="CS_10S" localSheetId="9">#REF!</definedName>
    <definedName name="CS_10S" localSheetId="10">#REF!</definedName>
    <definedName name="CS_10S" localSheetId="6">#REF!</definedName>
    <definedName name="CS_10S" localSheetId="7">#REF!</definedName>
    <definedName name="CS_10S" localSheetId="14">#REF!</definedName>
    <definedName name="CS_10S" localSheetId="15">#REF!</definedName>
    <definedName name="CS_10S" localSheetId="8">#REF!</definedName>
    <definedName name="CS_10S">#REF!</definedName>
    <definedName name="CS_120" localSheetId="9">#REF!</definedName>
    <definedName name="CS_120" localSheetId="10">#REF!</definedName>
    <definedName name="CS_120" localSheetId="6">#REF!</definedName>
    <definedName name="CS_120" localSheetId="7">#REF!</definedName>
    <definedName name="CS_120" localSheetId="14">#REF!</definedName>
    <definedName name="CS_120" localSheetId="15">#REF!</definedName>
    <definedName name="CS_120" localSheetId="8">#REF!</definedName>
    <definedName name="CS_120">#REF!</definedName>
    <definedName name="CS_140" localSheetId="9">#REF!</definedName>
    <definedName name="CS_140" localSheetId="10">#REF!</definedName>
    <definedName name="CS_140" localSheetId="6">#REF!</definedName>
    <definedName name="CS_140" localSheetId="7">#REF!</definedName>
    <definedName name="CS_140" localSheetId="14">#REF!</definedName>
    <definedName name="CS_140" localSheetId="15">#REF!</definedName>
    <definedName name="CS_140" localSheetId="8">#REF!</definedName>
    <definedName name="CS_140">#REF!</definedName>
    <definedName name="CS_160" localSheetId="9">#REF!</definedName>
    <definedName name="CS_160" localSheetId="10">#REF!</definedName>
    <definedName name="CS_160" localSheetId="6">#REF!</definedName>
    <definedName name="CS_160" localSheetId="7">#REF!</definedName>
    <definedName name="CS_160" localSheetId="14">#REF!</definedName>
    <definedName name="CS_160" localSheetId="15">#REF!</definedName>
    <definedName name="CS_160" localSheetId="8">#REF!</definedName>
    <definedName name="CS_160">#REF!</definedName>
    <definedName name="CS_20" localSheetId="9">#REF!</definedName>
    <definedName name="CS_20" localSheetId="10">#REF!</definedName>
    <definedName name="CS_20" localSheetId="6">#REF!</definedName>
    <definedName name="CS_20" localSheetId="7">#REF!</definedName>
    <definedName name="CS_20" localSheetId="14">#REF!</definedName>
    <definedName name="CS_20" localSheetId="15">#REF!</definedName>
    <definedName name="CS_20" localSheetId="8">#REF!</definedName>
    <definedName name="CS_20">#REF!</definedName>
    <definedName name="CS_30" localSheetId="9">#REF!</definedName>
    <definedName name="CS_30" localSheetId="10">#REF!</definedName>
    <definedName name="CS_30" localSheetId="6">#REF!</definedName>
    <definedName name="CS_30" localSheetId="7">#REF!</definedName>
    <definedName name="CS_30" localSheetId="14">#REF!</definedName>
    <definedName name="CS_30" localSheetId="15">#REF!</definedName>
    <definedName name="CS_30" localSheetId="8">#REF!</definedName>
    <definedName name="CS_30">#REF!</definedName>
    <definedName name="CS_40" localSheetId="9">#REF!</definedName>
    <definedName name="CS_40" localSheetId="10">#REF!</definedName>
    <definedName name="CS_40" localSheetId="6">#REF!</definedName>
    <definedName name="CS_40" localSheetId="7">#REF!</definedName>
    <definedName name="CS_40" localSheetId="14">#REF!</definedName>
    <definedName name="CS_40" localSheetId="15">#REF!</definedName>
    <definedName name="CS_40" localSheetId="8">#REF!</definedName>
    <definedName name="CS_40">#REF!</definedName>
    <definedName name="CS_40S" localSheetId="9">#REF!</definedName>
    <definedName name="CS_40S" localSheetId="10">#REF!</definedName>
    <definedName name="CS_40S" localSheetId="6">#REF!</definedName>
    <definedName name="CS_40S" localSheetId="7">#REF!</definedName>
    <definedName name="CS_40S" localSheetId="14">#REF!</definedName>
    <definedName name="CS_40S" localSheetId="15">#REF!</definedName>
    <definedName name="CS_40S" localSheetId="8">#REF!</definedName>
    <definedName name="CS_40S">#REF!</definedName>
    <definedName name="CS_5S" localSheetId="9">#REF!</definedName>
    <definedName name="CS_5S" localSheetId="10">#REF!</definedName>
    <definedName name="CS_5S" localSheetId="6">#REF!</definedName>
    <definedName name="CS_5S" localSheetId="7">#REF!</definedName>
    <definedName name="CS_5S" localSheetId="14">#REF!</definedName>
    <definedName name="CS_5S" localSheetId="15">#REF!</definedName>
    <definedName name="CS_5S" localSheetId="8">#REF!</definedName>
    <definedName name="CS_5S">#REF!</definedName>
    <definedName name="CS_60" localSheetId="9">#REF!</definedName>
    <definedName name="CS_60" localSheetId="10">#REF!</definedName>
    <definedName name="CS_60" localSheetId="6">#REF!</definedName>
    <definedName name="CS_60" localSheetId="7">#REF!</definedName>
    <definedName name="CS_60" localSheetId="14">#REF!</definedName>
    <definedName name="CS_60" localSheetId="15">#REF!</definedName>
    <definedName name="CS_60" localSheetId="8">#REF!</definedName>
    <definedName name="CS_60">#REF!</definedName>
    <definedName name="CS_80" localSheetId="9">#REF!</definedName>
    <definedName name="CS_80" localSheetId="10">#REF!</definedName>
    <definedName name="CS_80" localSheetId="6">#REF!</definedName>
    <definedName name="CS_80" localSheetId="7">#REF!</definedName>
    <definedName name="CS_80" localSheetId="14">#REF!</definedName>
    <definedName name="CS_80" localSheetId="15">#REF!</definedName>
    <definedName name="CS_80" localSheetId="8">#REF!</definedName>
    <definedName name="CS_80">#REF!</definedName>
    <definedName name="CS_80S" localSheetId="9">#REF!</definedName>
    <definedName name="CS_80S" localSheetId="10">#REF!</definedName>
    <definedName name="CS_80S" localSheetId="6">#REF!</definedName>
    <definedName name="CS_80S" localSheetId="7">#REF!</definedName>
    <definedName name="CS_80S" localSheetId="14">#REF!</definedName>
    <definedName name="CS_80S" localSheetId="15">#REF!</definedName>
    <definedName name="CS_80S" localSheetId="8">#REF!</definedName>
    <definedName name="CS_80S">#REF!</definedName>
    <definedName name="CS_STD" localSheetId="9">#REF!</definedName>
    <definedName name="CS_STD" localSheetId="10">#REF!</definedName>
    <definedName name="CS_STD" localSheetId="6">#REF!</definedName>
    <definedName name="CS_STD" localSheetId="7">#REF!</definedName>
    <definedName name="CS_STD" localSheetId="14">#REF!</definedName>
    <definedName name="CS_STD" localSheetId="15">#REF!</definedName>
    <definedName name="CS_STD" localSheetId="8">#REF!</definedName>
    <definedName name="CS_STD">#REF!</definedName>
    <definedName name="CS_XS" localSheetId="9">#REF!</definedName>
    <definedName name="CS_XS" localSheetId="10">#REF!</definedName>
    <definedName name="CS_XS" localSheetId="6">#REF!</definedName>
    <definedName name="CS_XS" localSheetId="7">#REF!</definedName>
    <definedName name="CS_XS" localSheetId="14">#REF!</definedName>
    <definedName name="CS_XS" localSheetId="15">#REF!</definedName>
    <definedName name="CS_XS" localSheetId="8">#REF!</definedName>
    <definedName name="CS_XS">#REF!</definedName>
    <definedName name="CS_XXS" localSheetId="9">#REF!</definedName>
    <definedName name="CS_XXS" localSheetId="10">#REF!</definedName>
    <definedName name="CS_XXS" localSheetId="6">#REF!</definedName>
    <definedName name="CS_XXS" localSheetId="7">#REF!</definedName>
    <definedName name="CS_XXS" localSheetId="14">#REF!</definedName>
    <definedName name="CS_XXS" localSheetId="15">#REF!</definedName>
    <definedName name="CS_XXS" localSheetId="8">#REF!</definedName>
    <definedName name="CS_XXS">#REF!</definedName>
    <definedName name="csd3p" localSheetId="9">#REF!</definedName>
    <definedName name="csd3p" localSheetId="10">#REF!</definedName>
    <definedName name="csd3p" localSheetId="6">#REF!</definedName>
    <definedName name="csd3p" localSheetId="7">#REF!</definedName>
    <definedName name="csd3p" localSheetId="14">#REF!</definedName>
    <definedName name="csd3p" localSheetId="15">#REF!</definedName>
    <definedName name="csd3p" localSheetId="8">#REF!</definedName>
    <definedName name="csd3p">#REF!</definedName>
    <definedName name="csddg1p" localSheetId="9">#REF!</definedName>
    <definedName name="csddg1p" localSheetId="10">#REF!</definedName>
    <definedName name="csddg1p" localSheetId="6">#REF!</definedName>
    <definedName name="csddg1p" localSheetId="7">#REF!</definedName>
    <definedName name="csddg1p" localSheetId="14">#REF!</definedName>
    <definedName name="csddg1p" localSheetId="15">#REF!</definedName>
    <definedName name="csddg1p" localSheetId="8">#REF!</definedName>
    <definedName name="csddg1p">#REF!</definedName>
    <definedName name="csddt1p" localSheetId="9">#REF!</definedName>
    <definedName name="csddt1p" localSheetId="10">#REF!</definedName>
    <definedName name="csddt1p" localSheetId="6">#REF!</definedName>
    <definedName name="csddt1p" localSheetId="7">#REF!</definedName>
    <definedName name="csddt1p" localSheetId="14">#REF!</definedName>
    <definedName name="csddt1p" localSheetId="15">#REF!</definedName>
    <definedName name="csddt1p" localSheetId="8">#REF!</definedName>
    <definedName name="csddt1p">#REF!</definedName>
    <definedName name="csht3p" localSheetId="9">#REF!</definedName>
    <definedName name="csht3p" localSheetId="10">#REF!</definedName>
    <definedName name="csht3p" localSheetId="6">#REF!</definedName>
    <definedName name="csht3p" localSheetId="7">#REF!</definedName>
    <definedName name="csht3p" localSheetId="14">#REF!</definedName>
    <definedName name="csht3p" localSheetId="15">#REF!</definedName>
    <definedName name="csht3p" localSheetId="8">#REF!</definedName>
    <definedName name="csht3p">#REF!</definedName>
    <definedName name="ctiep" localSheetId="9">#REF!</definedName>
    <definedName name="ctiep" localSheetId="10">#REF!</definedName>
    <definedName name="ctiep" localSheetId="6">#REF!</definedName>
    <definedName name="ctiep" localSheetId="7">#REF!</definedName>
    <definedName name="ctiep" localSheetId="14">#REF!</definedName>
    <definedName name="ctiep" localSheetId="15">#REF!</definedName>
    <definedName name="ctiep" localSheetId="8">#REF!</definedName>
    <definedName name="ctiep">#REF!</definedName>
    <definedName name="CTIET" localSheetId="9">#REF!</definedName>
    <definedName name="CTIET" localSheetId="10">#REF!</definedName>
    <definedName name="CTIET" localSheetId="6">#REF!</definedName>
    <definedName name="CTIET" localSheetId="7">#REF!</definedName>
    <definedName name="CTIET" localSheetId="14">#REF!</definedName>
    <definedName name="CTIET" localSheetId="15">#REF!</definedName>
    <definedName name="CTIET" localSheetId="8">#REF!</definedName>
    <definedName name="CTIET">#REF!</definedName>
    <definedName name="CU_LY_VAN_CHUYEN_GIA_QUYEN" localSheetId="9">#REF!</definedName>
    <definedName name="CU_LY_VAN_CHUYEN_GIA_QUYEN" localSheetId="10">#REF!</definedName>
    <definedName name="CU_LY_VAN_CHUYEN_GIA_QUYEN" localSheetId="6">#REF!</definedName>
    <definedName name="CU_LY_VAN_CHUYEN_GIA_QUYEN" localSheetId="7">#REF!</definedName>
    <definedName name="CU_LY_VAN_CHUYEN_GIA_QUYEN" localSheetId="14">#REF!</definedName>
    <definedName name="CU_LY_VAN_CHUYEN_GIA_QUYEN" localSheetId="15">#REF!</definedName>
    <definedName name="CU_LY_VAN_CHUYEN_GIA_QUYEN" localSheetId="8">#REF!</definedName>
    <definedName name="CU_LY_VAN_CHUYEN_GIA_QUYEN">#REF!</definedName>
    <definedName name="CU_LY_VAN_CHUYEN_THU_CONG" localSheetId="9">#REF!</definedName>
    <definedName name="CU_LY_VAN_CHUYEN_THU_CONG" localSheetId="10">#REF!</definedName>
    <definedName name="CU_LY_VAN_CHUYEN_THU_CONG" localSheetId="6">#REF!</definedName>
    <definedName name="CU_LY_VAN_CHUYEN_THU_CONG" localSheetId="7">#REF!</definedName>
    <definedName name="CU_LY_VAN_CHUYEN_THU_CONG" localSheetId="14">#REF!</definedName>
    <definedName name="CU_LY_VAN_CHUYEN_THU_CONG" localSheetId="15">#REF!</definedName>
    <definedName name="CU_LY_VAN_CHUYEN_THU_CONG" localSheetId="8">#REF!</definedName>
    <definedName name="CU_LY_VAN_CHUYEN_THU_CONG">#REF!</definedName>
    <definedName name="CURRENCY" localSheetId="9">#REF!</definedName>
    <definedName name="CURRENCY" localSheetId="10">#REF!</definedName>
    <definedName name="CURRENCY" localSheetId="6">#REF!</definedName>
    <definedName name="CURRENCY" localSheetId="7">#REF!</definedName>
    <definedName name="CURRENCY" localSheetId="14">#REF!</definedName>
    <definedName name="CURRENCY" localSheetId="15">#REF!</definedName>
    <definedName name="CURRENCY" localSheetId="8">#REF!</definedName>
    <definedName name="CURRENCY">#REF!</definedName>
    <definedName name="cx" localSheetId="9">#REF!</definedName>
    <definedName name="cx" localSheetId="10">#REF!</definedName>
    <definedName name="cx" localSheetId="6">#REF!</definedName>
    <definedName name="cx" localSheetId="7">#REF!</definedName>
    <definedName name="cx" localSheetId="14">#REF!</definedName>
    <definedName name="cx" localSheetId="15">#REF!</definedName>
    <definedName name="cx" localSheetId="8">#REF!</definedName>
    <definedName name="cx">#REF!</definedName>
    <definedName name="D_7101A_B" localSheetId="9">#REF!</definedName>
    <definedName name="D_7101A_B" localSheetId="10">#REF!</definedName>
    <definedName name="D_7101A_B" localSheetId="6">#REF!</definedName>
    <definedName name="D_7101A_B" localSheetId="7">#REF!</definedName>
    <definedName name="D_7101A_B" localSheetId="14">#REF!</definedName>
    <definedName name="D_7101A_B" localSheetId="15">#REF!</definedName>
    <definedName name="D_7101A_B" localSheetId="8">#REF!</definedName>
    <definedName name="D_7101A_B">#REF!</definedName>
    <definedName name="da1x2" localSheetId="9">#REF!</definedName>
    <definedName name="da1x2" localSheetId="10">#REF!</definedName>
    <definedName name="da1x2" localSheetId="6">#REF!</definedName>
    <definedName name="da1x2" localSheetId="7">#REF!</definedName>
    <definedName name="da1x2" localSheetId="14">#REF!</definedName>
    <definedName name="da1x2" localSheetId="15">#REF!</definedName>
    <definedName name="da1x2" localSheetId="8">#REF!</definedName>
    <definedName name="da1x2">#REF!</definedName>
    <definedName name="dahoc" localSheetId="9">#REF!</definedName>
    <definedName name="dahoc" localSheetId="10">#REF!</definedName>
    <definedName name="dahoc" localSheetId="6">#REF!</definedName>
    <definedName name="dahoc" localSheetId="7">#REF!</definedName>
    <definedName name="dahoc" localSheetId="14">#REF!</definedName>
    <definedName name="dahoc" localSheetId="15">#REF!</definedName>
    <definedName name="dahoc" localSheetId="8">#REF!</definedName>
    <definedName name="dahoc">#REF!</definedName>
    <definedName name="dam" localSheetId="9">#REF!</definedName>
    <definedName name="dam" localSheetId="10">#REF!</definedName>
    <definedName name="dam" localSheetId="6">#REF!</definedName>
    <definedName name="dam" localSheetId="7">#REF!</definedName>
    <definedName name="dam" localSheetId="14">#REF!</definedName>
    <definedName name="dam" localSheetId="15">#REF!</definedName>
    <definedName name="dam" localSheetId="8">#REF!</definedName>
    <definedName name="dam">#REF!</definedName>
    <definedName name="danducsan" localSheetId="9">#REF!</definedName>
    <definedName name="danducsan" localSheetId="10">#REF!</definedName>
    <definedName name="danducsan" localSheetId="6">#REF!</definedName>
    <definedName name="danducsan" localSheetId="7">#REF!</definedName>
    <definedName name="danducsan" localSheetId="14">#REF!</definedName>
    <definedName name="danducsan" localSheetId="15">#REF!</definedName>
    <definedName name="danducsan" localSheetId="8">#REF!</definedName>
    <definedName name="danducsan">#REF!</definedName>
    <definedName name="dao" localSheetId="9">#REF!</definedName>
    <definedName name="dao" localSheetId="10">#REF!</definedName>
    <definedName name="dao" localSheetId="6">#REF!</definedName>
    <definedName name="dao" localSheetId="7">#REF!</definedName>
    <definedName name="dao" localSheetId="14">#REF!</definedName>
    <definedName name="dao" localSheetId="15">#REF!</definedName>
    <definedName name="dao" localSheetId="8">#REF!</definedName>
    <definedName name="dao">#REF!</definedName>
    <definedName name="dap" localSheetId="9">#REF!</definedName>
    <definedName name="dap" localSheetId="10">#REF!</definedName>
    <definedName name="dap" localSheetId="6">#REF!</definedName>
    <definedName name="dap" localSheetId="7">#REF!</definedName>
    <definedName name="dap" localSheetId="14">#REF!</definedName>
    <definedName name="dap" localSheetId="15">#REF!</definedName>
    <definedName name="dap" localSheetId="8">#REF!</definedName>
    <definedName name="dap">#REF!</definedName>
    <definedName name="DAT" localSheetId="9">#REF!</definedName>
    <definedName name="DAT" localSheetId="10">#REF!</definedName>
    <definedName name="DAT" localSheetId="6">#REF!</definedName>
    <definedName name="DAT" localSheetId="7">#REF!</definedName>
    <definedName name="DAT" localSheetId="14">#REF!</definedName>
    <definedName name="DAT" localSheetId="15">#REF!</definedName>
    <definedName name="DAT" localSheetId="8">#REF!</definedName>
    <definedName name="DAT">#REF!</definedName>
    <definedName name="DATA_DATA2_List" localSheetId="9">#REF!</definedName>
    <definedName name="DATA_DATA2_List" localSheetId="10">#REF!</definedName>
    <definedName name="DATA_DATA2_List" localSheetId="6">#REF!</definedName>
    <definedName name="DATA_DATA2_List" localSheetId="7">#REF!</definedName>
    <definedName name="DATA_DATA2_List" localSheetId="14">#REF!</definedName>
    <definedName name="DATA_DATA2_List" localSheetId="15">#REF!</definedName>
    <definedName name="DATA_DATA2_List" localSheetId="8">#REF!</definedName>
    <definedName name="DATA_DATA2_List">#REF!</definedName>
    <definedName name="_xlnm.Database" localSheetId="9">#REF!</definedName>
    <definedName name="_xlnm.Database" localSheetId="10">#REF!</definedName>
    <definedName name="_xlnm.Database" localSheetId="6">#REF!</definedName>
    <definedName name="_xlnm.Database" localSheetId="7">#REF!</definedName>
    <definedName name="_xlnm.Database" localSheetId="14">#REF!</definedName>
    <definedName name="_xlnm.Database" localSheetId="15">#REF!</definedName>
    <definedName name="_xlnm.Database" localSheetId="8">#REF!</definedName>
    <definedName name="_xlnm.Database">#REF!</definedName>
    <definedName name="DCL_22">12117600</definedName>
    <definedName name="DCL_35">25490000</definedName>
    <definedName name="DD" localSheetId="9">#REF!</definedName>
    <definedName name="DD" localSheetId="10">#REF!</definedName>
    <definedName name="DD" localSheetId="6">#REF!</definedName>
    <definedName name="DD" localSheetId="7">#REF!</definedName>
    <definedName name="DD" localSheetId="14">#REF!</definedName>
    <definedName name="DD" localSheetId="15">#REF!</definedName>
    <definedName name="DD" localSheetId="8">#REF!</definedName>
    <definedName name="DD">#REF!</definedName>
    <definedName name="DDAY" localSheetId="9">#REF!</definedName>
    <definedName name="DDAY" localSheetId="10">#REF!</definedName>
    <definedName name="DDAY" localSheetId="6">#REF!</definedName>
    <definedName name="DDAY" localSheetId="7">#REF!</definedName>
    <definedName name="DDAY" localSheetId="14">#REF!</definedName>
    <definedName name="DDAY" localSheetId="15">#REF!</definedName>
    <definedName name="DDAY" localSheetId="8">#REF!</definedName>
    <definedName name="DDAY">#REF!</definedName>
    <definedName name="DDK" localSheetId="9">#REF!</definedName>
    <definedName name="DDK" localSheetId="10">#REF!</definedName>
    <definedName name="DDK" localSheetId="6">#REF!</definedName>
    <definedName name="DDK" localSheetId="7">#REF!</definedName>
    <definedName name="DDK" localSheetId="14">#REF!</definedName>
    <definedName name="DDK" localSheetId="15">#REF!</definedName>
    <definedName name="DDK" localSheetId="8">#REF!</definedName>
    <definedName name="DDK">#REF!</definedName>
    <definedName name="den_bu" localSheetId="9">#REF!</definedName>
    <definedName name="den_bu" localSheetId="10">#REF!</definedName>
    <definedName name="den_bu" localSheetId="6">#REF!</definedName>
    <definedName name="den_bu" localSheetId="7">#REF!</definedName>
    <definedName name="den_bu" localSheetId="14">#REF!</definedName>
    <definedName name="den_bu" localSheetId="15">#REF!</definedName>
    <definedName name="den_bu" localSheetId="8">#REF!</definedName>
    <definedName name="den_bu">#REF!</definedName>
    <definedName name="denbu" localSheetId="9">#REF!</definedName>
    <definedName name="denbu" localSheetId="10">#REF!</definedName>
    <definedName name="denbu" localSheetId="6">#REF!</definedName>
    <definedName name="denbu" localSheetId="7">#REF!</definedName>
    <definedName name="denbu" localSheetId="14">#REF!</definedName>
    <definedName name="denbu" localSheetId="15">#REF!</definedName>
    <definedName name="denbu" localSheetId="8">#REF!</definedName>
    <definedName name="denbu">#REF!</definedName>
    <definedName name="Det32x3" localSheetId="9">#REF!</definedName>
    <definedName name="Det32x3" localSheetId="10">#REF!</definedName>
    <definedName name="Det32x3" localSheetId="6">#REF!</definedName>
    <definedName name="Det32x3" localSheetId="7">#REF!</definedName>
    <definedName name="Det32x3" localSheetId="14">#REF!</definedName>
    <definedName name="Det32x3" localSheetId="15">#REF!</definedName>
    <definedName name="Det32x3" localSheetId="8">#REF!</definedName>
    <definedName name="Det32x3">#REF!</definedName>
    <definedName name="Det35x3" localSheetId="9">#REF!</definedName>
    <definedName name="Det35x3" localSheetId="10">#REF!</definedName>
    <definedName name="Det35x3" localSheetId="6">#REF!</definedName>
    <definedName name="Det35x3" localSheetId="7">#REF!</definedName>
    <definedName name="Det35x3" localSheetId="14">#REF!</definedName>
    <definedName name="Det35x3" localSheetId="15">#REF!</definedName>
    <definedName name="Det35x3" localSheetId="8">#REF!</definedName>
    <definedName name="Det35x3">#REF!</definedName>
    <definedName name="Det40x4" localSheetId="9">#REF!</definedName>
    <definedName name="Det40x4" localSheetId="10">#REF!</definedName>
    <definedName name="Det40x4" localSheetId="6">#REF!</definedName>
    <definedName name="Det40x4" localSheetId="7">#REF!</definedName>
    <definedName name="Det40x4" localSheetId="14">#REF!</definedName>
    <definedName name="Det40x4" localSheetId="15">#REF!</definedName>
    <definedName name="Det40x4" localSheetId="8">#REF!</definedName>
    <definedName name="Det40x4">#REF!</definedName>
    <definedName name="Det50x5" localSheetId="9">#REF!</definedName>
    <definedName name="Det50x5" localSheetId="10">#REF!</definedName>
    <definedName name="Det50x5" localSheetId="6">#REF!</definedName>
    <definedName name="Det50x5" localSheetId="7">#REF!</definedName>
    <definedName name="Det50x5" localSheetId="14">#REF!</definedName>
    <definedName name="Det50x5" localSheetId="15">#REF!</definedName>
    <definedName name="Det50x5" localSheetId="8">#REF!</definedName>
    <definedName name="Det50x5">#REF!</definedName>
    <definedName name="Det63x6" localSheetId="9">#REF!</definedName>
    <definedName name="Det63x6" localSheetId="10">#REF!</definedName>
    <definedName name="Det63x6" localSheetId="6">#REF!</definedName>
    <definedName name="Det63x6" localSheetId="7">#REF!</definedName>
    <definedName name="Det63x6" localSheetId="14">#REF!</definedName>
    <definedName name="Det63x6" localSheetId="15">#REF!</definedName>
    <definedName name="Det63x6" localSheetId="8">#REF!</definedName>
    <definedName name="Det63x6">#REF!</definedName>
    <definedName name="Det75x6" localSheetId="9">#REF!</definedName>
    <definedName name="Det75x6" localSheetId="10">#REF!</definedName>
    <definedName name="Det75x6" localSheetId="6">#REF!</definedName>
    <definedName name="Det75x6" localSheetId="7">#REF!</definedName>
    <definedName name="Det75x6" localSheetId="14">#REF!</definedName>
    <definedName name="Det75x6" localSheetId="15">#REF!</definedName>
    <definedName name="Det75x6" localSheetId="8">#REF!</definedName>
    <definedName name="Det75x6">#REF!</definedName>
    <definedName name="dgbdII" localSheetId="9">#REF!</definedName>
    <definedName name="dgbdII" localSheetId="10">#REF!</definedName>
    <definedName name="dgbdII" localSheetId="6">#REF!</definedName>
    <definedName name="dgbdII" localSheetId="7">#REF!</definedName>
    <definedName name="dgbdII" localSheetId="14">#REF!</definedName>
    <definedName name="dgbdII" localSheetId="15">#REF!</definedName>
    <definedName name="dgbdII" localSheetId="8">#REF!</definedName>
    <definedName name="dgbdII">#REF!</definedName>
    <definedName name="DGCTI592" localSheetId="9">#REF!</definedName>
    <definedName name="DGCTI592" localSheetId="10">#REF!</definedName>
    <definedName name="DGCTI592" localSheetId="6">#REF!</definedName>
    <definedName name="DGCTI592" localSheetId="7">#REF!</definedName>
    <definedName name="DGCTI592" localSheetId="14">#REF!</definedName>
    <definedName name="DGCTI592" localSheetId="15">#REF!</definedName>
    <definedName name="DGCTI592" localSheetId="8">#REF!</definedName>
    <definedName name="DGCTI592">#REF!</definedName>
    <definedName name="DGNC" localSheetId="9">#REF!</definedName>
    <definedName name="DGNC" localSheetId="10">#REF!</definedName>
    <definedName name="DGNC" localSheetId="6">#REF!</definedName>
    <definedName name="DGNC" localSheetId="7">#REF!</definedName>
    <definedName name="DGNC" localSheetId="14">#REF!</definedName>
    <definedName name="DGNC" localSheetId="15">#REF!</definedName>
    <definedName name="DGNC" localSheetId="8">#REF!</definedName>
    <definedName name="DGNC">#REF!</definedName>
    <definedName name="dgqndn" localSheetId="9">#REF!</definedName>
    <definedName name="dgqndn" localSheetId="10">#REF!</definedName>
    <definedName name="dgqndn" localSheetId="6">#REF!</definedName>
    <definedName name="dgqndn" localSheetId="7">#REF!</definedName>
    <definedName name="dgqndn" localSheetId="14">#REF!</definedName>
    <definedName name="dgqndn" localSheetId="15">#REF!</definedName>
    <definedName name="dgqndn" localSheetId="8">#REF!</definedName>
    <definedName name="dgqndn">#REF!</definedName>
    <definedName name="DGTV" localSheetId="9">#REF!</definedName>
    <definedName name="DGTV" localSheetId="10">#REF!</definedName>
    <definedName name="DGTV" localSheetId="6">#REF!</definedName>
    <definedName name="DGTV" localSheetId="7">#REF!</definedName>
    <definedName name="DGTV" localSheetId="14">#REF!</definedName>
    <definedName name="DGTV" localSheetId="15">#REF!</definedName>
    <definedName name="DGTV" localSheetId="8">#REF!</definedName>
    <definedName name="DGTV">#REF!</definedName>
    <definedName name="dgvl" localSheetId="9">#REF!</definedName>
    <definedName name="dgvl" localSheetId="10">#REF!</definedName>
    <definedName name="dgvl" localSheetId="6">#REF!</definedName>
    <definedName name="dgvl" localSheetId="7">#REF!</definedName>
    <definedName name="dgvl" localSheetId="14">#REF!</definedName>
    <definedName name="dgvl" localSheetId="15">#REF!</definedName>
    <definedName name="dgvl" localSheetId="8">#REF!</definedName>
    <definedName name="dgvl">#REF!</definedName>
    <definedName name="DGVT" localSheetId="9">#REF!</definedName>
    <definedName name="DGVT" localSheetId="10">#REF!</definedName>
    <definedName name="DGVT" localSheetId="6">#REF!</definedName>
    <definedName name="DGVT" localSheetId="7">#REF!</definedName>
    <definedName name="DGVT" localSheetId="14">#REF!</definedName>
    <definedName name="DGVT" localSheetId="15">#REF!</definedName>
    <definedName name="DGVT" localSheetId="8">#REF!</definedName>
    <definedName name="DGVT">#REF!</definedName>
    <definedName name="dhom" localSheetId="9">#REF!</definedName>
    <definedName name="dhom" localSheetId="10">#REF!</definedName>
    <definedName name="dhom" localSheetId="6">#REF!</definedName>
    <definedName name="dhom" localSheetId="7">#REF!</definedName>
    <definedName name="dhom" localSheetId="14">#REF!</definedName>
    <definedName name="dhom" localSheetId="15">#REF!</definedName>
    <definedName name="dhom" localSheetId="8">#REF!</definedName>
    <definedName name="dhom">#REF!</definedName>
    <definedName name="dien" localSheetId="9">#REF!</definedName>
    <definedName name="dien" localSheetId="10">#REF!</definedName>
    <definedName name="dien" localSheetId="6">#REF!</definedName>
    <definedName name="dien" localSheetId="7">#REF!</definedName>
    <definedName name="dien" localSheetId="14">#REF!</definedName>
    <definedName name="dien" localSheetId="15">#REF!</definedName>
    <definedName name="dien" localSheetId="8">#REF!</definedName>
    <definedName name="dien">#REF!</definedName>
    <definedName name="dientichck" localSheetId="9">#REF!</definedName>
    <definedName name="dientichck" localSheetId="10">#REF!</definedName>
    <definedName name="dientichck" localSheetId="6">#REF!</definedName>
    <definedName name="dientichck" localSheetId="7">#REF!</definedName>
    <definedName name="dientichck" localSheetId="14">#REF!</definedName>
    <definedName name="dientichck" localSheetId="15">#REF!</definedName>
    <definedName name="dientichck" localSheetId="8">#REF!</definedName>
    <definedName name="dientichck">#REF!</definedName>
    <definedName name="dinh2" localSheetId="9">#REF!</definedName>
    <definedName name="dinh2" localSheetId="10">#REF!</definedName>
    <definedName name="dinh2" localSheetId="6">#REF!</definedName>
    <definedName name="dinh2" localSheetId="7">#REF!</definedName>
    <definedName name="dinh2" localSheetId="14">#REF!</definedName>
    <definedName name="dinh2" localSheetId="15">#REF!</definedName>
    <definedName name="dinh2" localSheetId="8">#REF!</definedName>
    <definedName name="dinh2">#REF!</definedName>
    <definedName name="DLCC" localSheetId="9">#REF!</definedName>
    <definedName name="DLCC" localSheetId="10">#REF!</definedName>
    <definedName name="DLCC" localSheetId="6">#REF!</definedName>
    <definedName name="DLCC" localSheetId="7">#REF!</definedName>
    <definedName name="DLCC" localSheetId="14">#REF!</definedName>
    <definedName name="DLCC" localSheetId="15">#REF!</definedName>
    <definedName name="DLCC" localSheetId="8">#REF!</definedName>
    <definedName name="DLCC">#REF!</definedName>
    <definedName name="DM" localSheetId="9">#REF!</definedName>
    <definedName name="DM" localSheetId="10">#REF!</definedName>
    <definedName name="DM" localSheetId="6">#REF!</definedName>
    <definedName name="DM" localSheetId="7">#REF!</definedName>
    <definedName name="DM" localSheetId="14">#REF!</definedName>
    <definedName name="DM" localSheetId="15">#REF!</definedName>
    <definedName name="DM" localSheetId="8">#REF!</definedName>
    <definedName name="DM">#REF!</definedName>
    <definedName name="dm56bxd" localSheetId="9">#REF!</definedName>
    <definedName name="dm56bxd" localSheetId="10">#REF!</definedName>
    <definedName name="dm56bxd" localSheetId="6">#REF!</definedName>
    <definedName name="dm56bxd" localSheetId="7">#REF!</definedName>
    <definedName name="dm56bxd" localSheetId="14">#REF!</definedName>
    <definedName name="dm56bxd" localSheetId="15">#REF!</definedName>
    <definedName name="dm56bxd" localSheetId="8">#REF!</definedName>
    <definedName name="dm56bxd">#REF!</definedName>
    <definedName name="DN" localSheetId="9">#REF!</definedName>
    <definedName name="DN" localSheetId="10">#REF!</definedName>
    <definedName name="DN" localSheetId="6">#REF!</definedName>
    <definedName name="DN" localSheetId="7">#REF!</definedName>
    <definedName name="DN" localSheetId="14">#REF!</definedName>
    <definedName name="DN" localSheetId="15">#REF!</definedName>
    <definedName name="DN" localSheetId="8">#REF!</definedName>
    <definedName name="DN">#REF!</definedName>
    <definedName name="DÑt45x4" localSheetId="9">#REF!</definedName>
    <definedName name="DÑt45x4" localSheetId="10">#REF!</definedName>
    <definedName name="DÑt45x4" localSheetId="6">#REF!</definedName>
    <definedName name="DÑt45x4" localSheetId="7">#REF!</definedName>
    <definedName name="DÑt45x4" localSheetId="14">#REF!</definedName>
    <definedName name="DÑt45x4" localSheetId="15">#REF!</definedName>
    <definedName name="DÑt45x4" localSheetId="8">#REF!</definedName>
    <definedName name="DÑt45x4">#REF!</definedName>
    <definedName name="doan1" localSheetId="9">#REF!</definedName>
    <definedName name="doan1" localSheetId="10">#REF!</definedName>
    <definedName name="doan1" localSheetId="6">#REF!</definedName>
    <definedName name="doan1" localSheetId="7">#REF!</definedName>
    <definedName name="doan1" localSheetId="14">#REF!</definedName>
    <definedName name="doan1" localSheetId="15">#REF!</definedName>
    <definedName name="doan1" localSheetId="8">#REF!</definedName>
    <definedName name="doan1">#REF!</definedName>
    <definedName name="doan2" localSheetId="9">#REF!</definedName>
    <definedName name="doan2" localSheetId="10">#REF!</definedName>
    <definedName name="doan2" localSheetId="6">#REF!</definedName>
    <definedName name="doan2" localSheetId="7">#REF!</definedName>
    <definedName name="doan2" localSheetId="14">#REF!</definedName>
    <definedName name="doan2" localSheetId="15">#REF!</definedName>
    <definedName name="doan2" localSheetId="8">#REF!</definedName>
    <definedName name="doan2">#REF!</definedName>
    <definedName name="doan3" localSheetId="9">#REF!</definedName>
    <definedName name="doan3" localSheetId="10">#REF!</definedName>
    <definedName name="doan3" localSheetId="6">#REF!</definedName>
    <definedName name="doan3" localSheetId="7">#REF!</definedName>
    <definedName name="doan3" localSheetId="14">#REF!</definedName>
    <definedName name="doan3" localSheetId="15">#REF!</definedName>
    <definedName name="doan3" localSheetId="8">#REF!</definedName>
    <definedName name="doan3">#REF!</definedName>
    <definedName name="doan4" localSheetId="9">#REF!</definedName>
    <definedName name="doan4" localSheetId="10">#REF!</definedName>
    <definedName name="doan4" localSheetId="6">#REF!</definedName>
    <definedName name="doan4" localSheetId="7">#REF!</definedName>
    <definedName name="doan4" localSheetId="14">#REF!</definedName>
    <definedName name="doan4" localSheetId="15">#REF!</definedName>
    <definedName name="doan4" localSheetId="8">#REF!</definedName>
    <definedName name="doan4">#REF!</definedName>
    <definedName name="doan5" localSheetId="9">#REF!</definedName>
    <definedName name="doan5" localSheetId="10">#REF!</definedName>
    <definedName name="doan5" localSheetId="6">#REF!</definedName>
    <definedName name="doan5" localSheetId="7">#REF!</definedName>
    <definedName name="doan5" localSheetId="14">#REF!</definedName>
    <definedName name="doan5" localSheetId="15">#REF!</definedName>
    <definedName name="doan5" localSheetId="8">#REF!</definedName>
    <definedName name="doan5">#REF!</definedName>
    <definedName name="doan6" localSheetId="9">#REF!</definedName>
    <definedName name="doan6" localSheetId="10">#REF!</definedName>
    <definedName name="doan6" localSheetId="6">#REF!</definedName>
    <definedName name="doan6" localSheetId="7">#REF!</definedName>
    <definedName name="doan6" localSheetId="14">#REF!</definedName>
    <definedName name="doan6" localSheetId="15">#REF!</definedName>
    <definedName name="doan6" localSheetId="8">#REF!</definedName>
    <definedName name="doan6">#REF!</definedName>
    <definedName name="Document_array">{"Thuxm2.xls","Sheet1"}</definedName>
    <definedName name="DON_GIA_3282" localSheetId="9">#REF!</definedName>
    <definedName name="DON_GIA_3282" localSheetId="10">#REF!</definedName>
    <definedName name="DON_GIA_3282" localSheetId="6">#REF!</definedName>
    <definedName name="DON_GIA_3282" localSheetId="7">#REF!</definedName>
    <definedName name="DON_GIA_3282" localSheetId="14">#REF!</definedName>
    <definedName name="DON_GIA_3282" localSheetId="15">#REF!</definedName>
    <definedName name="DON_GIA_3282" localSheetId="8">#REF!</definedName>
    <definedName name="DON_GIA_3282">#REF!</definedName>
    <definedName name="DON_GIA_3283" localSheetId="9">#REF!</definedName>
    <definedName name="DON_GIA_3283" localSheetId="10">#REF!</definedName>
    <definedName name="DON_GIA_3283" localSheetId="6">#REF!</definedName>
    <definedName name="DON_GIA_3283" localSheetId="7">#REF!</definedName>
    <definedName name="DON_GIA_3283" localSheetId="14">#REF!</definedName>
    <definedName name="DON_GIA_3283" localSheetId="15">#REF!</definedName>
    <definedName name="DON_GIA_3283" localSheetId="8">#REF!</definedName>
    <definedName name="DON_GIA_3283">#REF!</definedName>
    <definedName name="DON_GIA_3285" localSheetId="9">#REF!</definedName>
    <definedName name="DON_GIA_3285" localSheetId="10">#REF!</definedName>
    <definedName name="DON_GIA_3285" localSheetId="6">#REF!</definedName>
    <definedName name="DON_GIA_3285" localSheetId="7">#REF!</definedName>
    <definedName name="DON_GIA_3285" localSheetId="14">#REF!</definedName>
    <definedName name="DON_GIA_3285" localSheetId="15">#REF!</definedName>
    <definedName name="DON_GIA_3285" localSheetId="8">#REF!</definedName>
    <definedName name="DON_GIA_3285">#REF!</definedName>
    <definedName name="DON_GIA_VAN_CHUYEN_36" localSheetId="9">#REF!</definedName>
    <definedName name="DON_GIA_VAN_CHUYEN_36" localSheetId="10">#REF!</definedName>
    <definedName name="DON_GIA_VAN_CHUYEN_36" localSheetId="6">#REF!</definedName>
    <definedName name="DON_GIA_VAN_CHUYEN_36" localSheetId="7">#REF!</definedName>
    <definedName name="DON_GIA_VAN_CHUYEN_36" localSheetId="14">#REF!</definedName>
    <definedName name="DON_GIA_VAN_CHUYEN_36" localSheetId="15">#REF!</definedName>
    <definedName name="DON_GIA_VAN_CHUYEN_36" localSheetId="8">#REF!</definedName>
    <definedName name="DON_GIA_VAN_CHUYEN_36">#REF!</definedName>
    <definedName name="dongia" localSheetId="9">#REF!</definedName>
    <definedName name="dongia" localSheetId="10">#REF!</definedName>
    <definedName name="dongia" localSheetId="6">#REF!</definedName>
    <definedName name="dongia" localSheetId="7">#REF!</definedName>
    <definedName name="dongia" localSheetId="14">#REF!</definedName>
    <definedName name="dongia" localSheetId="15">#REF!</definedName>
    <definedName name="dongia" localSheetId="8">#REF!</definedName>
    <definedName name="dongia">#REF!</definedName>
    <definedName name="DS1p1vc" localSheetId="9">#REF!</definedName>
    <definedName name="DS1p1vc" localSheetId="10">#REF!</definedName>
    <definedName name="DS1p1vc" localSheetId="6">#REF!</definedName>
    <definedName name="DS1p1vc" localSheetId="7">#REF!</definedName>
    <definedName name="DS1p1vc" localSheetId="14">#REF!</definedName>
    <definedName name="DS1p1vc" localSheetId="15">#REF!</definedName>
    <definedName name="DS1p1vc" localSheetId="8">#REF!</definedName>
    <definedName name="DS1p1vc">#REF!</definedName>
    <definedName name="ds1p2nc" localSheetId="9">#REF!</definedName>
    <definedName name="ds1p2nc" localSheetId="10">#REF!</definedName>
    <definedName name="ds1p2nc" localSheetId="6">#REF!</definedName>
    <definedName name="ds1p2nc" localSheetId="7">#REF!</definedName>
    <definedName name="ds1p2nc" localSheetId="14">#REF!</definedName>
    <definedName name="ds1p2nc" localSheetId="15">#REF!</definedName>
    <definedName name="ds1p2nc" localSheetId="8">#REF!</definedName>
    <definedName name="ds1p2nc">#REF!</definedName>
    <definedName name="ds1p2vc" localSheetId="9">#REF!</definedName>
    <definedName name="ds1p2vc" localSheetId="10">#REF!</definedName>
    <definedName name="ds1p2vc" localSheetId="6">#REF!</definedName>
    <definedName name="ds1p2vc" localSheetId="7">#REF!</definedName>
    <definedName name="ds1p2vc" localSheetId="14">#REF!</definedName>
    <definedName name="ds1p2vc" localSheetId="15">#REF!</definedName>
    <definedName name="ds1p2vc" localSheetId="8">#REF!</definedName>
    <definedName name="ds1p2vc">#REF!</definedName>
    <definedName name="ds1pnc" localSheetId="9">#REF!</definedName>
    <definedName name="ds1pnc" localSheetId="10">#REF!</definedName>
    <definedName name="ds1pnc" localSheetId="6">#REF!</definedName>
    <definedName name="ds1pnc" localSheetId="7">#REF!</definedName>
    <definedName name="ds1pnc" localSheetId="14">#REF!</definedName>
    <definedName name="ds1pnc" localSheetId="15">#REF!</definedName>
    <definedName name="ds1pnc" localSheetId="8">#REF!</definedName>
    <definedName name="ds1pnc">#REF!</definedName>
    <definedName name="ds1pvl" localSheetId="9">#REF!</definedName>
    <definedName name="ds1pvl" localSheetId="10">#REF!</definedName>
    <definedName name="ds1pvl" localSheetId="6">#REF!</definedName>
    <definedName name="ds1pvl" localSheetId="7">#REF!</definedName>
    <definedName name="ds1pvl" localSheetId="14">#REF!</definedName>
    <definedName name="ds1pvl" localSheetId="15">#REF!</definedName>
    <definedName name="ds1pvl" localSheetId="8">#REF!</definedName>
    <definedName name="ds1pvl">#REF!</definedName>
    <definedName name="ds3pctnc" localSheetId="9">#REF!</definedName>
    <definedName name="ds3pctnc" localSheetId="10">#REF!</definedName>
    <definedName name="ds3pctnc" localSheetId="6">#REF!</definedName>
    <definedName name="ds3pctnc" localSheetId="7">#REF!</definedName>
    <definedName name="ds3pctnc" localSheetId="14">#REF!</definedName>
    <definedName name="ds3pctnc" localSheetId="15">#REF!</definedName>
    <definedName name="ds3pctnc" localSheetId="8">#REF!</definedName>
    <definedName name="ds3pctnc">#REF!</definedName>
    <definedName name="ds3pctvc" localSheetId="9">#REF!</definedName>
    <definedName name="ds3pctvc" localSheetId="10">#REF!</definedName>
    <definedName name="ds3pctvc" localSheetId="6">#REF!</definedName>
    <definedName name="ds3pctvc" localSheetId="7">#REF!</definedName>
    <definedName name="ds3pctvc" localSheetId="14">#REF!</definedName>
    <definedName name="ds3pctvc" localSheetId="15">#REF!</definedName>
    <definedName name="ds3pctvc" localSheetId="8">#REF!</definedName>
    <definedName name="ds3pctvc">#REF!</definedName>
    <definedName name="ds3pctvl" localSheetId="9">#REF!</definedName>
    <definedName name="ds3pctvl" localSheetId="10">#REF!</definedName>
    <definedName name="ds3pctvl" localSheetId="6">#REF!</definedName>
    <definedName name="ds3pctvl" localSheetId="7">#REF!</definedName>
    <definedName name="ds3pctvl" localSheetId="14">#REF!</definedName>
    <definedName name="ds3pctvl" localSheetId="15">#REF!</definedName>
    <definedName name="ds3pctvl" localSheetId="8">#REF!</definedName>
    <definedName name="ds3pctvl">#REF!</definedName>
    <definedName name="DSPK1p1nc" localSheetId="9">#REF!</definedName>
    <definedName name="DSPK1p1nc" localSheetId="10">#REF!</definedName>
    <definedName name="DSPK1p1nc" localSheetId="6">#REF!</definedName>
    <definedName name="DSPK1p1nc" localSheetId="7">#REF!</definedName>
    <definedName name="DSPK1p1nc" localSheetId="14">#REF!</definedName>
    <definedName name="DSPK1p1nc" localSheetId="15">#REF!</definedName>
    <definedName name="DSPK1p1nc" localSheetId="8">#REF!</definedName>
    <definedName name="DSPK1p1nc">#REF!</definedName>
    <definedName name="DSPK1p1vl" localSheetId="9">#REF!</definedName>
    <definedName name="DSPK1p1vl" localSheetId="10">#REF!</definedName>
    <definedName name="DSPK1p1vl" localSheetId="6">#REF!</definedName>
    <definedName name="DSPK1p1vl" localSheetId="7">#REF!</definedName>
    <definedName name="DSPK1p1vl" localSheetId="14">#REF!</definedName>
    <definedName name="DSPK1p1vl" localSheetId="15">#REF!</definedName>
    <definedName name="DSPK1p1vl" localSheetId="8">#REF!</definedName>
    <definedName name="DSPK1p1vl">#REF!</definedName>
    <definedName name="DSPK1pnc" localSheetId="9">#REF!</definedName>
    <definedName name="DSPK1pnc" localSheetId="10">#REF!</definedName>
    <definedName name="DSPK1pnc" localSheetId="6">#REF!</definedName>
    <definedName name="DSPK1pnc" localSheetId="7">#REF!</definedName>
    <definedName name="DSPK1pnc" localSheetId="14">#REF!</definedName>
    <definedName name="DSPK1pnc" localSheetId="15">#REF!</definedName>
    <definedName name="DSPK1pnc" localSheetId="8">#REF!</definedName>
    <definedName name="DSPK1pnc">#REF!</definedName>
    <definedName name="DSPK1pvl" localSheetId="9">#REF!</definedName>
    <definedName name="DSPK1pvl" localSheetId="10">#REF!</definedName>
    <definedName name="DSPK1pvl" localSheetId="6">#REF!</definedName>
    <definedName name="DSPK1pvl" localSheetId="7">#REF!</definedName>
    <definedName name="DSPK1pvl" localSheetId="14">#REF!</definedName>
    <definedName name="DSPK1pvl" localSheetId="15">#REF!</definedName>
    <definedName name="DSPK1pvl" localSheetId="8">#REF!</definedName>
    <definedName name="DSPK1pvl">#REF!</definedName>
    <definedName name="DSUMDATA" localSheetId="9">#REF!</definedName>
    <definedName name="DSUMDATA" localSheetId="10">#REF!</definedName>
    <definedName name="DSUMDATA" localSheetId="6">#REF!</definedName>
    <definedName name="DSUMDATA" localSheetId="7">#REF!</definedName>
    <definedName name="DSUMDATA" localSheetId="14">#REF!</definedName>
    <definedName name="DSUMDATA" localSheetId="15">#REF!</definedName>
    <definedName name="DSUMDATA" localSheetId="8">#REF!</definedName>
    <definedName name="DSUMDATA">#REF!</definedName>
    <definedName name="dtich1" localSheetId="9">#REF!</definedName>
    <definedName name="dtich1" localSheetId="10">#REF!</definedName>
    <definedName name="dtich1" localSheetId="6">#REF!</definedName>
    <definedName name="dtich1" localSheetId="7">#REF!</definedName>
    <definedName name="dtich1" localSheetId="14">#REF!</definedName>
    <definedName name="dtich1" localSheetId="15">#REF!</definedName>
    <definedName name="dtich1" localSheetId="8">#REF!</definedName>
    <definedName name="dtich1">#REF!</definedName>
    <definedName name="dtich2" localSheetId="9">#REF!</definedName>
    <definedName name="dtich2" localSheetId="10">#REF!</definedName>
    <definedName name="dtich2" localSheetId="6">#REF!</definedName>
    <definedName name="dtich2" localSheetId="7">#REF!</definedName>
    <definedName name="dtich2" localSheetId="14">#REF!</definedName>
    <definedName name="dtich2" localSheetId="15">#REF!</definedName>
    <definedName name="dtich2" localSheetId="8">#REF!</definedName>
    <definedName name="dtich2">#REF!</definedName>
    <definedName name="dtich3" localSheetId="9">#REF!</definedName>
    <definedName name="dtich3" localSheetId="10">#REF!</definedName>
    <definedName name="dtich3" localSheetId="6">#REF!</definedName>
    <definedName name="dtich3" localSheetId="7">#REF!</definedName>
    <definedName name="dtich3" localSheetId="14">#REF!</definedName>
    <definedName name="dtich3" localSheetId="15">#REF!</definedName>
    <definedName name="dtich3" localSheetId="8">#REF!</definedName>
    <definedName name="dtich3">#REF!</definedName>
    <definedName name="dtich4" localSheetId="9">#REF!</definedName>
    <definedName name="dtich4" localSheetId="10">#REF!</definedName>
    <definedName name="dtich4" localSheetId="6">#REF!</definedName>
    <definedName name="dtich4" localSheetId="7">#REF!</definedName>
    <definedName name="dtich4" localSheetId="14">#REF!</definedName>
    <definedName name="dtich4" localSheetId="15">#REF!</definedName>
    <definedName name="dtich4" localSheetId="8">#REF!</definedName>
    <definedName name="dtich4">#REF!</definedName>
    <definedName name="dtich5" localSheetId="9">#REF!</definedName>
    <definedName name="dtich5" localSheetId="10">#REF!</definedName>
    <definedName name="dtich5" localSheetId="6">#REF!</definedName>
    <definedName name="dtich5" localSheetId="7">#REF!</definedName>
    <definedName name="dtich5" localSheetId="14">#REF!</definedName>
    <definedName name="dtich5" localSheetId="15">#REF!</definedName>
    <definedName name="dtich5" localSheetId="8">#REF!</definedName>
    <definedName name="dtich5">#REF!</definedName>
    <definedName name="dtich6" localSheetId="9">#REF!</definedName>
    <definedName name="dtich6" localSheetId="10">#REF!</definedName>
    <definedName name="dtich6" localSheetId="6">#REF!</definedName>
    <definedName name="dtich6" localSheetId="7">#REF!</definedName>
    <definedName name="dtich6" localSheetId="14">#REF!</definedName>
    <definedName name="dtich6" localSheetId="15">#REF!</definedName>
    <definedName name="dtich6" localSheetId="8">#REF!</definedName>
    <definedName name="dtich6">#REF!</definedName>
    <definedName name="DU_TOAN_CHI_TIET_CONG_TO" localSheetId="9">#REF!</definedName>
    <definedName name="DU_TOAN_CHI_TIET_CONG_TO" localSheetId="10">#REF!</definedName>
    <definedName name="DU_TOAN_CHI_TIET_CONG_TO" localSheetId="6">#REF!</definedName>
    <definedName name="DU_TOAN_CHI_TIET_CONG_TO" localSheetId="7">#REF!</definedName>
    <definedName name="DU_TOAN_CHI_TIET_CONG_TO" localSheetId="14">#REF!</definedName>
    <definedName name="DU_TOAN_CHI_TIET_CONG_TO" localSheetId="15">#REF!</definedName>
    <definedName name="DU_TOAN_CHI_TIET_CONG_TO" localSheetId="8">#REF!</definedName>
    <definedName name="DU_TOAN_CHI_TIET_CONG_TO">#REF!</definedName>
    <definedName name="DU_TOAN_CHI_TIET_DZ22KV" localSheetId="9">#REF!</definedName>
    <definedName name="DU_TOAN_CHI_TIET_DZ22KV" localSheetId="10">#REF!</definedName>
    <definedName name="DU_TOAN_CHI_TIET_DZ22KV" localSheetId="6">#REF!</definedName>
    <definedName name="DU_TOAN_CHI_TIET_DZ22KV" localSheetId="7">#REF!</definedName>
    <definedName name="DU_TOAN_CHI_TIET_DZ22KV" localSheetId="14">#REF!</definedName>
    <definedName name="DU_TOAN_CHI_TIET_DZ22KV" localSheetId="15">#REF!</definedName>
    <definedName name="DU_TOAN_CHI_TIET_DZ22KV" localSheetId="8">#REF!</definedName>
    <definedName name="DU_TOAN_CHI_TIET_DZ22KV">#REF!</definedName>
    <definedName name="DU_TOAN_CHI_TIET_KHO_BAI" localSheetId="9">#REF!</definedName>
    <definedName name="DU_TOAN_CHI_TIET_KHO_BAI" localSheetId="10">#REF!</definedName>
    <definedName name="DU_TOAN_CHI_TIET_KHO_BAI" localSheetId="6">#REF!</definedName>
    <definedName name="DU_TOAN_CHI_TIET_KHO_BAI" localSheetId="7">#REF!</definedName>
    <definedName name="DU_TOAN_CHI_TIET_KHO_BAI" localSheetId="14">#REF!</definedName>
    <definedName name="DU_TOAN_CHI_TIET_KHO_BAI" localSheetId="15">#REF!</definedName>
    <definedName name="DU_TOAN_CHI_TIET_KHO_BAI" localSheetId="8">#REF!</definedName>
    <definedName name="DU_TOAN_CHI_TIET_KHO_BAI">#REF!</definedName>
    <definedName name="DutoanDongmo" localSheetId="9">#REF!</definedName>
    <definedName name="DutoanDongmo" localSheetId="10">#REF!</definedName>
    <definedName name="DutoanDongmo" localSheetId="6">#REF!</definedName>
    <definedName name="DutoanDongmo" localSheetId="7">#REF!</definedName>
    <definedName name="DutoanDongmo" localSheetId="14">#REF!</definedName>
    <definedName name="DutoanDongmo" localSheetId="15">#REF!</definedName>
    <definedName name="DutoanDongmo" localSheetId="8">#REF!</definedName>
    <definedName name="DutoanDongmo">#REF!</definedName>
    <definedName name="emb" localSheetId="9">#REF!</definedName>
    <definedName name="emb" localSheetId="10">#REF!</definedName>
    <definedName name="emb" localSheetId="6">#REF!</definedName>
    <definedName name="emb" localSheetId="7">#REF!</definedName>
    <definedName name="emb" localSheetId="14">#REF!</definedName>
    <definedName name="emb" localSheetId="15">#REF!</definedName>
    <definedName name="emb" localSheetId="8">#REF!</definedName>
    <definedName name="emb">#REF!</definedName>
    <definedName name="End_1" localSheetId="9">#REF!</definedName>
    <definedName name="End_1" localSheetId="10">#REF!</definedName>
    <definedName name="End_1" localSheetId="6">#REF!</definedName>
    <definedName name="End_1" localSheetId="7">#REF!</definedName>
    <definedName name="End_1" localSheetId="14">#REF!</definedName>
    <definedName name="End_1" localSheetId="15">#REF!</definedName>
    <definedName name="End_1" localSheetId="8">#REF!</definedName>
    <definedName name="End_1">#REF!</definedName>
    <definedName name="End_10" localSheetId="9">#REF!</definedName>
    <definedName name="End_10" localSheetId="10">#REF!</definedName>
    <definedName name="End_10" localSheetId="6">#REF!</definedName>
    <definedName name="End_10" localSheetId="7">#REF!</definedName>
    <definedName name="End_10" localSheetId="14">#REF!</definedName>
    <definedName name="End_10" localSheetId="15">#REF!</definedName>
    <definedName name="End_10" localSheetId="8">#REF!</definedName>
    <definedName name="End_10">#REF!</definedName>
    <definedName name="End_11" localSheetId="9">#REF!</definedName>
    <definedName name="End_11" localSheetId="10">#REF!</definedName>
    <definedName name="End_11" localSheetId="6">#REF!</definedName>
    <definedName name="End_11" localSheetId="7">#REF!</definedName>
    <definedName name="End_11" localSheetId="14">#REF!</definedName>
    <definedName name="End_11" localSheetId="15">#REF!</definedName>
    <definedName name="End_11" localSheetId="8">#REF!</definedName>
    <definedName name="End_11">#REF!</definedName>
    <definedName name="End_12" localSheetId="9">#REF!</definedName>
    <definedName name="End_12" localSheetId="10">#REF!</definedName>
    <definedName name="End_12" localSheetId="6">#REF!</definedName>
    <definedName name="End_12" localSheetId="7">#REF!</definedName>
    <definedName name="End_12" localSheetId="14">#REF!</definedName>
    <definedName name="End_12" localSheetId="15">#REF!</definedName>
    <definedName name="End_12" localSheetId="8">#REF!</definedName>
    <definedName name="End_12">#REF!</definedName>
    <definedName name="End_13" localSheetId="9">#REF!</definedName>
    <definedName name="End_13" localSheetId="10">#REF!</definedName>
    <definedName name="End_13" localSheetId="6">#REF!</definedName>
    <definedName name="End_13" localSheetId="7">#REF!</definedName>
    <definedName name="End_13" localSheetId="14">#REF!</definedName>
    <definedName name="End_13" localSheetId="15">#REF!</definedName>
    <definedName name="End_13" localSheetId="8">#REF!</definedName>
    <definedName name="End_13">#REF!</definedName>
    <definedName name="End_2" localSheetId="9">#REF!</definedName>
    <definedName name="End_2" localSheetId="10">#REF!</definedName>
    <definedName name="End_2" localSheetId="6">#REF!</definedName>
    <definedName name="End_2" localSheetId="7">#REF!</definedName>
    <definedName name="End_2" localSheetId="14">#REF!</definedName>
    <definedName name="End_2" localSheetId="15">#REF!</definedName>
    <definedName name="End_2" localSheetId="8">#REF!</definedName>
    <definedName name="End_2">#REF!</definedName>
    <definedName name="End_3" localSheetId="9">#REF!</definedName>
    <definedName name="End_3" localSheetId="10">#REF!</definedName>
    <definedName name="End_3" localSheetId="6">#REF!</definedName>
    <definedName name="End_3" localSheetId="7">#REF!</definedName>
    <definedName name="End_3" localSheetId="14">#REF!</definedName>
    <definedName name="End_3" localSheetId="15">#REF!</definedName>
    <definedName name="End_3" localSheetId="8">#REF!</definedName>
    <definedName name="End_3">#REF!</definedName>
    <definedName name="End_4" localSheetId="9">#REF!</definedName>
    <definedName name="End_4" localSheetId="10">#REF!</definedName>
    <definedName name="End_4" localSheetId="6">#REF!</definedName>
    <definedName name="End_4" localSheetId="7">#REF!</definedName>
    <definedName name="End_4" localSheetId="14">#REF!</definedName>
    <definedName name="End_4" localSheetId="15">#REF!</definedName>
    <definedName name="End_4" localSheetId="8">#REF!</definedName>
    <definedName name="End_4">#REF!</definedName>
    <definedName name="End_5" localSheetId="9">#REF!</definedName>
    <definedName name="End_5" localSheetId="10">#REF!</definedName>
    <definedName name="End_5" localSheetId="6">#REF!</definedName>
    <definedName name="End_5" localSheetId="7">#REF!</definedName>
    <definedName name="End_5" localSheetId="14">#REF!</definedName>
    <definedName name="End_5" localSheetId="15">#REF!</definedName>
    <definedName name="End_5" localSheetId="8">#REF!</definedName>
    <definedName name="End_5">#REF!</definedName>
    <definedName name="End_6" localSheetId="9">#REF!</definedName>
    <definedName name="End_6" localSheetId="10">#REF!</definedName>
    <definedName name="End_6" localSheetId="6">#REF!</definedName>
    <definedName name="End_6" localSheetId="7">#REF!</definedName>
    <definedName name="End_6" localSheetId="14">#REF!</definedName>
    <definedName name="End_6" localSheetId="15">#REF!</definedName>
    <definedName name="End_6" localSheetId="8">#REF!</definedName>
    <definedName name="End_6">#REF!</definedName>
    <definedName name="End_7" localSheetId="9">#REF!</definedName>
    <definedName name="End_7" localSheetId="10">#REF!</definedName>
    <definedName name="End_7" localSheetId="6">#REF!</definedName>
    <definedName name="End_7" localSheetId="7">#REF!</definedName>
    <definedName name="End_7" localSheetId="14">#REF!</definedName>
    <definedName name="End_7" localSheetId="15">#REF!</definedName>
    <definedName name="End_7" localSheetId="8">#REF!</definedName>
    <definedName name="End_7">#REF!</definedName>
    <definedName name="End_8" localSheetId="9">#REF!</definedName>
    <definedName name="End_8" localSheetId="10">#REF!</definedName>
    <definedName name="End_8" localSheetId="6">#REF!</definedName>
    <definedName name="End_8" localSheetId="7">#REF!</definedName>
    <definedName name="End_8" localSheetId="14">#REF!</definedName>
    <definedName name="End_8" localSheetId="15">#REF!</definedName>
    <definedName name="End_8" localSheetId="8">#REF!</definedName>
    <definedName name="End_8">#REF!</definedName>
    <definedName name="End_9" localSheetId="9">#REF!</definedName>
    <definedName name="End_9" localSheetId="10">#REF!</definedName>
    <definedName name="End_9" localSheetId="6">#REF!</definedName>
    <definedName name="End_9" localSheetId="7">#REF!</definedName>
    <definedName name="End_9" localSheetId="14">#REF!</definedName>
    <definedName name="End_9" localSheetId="15">#REF!</definedName>
    <definedName name="End_9" localSheetId="8">#REF!</definedName>
    <definedName name="End_9">#REF!</definedName>
    <definedName name="ex" localSheetId="9">#REF!</definedName>
    <definedName name="ex" localSheetId="10">#REF!</definedName>
    <definedName name="ex" localSheetId="6">#REF!</definedName>
    <definedName name="ex" localSheetId="7">#REF!</definedName>
    <definedName name="ex" localSheetId="14">#REF!</definedName>
    <definedName name="ex" localSheetId="15">#REF!</definedName>
    <definedName name="ex" localSheetId="8">#REF!</definedName>
    <definedName name="ex">#REF!</definedName>
    <definedName name="f" localSheetId="9">#REF!</definedName>
    <definedName name="f" localSheetId="10">#REF!</definedName>
    <definedName name="f" localSheetId="6">#REF!</definedName>
    <definedName name="f" localSheetId="7">#REF!</definedName>
    <definedName name="f" localSheetId="14">#REF!</definedName>
    <definedName name="f" localSheetId="15">#REF!</definedName>
    <definedName name="f" localSheetId="8">#REF!</definedName>
    <definedName name="f">#REF!</definedName>
    <definedName name="FACTOR" localSheetId="9">#REF!</definedName>
    <definedName name="FACTOR" localSheetId="10">#REF!</definedName>
    <definedName name="FACTOR" localSheetId="6">#REF!</definedName>
    <definedName name="FACTOR" localSheetId="7">#REF!</definedName>
    <definedName name="FACTOR" localSheetId="14">#REF!</definedName>
    <definedName name="FACTOR" localSheetId="15">#REF!</definedName>
    <definedName name="FACTOR" localSheetId="8">#REF!</definedName>
    <definedName name="FACTOR">#REF!</definedName>
    <definedName name="FI_12">4820</definedName>
    <definedName name="G_ME" localSheetId="9">#REF!</definedName>
    <definedName name="G_ME" localSheetId="10">#REF!</definedName>
    <definedName name="G_ME" localSheetId="6">#REF!</definedName>
    <definedName name="G_ME" localSheetId="7">#REF!</definedName>
    <definedName name="G_ME" localSheetId="14">#REF!</definedName>
    <definedName name="G_ME" localSheetId="15">#REF!</definedName>
    <definedName name="G_ME" localSheetId="8">#REF!</definedName>
    <definedName name="G_ME">#REF!</definedName>
    <definedName name="gach" localSheetId="9">#REF!</definedName>
    <definedName name="gach" localSheetId="10">#REF!</definedName>
    <definedName name="gach" localSheetId="6">#REF!</definedName>
    <definedName name="gach" localSheetId="7">#REF!</definedName>
    <definedName name="gach" localSheetId="14">#REF!</definedName>
    <definedName name="gach" localSheetId="15">#REF!</definedName>
    <definedName name="gach" localSheetId="8">#REF!</definedName>
    <definedName name="gach">#REF!</definedName>
    <definedName name="geo" localSheetId="9">#REF!</definedName>
    <definedName name="geo" localSheetId="10">#REF!</definedName>
    <definedName name="geo" localSheetId="6">#REF!</definedName>
    <definedName name="geo" localSheetId="7">#REF!</definedName>
    <definedName name="geo" localSheetId="14">#REF!</definedName>
    <definedName name="geo" localSheetId="15">#REF!</definedName>
    <definedName name="geo" localSheetId="8">#REF!</definedName>
    <definedName name="geo">#REF!</definedName>
    <definedName name="gg" localSheetId="9">#REF!</definedName>
    <definedName name="gg" localSheetId="10">#REF!</definedName>
    <definedName name="gg" localSheetId="6">#REF!</definedName>
    <definedName name="gg" localSheetId="7">#REF!</definedName>
    <definedName name="gg" localSheetId="14">#REF!</definedName>
    <definedName name="gg" localSheetId="15">#REF!</definedName>
    <definedName name="gg" localSheetId="8">#REF!</definedName>
    <definedName name="gg">#REF!</definedName>
    <definedName name="ghip" localSheetId="9">#REF!</definedName>
    <definedName name="ghip" localSheetId="10">#REF!</definedName>
    <definedName name="ghip" localSheetId="6">#REF!</definedName>
    <definedName name="ghip" localSheetId="7">#REF!</definedName>
    <definedName name="ghip" localSheetId="14">#REF!</definedName>
    <definedName name="ghip" localSheetId="15">#REF!</definedName>
    <definedName name="ghip" localSheetId="8">#REF!</definedName>
    <definedName name="ghip">#REF!</definedName>
    <definedName name="gia" localSheetId="9">#REF!</definedName>
    <definedName name="gia" localSheetId="10">#REF!</definedName>
    <definedName name="gia" localSheetId="6">#REF!</definedName>
    <definedName name="gia" localSheetId="7">#REF!</definedName>
    <definedName name="gia" localSheetId="14">#REF!</definedName>
    <definedName name="gia" localSheetId="15">#REF!</definedName>
    <definedName name="gia" localSheetId="8">#REF!</definedName>
    <definedName name="gia">#REF!</definedName>
    <definedName name="Gia_CT" localSheetId="9">#REF!</definedName>
    <definedName name="Gia_CT" localSheetId="10">#REF!</definedName>
    <definedName name="Gia_CT" localSheetId="6">#REF!</definedName>
    <definedName name="Gia_CT" localSheetId="7">#REF!</definedName>
    <definedName name="Gia_CT" localSheetId="14">#REF!</definedName>
    <definedName name="Gia_CT" localSheetId="15">#REF!</definedName>
    <definedName name="Gia_CT" localSheetId="8">#REF!</definedName>
    <definedName name="Gia_CT">#REF!</definedName>
    <definedName name="GIA_CU_LY_VAN_CHUYEN" localSheetId="9">#REF!</definedName>
    <definedName name="GIA_CU_LY_VAN_CHUYEN" localSheetId="10">#REF!</definedName>
    <definedName name="GIA_CU_LY_VAN_CHUYEN" localSheetId="6">#REF!</definedName>
    <definedName name="GIA_CU_LY_VAN_CHUYEN" localSheetId="7">#REF!</definedName>
    <definedName name="GIA_CU_LY_VAN_CHUYEN" localSheetId="14">#REF!</definedName>
    <definedName name="GIA_CU_LY_VAN_CHUYEN" localSheetId="15">#REF!</definedName>
    <definedName name="GIA_CU_LY_VAN_CHUYEN" localSheetId="8">#REF!</definedName>
    <definedName name="GIA_CU_LY_VAN_CHUYEN">#REF!</definedName>
    <definedName name="gia_tien" localSheetId="9">#REF!</definedName>
    <definedName name="gia_tien" localSheetId="10">#REF!</definedName>
    <definedName name="gia_tien" localSheetId="6">#REF!</definedName>
    <definedName name="gia_tien" localSheetId="7">#REF!</definedName>
    <definedName name="gia_tien" localSheetId="14">#REF!</definedName>
    <definedName name="gia_tien" localSheetId="15">#REF!</definedName>
    <definedName name="gia_tien" localSheetId="8">#REF!</definedName>
    <definedName name="gia_tien">#REF!</definedName>
    <definedName name="gia_tien_BTN" localSheetId="9">#REF!</definedName>
    <definedName name="gia_tien_BTN" localSheetId="10">#REF!</definedName>
    <definedName name="gia_tien_BTN" localSheetId="6">#REF!</definedName>
    <definedName name="gia_tien_BTN" localSheetId="7">#REF!</definedName>
    <definedName name="gia_tien_BTN" localSheetId="14">#REF!</definedName>
    <definedName name="gia_tien_BTN" localSheetId="15">#REF!</definedName>
    <definedName name="gia_tien_BTN" localSheetId="8">#REF!</definedName>
    <definedName name="gia_tien_BTN">#REF!</definedName>
    <definedName name="Gia_VT" localSheetId="9">#REF!</definedName>
    <definedName name="Gia_VT" localSheetId="10">#REF!</definedName>
    <definedName name="Gia_VT" localSheetId="6">#REF!</definedName>
    <definedName name="Gia_VT" localSheetId="7">#REF!</definedName>
    <definedName name="Gia_VT" localSheetId="14">#REF!</definedName>
    <definedName name="Gia_VT" localSheetId="15">#REF!</definedName>
    <definedName name="Gia_VT" localSheetId="8">#REF!</definedName>
    <definedName name="Gia_VT">#REF!</definedName>
    <definedName name="GIAVLIEUTN" localSheetId="9">#REF!</definedName>
    <definedName name="GIAVLIEUTN" localSheetId="10">#REF!</definedName>
    <definedName name="GIAVLIEUTN" localSheetId="6">#REF!</definedName>
    <definedName name="GIAVLIEUTN" localSheetId="7">#REF!</definedName>
    <definedName name="GIAVLIEUTN" localSheetId="14">#REF!</definedName>
    <definedName name="GIAVLIEUTN" localSheetId="15">#REF!</definedName>
    <definedName name="GIAVLIEUTN" localSheetId="8">#REF!</definedName>
    <definedName name="GIAVLIEUTN">#REF!</definedName>
    <definedName name="Giocong" localSheetId="9">#REF!</definedName>
    <definedName name="Giocong" localSheetId="10">#REF!</definedName>
    <definedName name="Giocong" localSheetId="6">#REF!</definedName>
    <definedName name="Giocong" localSheetId="7">#REF!</definedName>
    <definedName name="Giocong" localSheetId="14">#REF!</definedName>
    <definedName name="Giocong" localSheetId="15">#REF!</definedName>
    <definedName name="Giocong" localSheetId="8">#REF!</definedName>
    <definedName name="Giocong">#REF!</definedName>
    <definedName name="gl3p" localSheetId="9">#REF!</definedName>
    <definedName name="gl3p" localSheetId="10">#REF!</definedName>
    <definedName name="gl3p" localSheetId="6">#REF!</definedName>
    <definedName name="gl3p" localSheetId="7">#REF!</definedName>
    <definedName name="gl3p" localSheetId="14">#REF!</definedName>
    <definedName name="gl3p" localSheetId="15">#REF!</definedName>
    <definedName name="gl3p" localSheetId="8">#REF!</definedName>
    <definedName name="gl3p">#REF!</definedName>
    <definedName name="Goc32x3" localSheetId="9">#REF!</definedName>
    <definedName name="Goc32x3" localSheetId="10">#REF!</definedName>
    <definedName name="Goc32x3" localSheetId="6">#REF!</definedName>
    <definedName name="Goc32x3" localSheetId="7">#REF!</definedName>
    <definedName name="Goc32x3" localSheetId="14">#REF!</definedName>
    <definedName name="Goc32x3" localSheetId="15">#REF!</definedName>
    <definedName name="Goc32x3" localSheetId="8">#REF!</definedName>
    <definedName name="Goc32x3">#REF!</definedName>
    <definedName name="Goc35x3" localSheetId="9">#REF!</definedName>
    <definedName name="Goc35x3" localSheetId="10">#REF!</definedName>
    <definedName name="Goc35x3" localSheetId="6">#REF!</definedName>
    <definedName name="Goc35x3" localSheetId="7">#REF!</definedName>
    <definedName name="Goc35x3" localSheetId="14">#REF!</definedName>
    <definedName name="Goc35x3" localSheetId="15">#REF!</definedName>
    <definedName name="Goc35x3" localSheetId="8">#REF!</definedName>
    <definedName name="Goc35x3">#REF!</definedName>
    <definedName name="Goc40x4" localSheetId="9">#REF!</definedName>
    <definedName name="Goc40x4" localSheetId="10">#REF!</definedName>
    <definedName name="Goc40x4" localSheetId="6">#REF!</definedName>
    <definedName name="Goc40x4" localSheetId="7">#REF!</definedName>
    <definedName name="Goc40x4" localSheetId="14">#REF!</definedName>
    <definedName name="Goc40x4" localSheetId="15">#REF!</definedName>
    <definedName name="Goc40x4" localSheetId="8">#REF!</definedName>
    <definedName name="Goc40x4">#REF!</definedName>
    <definedName name="Goc45x4" localSheetId="9">#REF!</definedName>
    <definedName name="Goc45x4" localSheetId="10">#REF!</definedName>
    <definedName name="Goc45x4" localSheetId="6">#REF!</definedName>
    <definedName name="Goc45x4" localSheetId="7">#REF!</definedName>
    <definedName name="Goc45x4" localSheetId="14">#REF!</definedName>
    <definedName name="Goc45x4" localSheetId="15">#REF!</definedName>
    <definedName name="Goc45x4" localSheetId="8">#REF!</definedName>
    <definedName name="Goc45x4">#REF!</definedName>
    <definedName name="Goc50x5" localSheetId="9">#REF!</definedName>
    <definedName name="Goc50x5" localSheetId="10">#REF!</definedName>
    <definedName name="Goc50x5" localSheetId="6">#REF!</definedName>
    <definedName name="Goc50x5" localSheetId="7">#REF!</definedName>
    <definedName name="Goc50x5" localSheetId="14">#REF!</definedName>
    <definedName name="Goc50x5" localSheetId="15">#REF!</definedName>
    <definedName name="Goc50x5" localSheetId="8">#REF!</definedName>
    <definedName name="Goc50x5">#REF!</definedName>
    <definedName name="Goc63x6" localSheetId="9">#REF!</definedName>
    <definedName name="Goc63x6" localSheetId="10">#REF!</definedName>
    <definedName name="Goc63x6" localSheetId="6">#REF!</definedName>
    <definedName name="Goc63x6" localSheetId="7">#REF!</definedName>
    <definedName name="Goc63x6" localSheetId="14">#REF!</definedName>
    <definedName name="Goc63x6" localSheetId="15">#REF!</definedName>
    <definedName name="Goc63x6" localSheetId="8">#REF!</definedName>
    <definedName name="Goc63x6">#REF!</definedName>
    <definedName name="Goc75x6" localSheetId="9">#REF!</definedName>
    <definedName name="Goc75x6" localSheetId="10">#REF!</definedName>
    <definedName name="Goc75x6" localSheetId="6">#REF!</definedName>
    <definedName name="Goc75x6" localSheetId="7">#REF!</definedName>
    <definedName name="Goc75x6" localSheetId="14">#REF!</definedName>
    <definedName name="Goc75x6" localSheetId="15">#REF!</definedName>
    <definedName name="Goc75x6" localSheetId="8">#REF!</definedName>
    <definedName name="Goc75x6">#REF!</definedName>
    <definedName name="Gtb" localSheetId="9">#REF!</definedName>
    <definedName name="Gtb" localSheetId="10">#REF!</definedName>
    <definedName name="Gtb" localSheetId="6">#REF!</definedName>
    <definedName name="Gtb" localSheetId="7">#REF!</definedName>
    <definedName name="Gtb" localSheetId="14">#REF!</definedName>
    <definedName name="Gtb" localSheetId="15">#REF!</definedName>
    <definedName name="Gtb" localSheetId="8">#REF!</definedName>
    <definedName name="Gtb">#REF!</definedName>
    <definedName name="gtbtt" localSheetId="9">#REF!</definedName>
    <definedName name="gtbtt" localSheetId="10">#REF!</definedName>
    <definedName name="gtbtt" localSheetId="6">#REF!</definedName>
    <definedName name="gtbtt" localSheetId="7">#REF!</definedName>
    <definedName name="gtbtt" localSheetId="14">#REF!</definedName>
    <definedName name="gtbtt" localSheetId="15">#REF!</definedName>
    <definedName name="gtbtt" localSheetId="8">#REF!</definedName>
    <definedName name="gtbtt">#REF!</definedName>
    <definedName name="gtst" localSheetId="9">#REF!</definedName>
    <definedName name="gtst" localSheetId="10">#REF!</definedName>
    <definedName name="gtst" localSheetId="6">#REF!</definedName>
    <definedName name="gtst" localSheetId="7">#REF!</definedName>
    <definedName name="gtst" localSheetId="14">#REF!</definedName>
    <definedName name="gtst" localSheetId="15">#REF!</definedName>
    <definedName name="gtst" localSheetId="8">#REF!</definedName>
    <definedName name="gtst">#REF!</definedName>
    <definedName name="GTXL" localSheetId="9">#REF!</definedName>
    <definedName name="GTXL" localSheetId="10">#REF!</definedName>
    <definedName name="GTXL" localSheetId="6">#REF!</definedName>
    <definedName name="GTXL" localSheetId="7">#REF!</definedName>
    <definedName name="GTXL" localSheetId="14">#REF!</definedName>
    <definedName name="GTXL" localSheetId="15">#REF!</definedName>
    <definedName name="GTXL" localSheetId="8">#REF!</definedName>
    <definedName name="GTXL">#REF!</definedName>
    <definedName name="Gxl" localSheetId="9">#REF!</definedName>
    <definedName name="Gxl" localSheetId="10">#REF!</definedName>
    <definedName name="Gxl" localSheetId="6">#REF!</definedName>
    <definedName name="Gxl" localSheetId="7">#REF!</definedName>
    <definedName name="Gxl" localSheetId="14">#REF!</definedName>
    <definedName name="Gxl" localSheetId="15">#REF!</definedName>
    <definedName name="Gxl" localSheetId="8">#REF!</definedName>
    <definedName name="Gxl">#REF!</definedName>
    <definedName name="gxltt" localSheetId="9">#REF!</definedName>
    <definedName name="gxltt" localSheetId="10">#REF!</definedName>
    <definedName name="gxltt" localSheetId="6">#REF!</definedName>
    <definedName name="gxltt" localSheetId="7">#REF!</definedName>
    <definedName name="gxltt" localSheetId="14">#REF!</definedName>
    <definedName name="gxltt" localSheetId="15">#REF!</definedName>
    <definedName name="gxltt" localSheetId="8">#REF!</definedName>
    <definedName name="gxltt">#REF!</definedName>
    <definedName name="h" localSheetId="9">#REF!</definedName>
    <definedName name="h" localSheetId="10">#REF!</definedName>
    <definedName name="h" localSheetId="6">#REF!</definedName>
    <definedName name="h" localSheetId="7">#REF!</definedName>
    <definedName name="h" localSheetId="14">#REF!</definedName>
    <definedName name="h" localSheetId="15">#REF!</definedName>
    <definedName name="h" localSheetId="8">#REF!</definedName>
    <definedName name="h">#REF!</definedName>
    <definedName name="H_THUCHTHH" localSheetId="9">#REF!</definedName>
    <definedName name="H_THUCHTHH" localSheetId="10">#REF!</definedName>
    <definedName name="H_THUCHTHH" localSheetId="6">#REF!</definedName>
    <definedName name="H_THUCHTHH" localSheetId="7">#REF!</definedName>
    <definedName name="H_THUCHTHH" localSheetId="14">#REF!</definedName>
    <definedName name="H_THUCHTHH" localSheetId="15">#REF!</definedName>
    <definedName name="H_THUCHTHH" localSheetId="8">#REF!</definedName>
    <definedName name="H_THUCHTHH">#REF!</definedName>
    <definedName name="H_THUCTT" localSheetId="9">#REF!</definedName>
    <definedName name="H_THUCTT" localSheetId="10">#REF!</definedName>
    <definedName name="H_THUCTT" localSheetId="6">#REF!</definedName>
    <definedName name="H_THUCTT" localSheetId="7">#REF!</definedName>
    <definedName name="H_THUCTT" localSheetId="14">#REF!</definedName>
    <definedName name="H_THUCTT" localSheetId="15">#REF!</definedName>
    <definedName name="H_THUCTT" localSheetId="8">#REF!</definedName>
    <definedName name="H_THUCTT">#REF!</definedName>
    <definedName name="HCM" localSheetId="9">#REF!</definedName>
    <definedName name="HCM" localSheetId="10">#REF!</definedName>
    <definedName name="HCM" localSheetId="6">#REF!</definedName>
    <definedName name="HCM" localSheetId="7">#REF!</definedName>
    <definedName name="HCM" localSheetId="14">#REF!</definedName>
    <definedName name="HCM" localSheetId="15">#REF!</definedName>
    <definedName name="HCM" localSheetId="8">#REF!</definedName>
    <definedName name="HCM">#REF!</definedName>
    <definedName name="HE_SO_KHO_KHAN_CANG_DAY" localSheetId="9">#REF!</definedName>
    <definedName name="HE_SO_KHO_KHAN_CANG_DAY" localSheetId="10">#REF!</definedName>
    <definedName name="HE_SO_KHO_KHAN_CANG_DAY" localSheetId="6">#REF!</definedName>
    <definedName name="HE_SO_KHO_KHAN_CANG_DAY" localSheetId="7">#REF!</definedName>
    <definedName name="HE_SO_KHO_KHAN_CANG_DAY" localSheetId="14">#REF!</definedName>
    <definedName name="HE_SO_KHO_KHAN_CANG_DAY" localSheetId="15">#REF!</definedName>
    <definedName name="HE_SO_KHO_KHAN_CANG_DAY" localSheetId="8">#REF!</definedName>
    <definedName name="HE_SO_KHO_KHAN_CANG_DAY">#REF!</definedName>
    <definedName name="Heä_soá_laép_xaø_H">1.7</definedName>
    <definedName name="heä_soá_sình_laày" localSheetId="9">#REF!</definedName>
    <definedName name="heä_soá_sình_laày" localSheetId="10">#REF!</definedName>
    <definedName name="heä_soá_sình_laày" localSheetId="6">#REF!</definedName>
    <definedName name="heä_soá_sình_laày" localSheetId="7">#REF!</definedName>
    <definedName name="heä_soá_sình_laày" localSheetId="14">#REF!</definedName>
    <definedName name="heä_soá_sình_laày" localSheetId="15">#REF!</definedName>
    <definedName name="heä_soá_sình_laày" localSheetId="8">#REF!</definedName>
    <definedName name="heä_soá_sình_laày">#REF!</definedName>
    <definedName name="hh" localSheetId="9">#REF!</definedName>
    <definedName name="hh" localSheetId="10">#REF!</definedName>
    <definedName name="hh" localSheetId="6">#REF!</definedName>
    <definedName name="hh" localSheetId="7">#REF!</definedName>
    <definedName name="hh" localSheetId="14">#REF!</definedName>
    <definedName name="hh" localSheetId="15">#REF!</definedName>
    <definedName name="hh" localSheetId="8">#REF!</definedName>
    <definedName name="hh">#REF!</definedName>
    <definedName name="HHcat" localSheetId="9">#REF!</definedName>
    <definedName name="HHcat" localSheetId="10">#REF!</definedName>
    <definedName name="HHcat" localSheetId="6">#REF!</definedName>
    <definedName name="HHcat" localSheetId="7">#REF!</definedName>
    <definedName name="HHcat" localSheetId="14">#REF!</definedName>
    <definedName name="HHcat" localSheetId="15">#REF!</definedName>
    <definedName name="HHcat" localSheetId="8">#REF!</definedName>
    <definedName name="HHcat">#REF!</definedName>
    <definedName name="HHda" localSheetId="9">#REF!</definedName>
    <definedName name="HHda" localSheetId="10">#REF!</definedName>
    <definedName name="HHda" localSheetId="6">#REF!</definedName>
    <definedName name="HHda" localSheetId="7">#REF!</definedName>
    <definedName name="HHda" localSheetId="14">#REF!</definedName>
    <definedName name="HHda" localSheetId="15">#REF!</definedName>
    <definedName name="HHda" localSheetId="8">#REF!</definedName>
    <definedName name="HHda">#REF!</definedName>
    <definedName name="HHTT" localSheetId="9">#REF!</definedName>
    <definedName name="HHTT" localSheetId="10">#REF!</definedName>
    <definedName name="HHTT" localSheetId="6">#REF!</definedName>
    <definedName name="HHTT" localSheetId="7">#REF!</definedName>
    <definedName name="HHTT" localSheetId="14">#REF!</definedName>
    <definedName name="HHTT" localSheetId="15">#REF!</definedName>
    <definedName name="HHTT" localSheetId="8">#REF!</definedName>
    <definedName name="HHTT">#REF!</definedName>
    <definedName name="hien" localSheetId="9">#REF!</definedName>
    <definedName name="hien" localSheetId="10">#REF!</definedName>
    <definedName name="hien" localSheetId="6">#REF!</definedName>
    <definedName name="hien" localSheetId="7">#REF!</definedName>
    <definedName name="hien" localSheetId="14">#REF!</definedName>
    <definedName name="hien" localSheetId="15">#REF!</definedName>
    <definedName name="hien" localSheetId="8">#REF!</definedName>
    <definedName name="hien">#REF!</definedName>
    <definedName name="Hinh_thuc" localSheetId="9">#REF!</definedName>
    <definedName name="Hinh_thuc" localSheetId="10">#REF!</definedName>
    <definedName name="Hinh_thuc" localSheetId="6">#REF!</definedName>
    <definedName name="Hinh_thuc" localSheetId="7">#REF!</definedName>
    <definedName name="Hinh_thuc" localSheetId="14">#REF!</definedName>
    <definedName name="Hinh_thuc" localSheetId="15">#REF!</definedName>
    <definedName name="Hinh_thuc" localSheetId="8">#REF!</definedName>
    <definedName name="Hinh_thuc">#REF!</definedName>
    <definedName name="HiÕu" localSheetId="9">#REF!</definedName>
    <definedName name="HiÕu" localSheetId="10">#REF!</definedName>
    <definedName name="HiÕu" localSheetId="6">#REF!</definedName>
    <definedName name="HiÕu" localSheetId="7">#REF!</definedName>
    <definedName name="HiÕu" localSheetId="14">#REF!</definedName>
    <definedName name="HiÕu" localSheetId="15">#REF!</definedName>
    <definedName name="HiÕu" localSheetId="8">#REF!</definedName>
    <definedName name="HiÕu">#REF!</definedName>
    <definedName name="HOME_MANP" localSheetId="9">#REF!</definedName>
    <definedName name="HOME_MANP" localSheetId="10">#REF!</definedName>
    <definedName name="HOME_MANP" localSheetId="6">#REF!</definedName>
    <definedName name="HOME_MANP" localSheetId="7">#REF!</definedName>
    <definedName name="HOME_MANP" localSheetId="14">#REF!</definedName>
    <definedName name="HOME_MANP" localSheetId="15">#REF!</definedName>
    <definedName name="HOME_MANP" localSheetId="8">#REF!</definedName>
    <definedName name="HOME_MANP">#REF!</definedName>
    <definedName name="HOMEOFFICE_COST" localSheetId="9">#REF!</definedName>
    <definedName name="HOMEOFFICE_COST" localSheetId="10">#REF!</definedName>
    <definedName name="HOMEOFFICE_COST" localSheetId="6">#REF!</definedName>
    <definedName name="HOMEOFFICE_COST" localSheetId="7">#REF!</definedName>
    <definedName name="HOMEOFFICE_COST" localSheetId="14">#REF!</definedName>
    <definedName name="HOMEOFFICE_COST" localSheetId="15">#REF!</definedName>
    <definedName name="HOMEOFFICE_COST" localSheetId="8">#REF!</definedName>
    <definedName name="HOMEOFFICE_COST">#REF!</definedName>
    <definedName name="hs" localSheetId="9">#REF!</definedName>
    <definedName name="hs" localSheetId="10">#REF!</definedName>
    <definedName name="hs" localSheetId="6">#REF!</definedName>
    <definedName name="hs" localSheetId="7">#REF!</definedName>
    <definedName name="hs" localSheetId="14">#REF!</definedName>
    <definedName name="hs" localSheetId="15">#REF!</definedName>
    <definedName name="hs" localSheetId="8">#REF!</definedName>
    <definedName name="hs">#REF!</definedName>
    <definedName name="HSCT3">0.1</definedName>
    <definedName name="hsd" localSheetId="9">#REF!</definedName>
    <definedName name="hsd" localSheetId="10">#REF!</definedName>
    <definedName name="hsd" localSheetId="6">#REF!</definedName>
    <definedName name="hsd" localSheetId="7">#REF!</definedName>
    <definedName name="hsd" localSheetId="14">#REF!</definedName>
    <definedName name="hsd" localSheetId="15">#REF!</definedName>
    <definedName name="hsd" localSheetId="8">#REF!</definedName>
    <definedName name="hsd">#REF!</definedName>
    <definedName name="hsdc" localSheetId="9">#REF!</definedName>
    <definedName name="hsdc" localSheetId="10">#REF!</definedName>
    <definedName name="hsdc" localSheetId="6">#REF!</definedName>
    <definedName name="hsdc" localSheetId="7">#REF!</definedName>
    <definedName name="hsdc" localSheetId="14">#REF!</definedName>
    <definedName name="hsdc" localSheetId="15">#REF!</definedName>
    <definedName name="hsdc" localSheetId="8">#REF!</definedName>
    <definedName name="hsdc">#REF!</definedName>
    <definedName name="hsdc1" localSheetId="9">#REF!</definedName>
    <definedName name="hsdc1" localSheetId="10">#REF!</definedName>
    <definedName name="hsdc1" localSheetId="6">#REF!</definedName>
    <definedName name="hsdc1" localSheetId="7">#REF!</definedName>
    <definedName name="hsdc1" localSheetId="14">#REF!</definedName>
    <definedName name="hsdc1" localSheetId="15">#REF!</definedName>
    <definedName name="hsdc1" localSheetId="8">#REF!</definedName>
    <definedName name="hsdc1">#REF!</definedName>
    <definedName name="HSDN">2.5</definedName>
    <definedName name="HSHH" localSheetId="9">#REF!</definedName>
    <definedName name="HSHH" localSheetId="10">#REF!</definedName>
    <definedName name="HSHH" localSheetId="6">#REF!</definedName>
    <definedName name="HSHH" localSheetId="7">#REF!</definedName>
    <definedName name="HSHH" localSheetId="14">#REF!</definedName>
    <definedName name="HSHH" localSheetId="15">#REF!</definedName>
    <definedName name="HSHH" localSheetId="8">#REF!</definedName>
    <definedName name="HSHH">#REF!</definedName>
    <definedName name="HSHHUT" localSheetId="9">#REF!</definedName>
    <definedName name="HSHHUT" localSheetId="10">#REF!</definedName>
    <definedName name="HSHHUT" localSheetId="6">#REF!</definedName>
    <definedName name="HSHHUT" localSheetId="7">#REF!</definedName>
    <definedName name="HSHHUT" localSheetId="14">#REF!</definedName>
    <definedName name="HSHHUT" localSheetId="15">#REF!</definedName>
    <definedName name="HSHHUT" localSheetId="8">#REF!</definedName>
    <definedName name="HSHHUT">#REF!</definedName>
    <definedName name="hsk" localSheetId="9">#REF!</definedName>
    <definedName name="hsk" localSheetId="10">#REF!</definedName>
    <definedName name="hsk" localSheetId="6">#REF!</definedName>
    <definedName name="hsk" localSheetId="7">#REF!</definedName>
    <definedName name="hsk" localSheetId="14">#REF!</definedName>
    <definedName name="hsk" localSheetId="15">#REF!</definedName>
    <definedName name="hsk" localSheetId="8">#REF!</definedName>
    <definedName name="hsk">#REF!</definedName>
    <definedName name="HSKK35" localSheetId="9">#REF!</definedName>
    <definedName name="HSKK35" localSheetId="10">#REF!</definedName>
    <definedName name="HSKK35" localSheetId="6">#REF!</definedName>
    <definedName name="HSKK35" localSheetId="7">#REF!</definedName>
    <definedName name="HSKK35" localSheetId="14">#REF!</definedName>
    <definedName name="HSKK35" localSheetId="15">#REF!</definedName>
    <definedName name="HSKK35" localSheetId="8">#REF!</definedName>
    <definedName name="HSKK35">#REF!</definedName>
    <definedName name="HSLX" localSheetId="9">#REF!</definedName>
    <definedName name="HSLX" localSheetId="10">#REF!</definedName>
    <definedName name="HSLX" localSheetId="6">#REF!</definedName>
    <definedName name="HSLX" localSheetId="7">#REF!</definedName>
    <definedName name="HSLX" localSheetId="14">#REF!</definedName>
    <definedName name="HSLX" localSheetId="15">#REF!</definedName>
    <definedName name="HSLX" localSheetId="8">#REF!</definedName>
    <definedName name="HSLX">#REF!</definedName>
    <definedName name="HSLXH">1.7</definedName>
    <definedName name="HSLXP" localSheetId="9">#REF!</definedName>
    <definedName name="HSLXP" localSheetId="10">#REF!</definedName>
    <definedName name="HSLXP" localSheetId="6">#REF!</definedName>
    <definedName name="HSLXP" localSheetId="7">#REF!</definedName>
    <definedName name="HSLXP" localSheetId="14">#REF!</definedName>
    <definedName name="HSLXP" localSheetId="15">#REF!</definedName>
    <definedName name="HSLXP" localSheetId="8">#REF!</definedName>
    <definedName name="HSLXP">#REF!</definedName>
    <definedName name="hßm4" localSheetId="9">#REF!</definedName>
    <definedName name="hßm4" localSheetId="10">#REF!</definedName>
    <definedName name="hßm4" localSheetId="6">#REF!</definedName>
    <definedName name="hßm4" localSheetId="7">#REF!</definedName>
    <definedName name="hßm4" localSheetId="14">#REF!</definedName>
    <definedName name="hßm4" localSheetId="15">#REF!</definedName>
    <definedName name="hßm4" localSheetId="8">#REF!</definedName>
    <definedName name="hßm4">#REF!</definedName>
    <definedName name="hstb" localSheetId="9">#REF!</definedName>
    <definedName name="hstb" localSheetId="10">#REF!</definedName>
    <definedName name="hstb" localSheetId="6">#REF!</definedName>
    <definedName name="hstb" localSheetId="7">#REF!</definedName>
    <definedName name="hstb" localSheetId="14">#REF!</definedName>
    <definedName name="hstb" localSheetId="15">#REF!</definedName>
    <definedName name="hstb" localSheetId="8">#REF!</definedName>
    <definedName name="hstb">#REF!</definedName>
    <definedName name="hstdtk" localSheetId="9">#REF!</definedName>
    <definedName name="hstdtk" localSheetId="10">#REF!</definedName>
    <definedName name="hstdtk" localSheetId="6">#REF!</definedName>
    <definedName name="hstdtk" localSheetId="7">#REF!</definedName>
    <definedName name="hstdtk" localSheetId="14">#REF!</definedName>
    <definedName name="hstdtk" localSheetId="15">#REF!</definedName>
    <definedName name="hstdtk" localSheetId="8">#REF!</definedName>
    <definedName name="hstdtk">#REF!</definedName>
    <definedName name="hsthep" localSheetId="9">#REF!</definedName>
    <definedName name="hsthep" localSheetId="10">#REF!</definedName>
    <definedName name="hsthep" localSheetId="6">#REF!</definedName>
    <definedName name="hsthep" localSheetId="7">#REF!</definedName>
    <definedName name="hsthep" localSheetId="14">#REF!</definedName>
    <definedName name="hsthep" localSheetId="15">#REF!</definedName>
    <definedName name="hsthep" localSheetId="8">#REF!</definedName>
    <definedName name="hsthep">#REF!</definedName>
    <definedName name="HSVC1" localSheetId="9">#REF!</definedName>
    <definedName name="HSVC1" localSheetId="10">#REF!</definedName>
    <definedName name="HSVC1" localSheetId="6">#REF!</definedName>
    <definedName name="HSVC1" localSheetId="7">#REF!</definedName>
    <definedName name="HSVC1" localSheetId="14">#REF!</definedName>
    <definedName name="HSVC1" localSheetId="15">#REF!</definedName>
    <definedName name="HSVC1" localSheetId="8">#REF!</definedName>
    <definedName name="HSVC1">#REF!</definedName>
    <definedName name="HSVC2" localSheetId="9">#REF!</definedName>
    <definedName name="HSVC2" localSheetId="10">#REF!</definedName>
    <definedName name="HSVC2" localSheetId="6">#REF!</definedName>
    <definedName name="HSVC2" localSheetId="7">#REF!</definedName>
    <definedName name="HSVC2" localSheetId="14">#REF!</definedName>
    <definedName name="HSVC2" localSheetId="15">#REF!</definedName>
    <definedName name="HSVC2" localSheetId="8">#REF!</definedName>
    <definedName name="HSVC2">#REF!</definedName>
    <definedName name="HSVC3" localSheetId="9">#REF!</definedName>
    <definedName name="HSVC3" localSheetId="10">#REF!</definedName>
    <definedName name="HSVC3" localSheetId="6">#REF!</definedName>
    <definedName name="HSVC3" localSheetId="7">#REF!</definedName>
    <definedName name="HSVC3" localSheetId="14">#REF!</definedName>
    <definedName name="HSVC3" localSheetId="15">#REF!</definedName>
    <definedName name="HSVC3" localSheetId="8">#REF!</definedName>
    <definedName name="HSVC3">#REF!</definedName>
    <definedName name="hsvl" localSheetId="9">#REF!</definedName>
    <definedName name="hsvl" localSheetId="10">#REF!</definedName>
    <definedName name="hsvl" localSheetId="6">#REF!</definedName>
    <definedName name="hsvl" localSheetId="7">#REF!</definedName>
    <definedName name="hsvl" localSheetId="14">#REF!</definedName>
    <definedName name="hsvl" localSheetId="15">#REF!</definedName>
    <definedName name="hsvl" localSheetId="8">#REF!</definedName>
    <definedName name="hsvl">#REF!</definedName>
    <definedName name="HT" localSheetId="9">#REF!</definedName>
    <definedName name="HT" localSheetId="10">#REF!</definedName>
    <definedName name="HT" localSheetId="6">#REF!</definedName>
    <definedName name="HT" localSheetId="7">#REF!</definedName>
    <definedName name="HT" localSheetId="14">#REF!</definedName>
    <definedName name="HT" localSheetId="15">#REF!</definedName>
    <definedName name="HT" localSheetId="8">#REF!</definedName>
    <definedName name="HT">#REF!</definedName>
    <definedName name="HTHH" localSheetId="9">#REF!</definedName>
    <definedName name="HTHH" localSheetId="10">#REF!</definedName>
    <definedName name="HTHH" localSheetId="6">#REF!</definedName>
    <definedName name="HTHH" localSheetId="7">#REF!</definedName>
    <definedName name="HTHH" localSheetId="14">#REF!</definedName>
    <definedName name="HTHH" localSheetId="15">#REF!</definedName>
    <definedName name="HTHH" localSheetId="8">#REF!</definedName>
    <definedName name="HTHH">#REF!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 localSheetId="9">#REF!</definedName>
    <definedName name="HTNC" localSheetId="10">#REF!</definedName>
    <definedName name="HTNC" localSheetId="6">#REF!</definedName>
    <definedName name="HTNC" localSheetId="7">#REF!</definedName>
    <definedName name="HTNC" localSheetId="14">#REF!</definedName>
    <definedName name="HTNC" localSheetId="15">#REF!</definedName>
    <definedName name="HTNC" localSheetId="8">#REF!</definedName>
    <definedName name="HTNC">#REF!</definedName>
    <definedName name="HTVL" localSheetId="9">#REF!</definedName>
    <definedName name="HTVL" localSheetId="10">#REF!</definedName>
    <definedName name="HTVL" localSheetId="6">#REF!</definedName>
    <definedName name="HTVL" localSheetId="7">#REF!</definedName>
    <definedName name="HTVL" localSheetId="14">#REF!</definedName>
    <definedName name="HTVL" localSheetId="15">#REF!</definedName>
    <definedName name="HTVL" localSheetId="8">#REF!</definedName>
    <definedName name="HTVL">#REF!</definedName>
    <definedName name="huy" hidden="1">{"'Sheet1'!$L$16"}</definedName>
    <definedName name="I" localSheetId="9">#REF!</definedName>
    <definedName name="I" localSheetId="10">#REF!</definedName>
    <definedName name="I" localSheetId="6">#REF!</definedName>
    <definedName name="I" localSheetId="7">#REF!</definedName>
    <definedName name="I" localSheetId="14">#REF!</definedName>
    <definedName name="I" localSheetId="15">#REF!</definedName>
    <definedName name="I" localSheetId="8">#REF!</definedName>
    <definedName name="I">#REF!</definedName>
    <definedName name="IDLAB_COST" localSheetId="9">#REF!</definedName>
    <definedName name="IDLAB_COST" localSheetId="10">#REF!</definedName>
    <definedName name="IDLAB_COST" localSheetId="6">#REF!</definedName>
    <definedName name="IDLAB_COST" localSheetId="7">#REF!</definedName>
    <definedName name="IDLAB_COST" localSheetId="14">#REF!</definedName>
    <definedName name="IDLAB_COST" localSheetId="15">#REF!</definedName>
    <definedName name="IDLAB_COST" localSheetId="8">#REF!</definedName>
    <definedName name="IDLAB_COST">#REF!</definedName>
    <definedName name="IND_LAB" localSheetId="9">#REF!</definedName>
    <definedName name="IND_LAB" localSheetId="10">#REF!</definedName>
    <definedName name="IND_LAB" localSheetId="6">#REF!</definedName>
    <definedName name="IND_LAB" localSheetId="7">#REF!</definedName>
    <definedName name="IND_LAB" localSheetId="14">#REF!</definedName>
    <definedName name="IND_LAB" localSheetId="15">#REF!</definedName>
    <definedName name="IND_LAB" localSheetId="8">#REF!</definedName>
    <definedName name="IND_LAB">#REF!</definedName>
    <definedName name="INDMANP" localSheetId="9">#REF!</definedName>
    <definedName name="INDMANP" localSheetId="10">#REF!</definedName>
    <definedName name="INDMANP" localSheetId="6">#REF!</definedName>
    <definedName name="INDMANP" localSheetId="7">#REF!</definedName>
    <definedName name="INDMANP" localSheetId="14">#REF!</definedName>
    <definedName name="INDMANP" localSheetId="15">#REF!</definedName>
    <definedName name="INDMANP" localSheetId="8">#REF!</definedName>
    <definedName name="INDMANP">#REF!</definedName>
    <definedName name="j" localSheetId="9">#REF!</definedName>
    <definedName name="j" localSheetId="10">#REF!</definedName>
    <definedName name="j" localSheetId="6">#REF!</definedName>
    <definedName name="j" localSheetId="7">#REF!</definedName>
    <definedName name="j" localSheetId="14">#REF!</definedName>
    <definedName name="j" localSheetId="15">#REF!</definedName>
    <definedName name="j" localSheetId="8">#REF!</definedName>
    <definedName name="j">#REF!</definedName>
    <definedName name="j356C8" localSheetId="9">#REF!</definedName>
    <definedName name="j356C8" localSheetId="10">#REF!</definedName>
    <definedName name="j356C8" localSheetId="6">#REF!</definedName>
    <definedName name="j356C8" localSheetId="7">#REF!</definedName>
    <definedName name="j356C8" localSheetId="14">#REF!</definedName>
    <definedName name="j356C8" localSheetId="15">#REF!</definedName>
    <definedName name="j356C8" localSheetId="8">#REF!</definedName>
    <definedName name="j356C8">#REF!</definedName>
    <definedName name="k" localSheetId="9">#REF!</definedName>
    <definedName name="k" localSheetId="10">#REF!</definedName>
    <definedName name="k" localSheetId="6">#REF!</definedName>
    <definedName name="k" localSheetId="7">#REF!</definedName>
    <definedName name="k" localSheetId="14">#REF!</definedName>
    <definedName name="k" localSheetId="15">#REF!</definedName>
    <definedName name="k" localSheetId="8">#REF!</definedName>
    <definedName name="k">#REF!</definedName>
    <definedName name="k2b" localSheetId="9">#REF!</definedName>
    <definedName name="k2b" localSheetId="10">#REF!</definedName>
    <definedName name="k2b" localSheetId="6">#REF!</definedName>
    <definedName name="k2b" localSheetId="7">#REF!</definedName>
    <definedName name="k2b" localSheetId="14">#REF!</definedName>
    <definedName name="k2b" localSheetId="15">#REF!</definedName>
    <definedName name="k2b" localSheetId="8">#REF!</definedName>
    <definedName name="k2b">#REF!</definedName>
    <definedName name="kcong" localSheetId="9">#REF!</definedName>
    <definedName name="kcong" localSheetId="10">#REF!</definedName>
    <definedName name="kcong" localSheetId="6">#REF!</definedName>
    <definedName name="kcong" localSheetId="7">#REF!</definedName>
    <definedName name="kcong" localSheetId="14">#REF!</definedName>
    <definedName name="kcong" localSheetId="15">#REF!</definedName>
    <definedName name="kcong" localSheetId="8">#REF!</definedName>
    <definedName name="kcong">#REF!</definedName>
    <definedName name="KH_Chang" localSheetId="9">#REF!</definedName>
    <definedName name="KH_Chang" localSheetId="10">#REF!</definedName>
    <definedName name="KH_Chang" localSheetId="6">#REF!</definedName>
    <definedName name="KH_Chang" localSheetId="7">#REF!</definedName>
    <definedName name="KH_Chang" localSheetId="14">#REF!</definedName>
    <definedName name="KH_Chang" localSheetId="15">#REF!</definedName>
    <definedName name="KH_Chang" localSheetId="8">#REF!</definedName>
    <definedName name="KH_Chang">#REF!</definedName>
    <definedName name="KHOI_LUONG_DAT_DAO_DAP" localSheetId="9">#REF!</definedName>
    <definedName name="KHOI_LUONG_DAT_DAO_DAP" localSheetId="10">#REF!</definedName>
    <definedName name="KHOI_LUONG_DAT_DAO_DAP" localSheetId="6">#REF!</definedName>
    <definedName name="KHOI_LUONG_DAT_DAO_DAP" localSheetId="7">#REF!</definedName>
    <definedName name="KHOI_LUONG_DAT_DAO_DAP" localSheetId="14">#REF!</definedName>
    <definedName name="KHOI_LUONG_DAT_DAO_DAP" localSheetId="15">#REF!</definedName>
    <definedName name="KHOI_LUONG_DAT_DAO_DAP" localSheetId="8">#REF!</definedName>
    <definedName name="KHOI_LUONG_DAT_DAO_DAP">#REF!</definedName>
    <definedName name="KINH_PHI_DEN_BU" localSheetId="9">#REF!</definedName>
    <definedName name="KINH_PHI_DEN_BU" localSheetId="10">#REF!</definedName>
    <definedName name="KINH_PHI_DEN_BU" localSheetId="6">#REF!</definedName>
    <definedName name="KINH_PHI_DEN_BU" localSheetId="7">#REF!</definedName>
    <definedName name="KINH_PHI_DEN_BU" localSheetId="14">#REF!</definedName>
    <definedName name="KINH_PHI_DEN_BU" localSheetId="15">#REF!</definedName>
    <definedName name="KINH_PHI_DEN_BU" localSheetId="8">#REF!</definedName>
    <definedName name="KINH_PHI_DEN_BU">#REF!</definedName>
    <definedName name="KINH_PHI_DZ0.4KV" localSheetId="9">#REF!</definedName>
    <definedName name="KINH_PHI_DZ0.4KV" localSheetId="10">#REF!</definedName>
    <definedName name="KINH_PHI_DZ0.4KV" localSheetId="6">#REF!</definedName>
    <definedName name="KINH_PHI_DZ0.4KV" localSheetId="7">#REF!</definedName>
    <definedName name="KINH_PHI_DZ0.4KV" localSheetId="14">#REF!</definedName>
    <definedName name="KINH_PHI_DZ0.4KV" localSheetId="15">#REF!</definedName>
    <definedName name="KINH_PHI_DZ0.4KV" localSheetId="8">#REF!</definedName>
    <definedName name="KINH_PHI_DZ0.4KV">#REF!</definedName>
    <definedName name="KINH_PHI_KHAO_SAT__LAP_BCNCKT__TKKTTC" localSheetId="9">#REF!</definedName>
    <definedName name="KINH_PHI_KHAO_SAT__LAP_BCNCKT__TKKTTC" localSheetId="10">#REF!</definedName>
    <definedName name="KINH_PHI_KHAO_SAT__LAP_BCNCKT__TKKTTC" localSheetId="6">#REF!</definedName>
    <definedName name="KINH_PHI_KHAO_SAT__LAP_BCNCKT__TKKTTC" localSheetId="7">#REF!</definedName>
    <definedName name="KINH_PHI_KHAO_SAT__LAP_BCNCKT__TKKTTC" localSheetId="14">#REF!</definedName>
    <definedName name="KINH_PHI_KHAO_SAT__LAP_BCNCKT__TKKTTC" localSheetId="15">#REF!</definedName>
    <definedName name="KINH_PHI_KHAO_SAT__LAP_BCNCKT__TKKTTC" localSheetId="8">#REF!</definedName>
    <definedName name="KINH_PHI_KHAO_SAT__LAP_BCNCKT__TKKTTC">#REF!</definedName>
    <definedName name="KINH_PHI_KHO_BAI" localSheetId="9">#REF!</definedName>
    <definedName name="KINH_PHI_KHO_BAI" localSheetId="10">#REF!</definedName>
    <definedName name="KINH_PHI_KHO_BAI" localSheetId="6">#REF!</definedName>
    <definedName name="KINH_PHI_KHO_BAI" localSheetId="7">#REF!</definedName>
    <definedName name="KINH_PHI_KHO_BAI" localSheetId="14">#REF!</definedName>
    <definedName name="KINH_PHI_KHO_BAI" localSheetId="15">#REF!</definedName>
    <definedName name="KINH_PHI_KHO_BAI" localSheetId="8">#REF!</definedName>
    <definedName name="KINH_PHI_KHO_BAI">#REF!</definedName>
    <definedName name="KINH_PHI_TBA" localSheetId="9">#REF!</definedName>
    <definedName name="KINH_PHI_TBA" localSheetId="10">#REF!</definedName>
    <definedName name="KINH_PHI_TBA" localSheetId="6">#REF!</definedName>
    <definedName name="KINH_PHI_TBA" localSheetId="7">#REF!</definedName>
    <definedName name="KINH_PHI_TBA" localSheetId="14">#REF!</definedName>
    <definedName name="KINH_PHI_TBA" localSheetId="15">#REF!</definedName>
    <definedName name="KINH_PHI_TBA" localSheetId="8">#REF!</definedName>
    <definedName name="KINH_PHI_TBA">#REF!</definedName>
    <definedName name="kl_ME" localSheetId="9">#REF!</definedName>
    <definedName name="kl_ME" localSheetId="10">#REF!</definedName>
    <definedName name="kl_ME" localSheetId="6">#REF!</definedName>
    <definedName name="kl_ME" localSheetId="7">#REF!</definedName>
    <definedName name="kl_ME" localSheetId="14">#REF!</definedName>
    <definedName name="kl_ME" localSheetId="15">#REF!</definedName>
    <definedName name="kl_ME" localSheetId="8">#REF!</definedName>
    <definedName name="kl_ME">#REF!</definedName>
    <definedName name="KLTHDN" localSheetId="9">#REF!</definedName>
    <definedName name="KLTHDN" localSheetId="10">#REF!</definedName>
    <definedName name="KLTHDN" localSheetId="6">#REF!</definedName>
    <definedName name="KLTHDN" localSheetId="7">#REF!</definedName>
    <definedName name="KLTHDN" localSheetId="14">#REF!</definedName>
    <definedName name="KLTHDN" localSheetId="15">#REF!</definedName>
    <definedName name="KLTHDN" localSheetId="8">#REF!</definedName>
    <definedName name="KLTHDN">#REF!</definedName>
    <definedName name="KLVANKHUON" localSheetId="9">#REF!</definedName>
    <definedName name="KLVANKHUON" localSheetId="10">#REF!</definedName>
    <definedName name="KLVANKHUON" localSheetId="6">#REF!</definedName>
    <definedName name="KLVANKHUON" localSheetId="7">#REF!</definedName>
    <definedName name="KLVANKHUON" localSheetId="14">#REF!</definedName>
    <definedName name="KLVANKHUON" localSheetId="15">#REF!</definedName>
    <definedName name="KLVANKHUON" localSheetId="8">#REF!</definedName>
    <definedName name="KLVANKHUON">#REF!</definedName>
    <definedName name="kp1ph" localSheetId="9">#REF!</definedName>
    <definedName name="kp1ph" localSheetId="10">#REF!</definedName>
    <definedName name="kp1ph" localSheetId="6">#REF!</definedName>
    <definedName name="kp1ph" localSheetId="7">#REF!</definedName>
    <definedName name="kp1ph" localSheetId="14">#REF!</definedName>
    <definedName name="kp1ph" localSheetId="15">#REF!</definedName>
    <definedName name="kp1ph" localSheetId="8">#REF!</definedName>
    <definedName name="kp1ph">#REF!</definedName>
    <definedName name="KSTK" localSheetId="9">#REF!</definedName>
    <definedName name="KSTK" localSheetId="10">#REF!</definedName>
    <definedName name="KSTK" localSheetId="6">#REF!</definedName>
    <definedName name="KSTK" localSheetId="7">#REF!</definedName>
    <definedName name="KSTK" localSheetId="14">#REF!</definedName>
    <definedName name="KSTK" localSheetId="15">#REF!</definedName>
    <definedName name="KSTK" localSheetId="8">#REF!</definedName>
    <definedName name="KSTK">#REF!</definedName>
    <definedName name="l" localSheetId="9">#REF!</definedName>
    <definedName name="l" localSheetId="10">#REF!</definedName>
    <definedName name="l" localSheetId="6">#REF!</definedName>
    <definedName name="l" localSheetId="7">#REF!</definedName>
    <definedName name="l" localSheetId="14">#REF!</definedName>
    <definedName name="l" localSheetId="15">#REF!</definedName>
    <definedName name="l" localSheetId="8">#REF!</definedName>
    <definedName name="l">#REF!</definedName>
    <definedName name="L_mong" localSheetId="9">#REF!</definedName>
    <definedName name="L_mong" localSheetId="10">#REF!</definedName>
    <definedName name="L_mong" localSheetId="6">#REF!</definedName>
    <definedName name="L_mong" localSheetId="7">#REF!</definedName>
    <definedName name="L_mong" localSheetId="14">#REF!</definedName>
    <definedName name="L_mong" localSheetId="15">#REF!</definedName>
    <definedName name="L_mong" localSheetId="8">#REF!</definedName>
    <definedName name="L_mong">#REF!</definedName>
    <definedName name="L63x6">5800</definedName>
    <definedName name="lan" localSheetId="9">#REF!</definedName>
    <definedName name="lan" localSheetId="10">#REF!</definedName>
    <definedName name="lan" localSheetId="6">#REF!</definedName>
    <definedName name="lan" localSheetId="7">#REF!</definedName>
    <definedName name="lan" localSheetId="14">#REF!</definedName>
    <definedName name="lan" localSheetId="15">#REF!</definedName>
    <definedName name="lan" localSheetId="8">#REF!</definedName>
    <definedName name="lan">#REF!</definedName>
    <definedName name="lanhto" localSheetId="9">#REF!</definedName>
    <definedName name="lanhto" localSheetId="10">#REF!</definedName>
    <definedName name="lanhto" localSheetId="6">#REF!</definedName>
    <definedName name="lanhto" localSheetId="7">#REF!</definedName>
    <definedName name="lanhto" localSheetId="14">#REF!</definedName>
    <definedName name="lanhto" localSheetId="15">#REF!</definedName>
    <definedName name="lanhto" localSheetId="8">#REF!</definedName>
    <definedName name="lanhto">#REF!</definedName>
    <definedName name="LAP_DAT_TBA" localSheetId="9">#REF!</definedName>
    <definedName name="LAP_DAT_TBA" localSheetId="10">#REF!</definedName>
    <definedName name="LAP_DAT_TBA" localSheetId="6">#REF!</definedName>
    <definedName name="LAP_DAT_TBA" localSheetId="7">#REF!</definedName>
    <definedName name="LAP_DAT_TBA" localSheetId="14">#REF!</definedName>
    <definedName name="LAP_DAT_TBA" localSheetId="15">#REF!</definedName>
    <definedName name="LAP_DAT_TBA" localSheetId="8">#REF!</definedName>
    <definedName name="LAP_DAT_TBA">#REF!</definedName>
    <definedName name="LBS_22">107800000</definedName>
    <definedName name="LIET_KE_VI_TRI_DZ0.4KV" localSheetId="9">#REF!</definedName>
    <definedName name="LIET_KE_VI_TRI_DZ0.4KV" localSheetId="10">#REF!</definedName>
    <definedName name="LIET_KE_VI_TRI_DZ0.4KV" localSheetId="6">#REF!</definedName>
    <definedName name="LIET_KE_VI_TRI_DZ0.4KV" localSheetId="7">#REF!</definedName>
    <definedName name="LIET_KE_VI_TRI_DZ0.4KV" localSheetId="14">#REF!</definedName>
    <definedName name="LIET_KE_VI_TRI_DZ0.4KV" localSheetId="15">#REF!</definedName>
    <definedName name="LIET_KE_VI_TRI_DZ0.4KV" localSheetId="8">#REF!</definedName>
    <definedName name="LIET_KE_VI_TRI_DZ0.4KV">#REF!</definedName>
    <definedName name="LIET_KE_VI_TRI_DZ22KV" localSheetId="9">#REF!</definedName>
    <definedName name="LIET_KE_VI_TRI_DZ22KV" localSheetId="10">#REF!</definedName>
    <definedName name="LIET_KE_VI_TRI_DZ22KV" localSheetId="6">#REF!</definedName>
    <definedName name="LIET_KE_VI_TRI_DZ22KV" localSheetId="7">#REF!</definedName>
    <definedName name="LIET_KE_VI_TRI_DZ22KV" localSheetId="14">#REF!</definedName>
    <definedName name="LIET_KE_VI_TRI_DZ22KV" localSheetId="15">#REF!</definedName>
    <definedName name="LIET_KE_VI_TRI_DZ22KV" localSheetId="8">#REF!</definedName>
    <definedName name="LIET_KE_VI_TRI_DZ22KV">#REF!</definedName>
    <definedName name="LK_hathe" localSheetId="9">#REF!</definedName>
    <definedName name="LK_hathe" localSheetId="10">#REF!</definedName>
    <definedName name="LK_hathe" localSheetId="6">#REF!</definedName>
    <definedName name="LK_hathe" localSheetId="7">#REF!</definedName>
    <definedName name="LK_hathe" localSheetId="14">#REF!</definedName>
    <definedName name="LK_hathe" localSheetId="15">#REF!</definedName>
    <definedName name="LK_hathe" localSheetId="8">#REF!</definedName>
    <definedName name="LK_hathe">#REF!</definedName>
    <definedName name="Lmk" localSheetId="9">#REF!</definedName>
    <definedName name="Lmk" localSheetId="10">#REF!</definedName>
    <definedName name="Lmk" localSheetId="6">#REF!</definedName>
    <definedName name="Lmk" localSheetId="7">#REF!</definedName>
    <definedName name="Lmk" localSheetId="14">#REF!</definedName>
    <definedName name="Lmk" localSheetId="15">#REF!</definedName>
    <definedName name="Lmk" localSheetId="8">#REF!</definedName>
    <definedName name="Lmk">#REF!</definedName>
    <definedName name="lntt" localSheetId="9">#REF!</definedName>
    <definedName name="lntt" localSheetId="10">#REF!</definedName>
    <definedName name="lntt" localSheetId="6">#REF!</definedName>
    <definedName name="lntt" localSheetId="7">#REF!</definedName>
    <definedName name="lntt" localSheetId="14">#REF!</definedName>
    <definedName name="lntt" localSheetId="15">#REF!</definedName>
    <definedName name="lntt" localSheetId="8">#REF!</definedName>
    <definedName name="lntt">#REF!</definedName>
    <definedName name="Loai_TD" localSheetId="9">#REF!</definedName>
    <definedName name="Loai_TD" localSheetId="10">#REF!</definedName>
    <definedName name="Loai_TD" localSheetId="6">#REF!</definedName>
    <definedName name="Loai_TD" localSheetId="7">#REF!</definedName>
    <definedName name="Loai_TD" localSheetId="14">#REF!</definedName>
    <definedName name="Loai_TD" localSheetId="15">#REF!</definedName>
    <definedName name="Loai_TD" localSheetId="8">#REF!</definedName>
    <definedName name="Loai_TD">#REF!</definedName>
    <definedName name="M0.4" localSheetId="9">#REF!</definedName>
    <definedName name="M0.4" localSheetId="10">#REF!</definedName>
    <definedName name="M0.4" localSheetId="6">#REF!</definedName>
    <definedName name="M0.4" localSheetId="7">#REF!</definedName>
    <definedName name="M0.4" localSheetId="14">#REF!</definedName>
    <definedName name="M0.4" localSheetId="15">#REF!</definedName>
    <definedName name="M0.4" localSheetId="8">#REF!</definedName>
    <definedName name="M0.4">#REF!</definedName>
    <definedName name="M12aavl" localSheetId="9">#REF!</definedName>
    <definedName name="M12aavl" localSheetId="10">#REF!</definedName>
    <definedName name="M12aavl" localSheetId="6">#REF!</definedName>
    <definedName name="M12aavl" localSheetId="7">#REF!</definedName>
    <definedName name="M12aavl" localSheetId="14">#REF!</definedName>
    <definedName name="M12aavl" localSheetId="15">#REF!</definedName>
    <definedName name="M12aavl" localSheetId="8">#REF!</definedName>
    <definedName name="M12aavl">#REF!</definedName>
    <definedName name="M12ba3p" localSheetId="9">#REF!</definedName>
    <definedName name="M12ba3p" localSheetId="10">#REF!</definedName>
    <definedName name="M12ba3p" localSheetId="6">#REF!</definedName>
    <definedName name="M12ba3p" localSheetId="7">#REF!</definedName>
    <definedName name="M12ba3p" localSheetId="14">#REF!</definedName>
    <definedName name="M12ba3p" localSheetId="15">#REF!</definedName>
    <definedName name="M12ba3p" localSheetId="8">#REF!</definedName>
    <definedName name="M12ba3p">#REF!</definedName>
    <definedName name="M12bb1p" localSheetId="9">#REF!</definedName>
    <definedName name="M12bb1p" localSheetId="10">#REF!</definedName>
    <definedName name="M12bb1p" localSheetId="6">#REF!</definedName>
    <definedName name="M12bb1p" localSheetId="7">#REF!</definedName>
    <definedName name="M12bb1p" localSheetId="14">#REF!</definedName>
    <definedName name="M12bb1p" localSheetId="15">#REF!</definedName>
    <definedName name="M12bb1p" localSheetId="8">#REF!</definedName>
    <definedName name="M12bb1p">#REF!</definedName>
    <definedName name="M14bb1p" localSheetId="9">#REF!</definedName>
    <definedName name="M14bb1p" localSheetId="10">#REF!</definedName>
    <definedName name="M14bb1p" localSheetId="6">#REF!</definedName>
    <definedName name="M14bb1p" localSheetId="7">#REF!</definedName>
    <definedName name="M14bb1p" localSheetId="14">#REF!</definedName>
    <definedName name="M14bb1p" localSheetId="15">#REF!</definedName>
    <definedName name="M14bb1p" localSheetId="8">#REF!</definedName>
    <definedName name="M14bb1p">#REF!</definedName>
    <definedName name="M8a" localSheetId="9">#REF!</definedName>
    <definedName name="M8a" localSheetId="10">#REF!</definedName>
    <definedName name="M8a" localSheetId="6">#REF!</definedName>
    <definedName name="M8a" localSheetId="7">#REF!</definedName>
    <definedName name="M8a" localSheetId="14">#REF!</definedName>
    <definedName name="M8a" localSheetId="15">#REF!</definedName>
    <definedName name="M8a" localSheetId="8">#REF!</definedName>
    <definedName name="M8a">#REF!</definedName>
    <definedName name="M8aa" localSheetId="9">#REF!</definedName>
    <definedName name="M8aa" localSheetId="10">#REF!</definedName>
    <definedName name="M8aa" localSheetId="6">#REF!</definedName>
    <definedName name="M8aa" localSheetId="7">#REF!</definedName>
    <definedName name="M8aa" localSheetId="14">#REF!</definedName>
    <definedName name="M8aa" localSheetId="15">#REF!</definedName>
    <definedName name="M8aa" localSheetId="8">#REF!</definedName>
    <definedName name="M8aa">#REF!</definedName>
    <definedName name="m8aanc" localSheetId="9">#REF!</definedName>
    <definedName name="m8aanc" localSheetId="10">#REF!</definedName>
    <definedName name="m8aanc" localSheetId="6">#REF!</definedName>
    <definedName name="m8aanc" localSheetId="7">#REF!</definedName>
    <definedName name="m8aanc" localSheetId="14">#REF!</definedName>
    <definedName name="m8aanc" localSheetId="15">#REF!</definedName>
    <definedName name="m8aanc" localSheetId="8">#REF!</definedName>
    <definedName name="m8aanc">#REF!</definedName>
    <definedName name="m8aavl" localSheetId="9">#REF!</definedName>
    <definedName name="m8aavl" localSheetId="10">#REF!</definedName>
    <definedName name="m8aavl" localSheetId="6">#REF!</definedName>
    <definedName name="m8aavl" localSheetId="7">#REF!</definedName>
    <definedName name="m8aavl" localSheetId="14">#REF!</definedName>
    <definedName name="m8aavl" localSheetId="15">#REF!</definedName>
    <definedName name="m8aavl" localSheetId="8">#REF!</definedName>
    <definedName name="m8aavl">#REF!</definedName>
    <definedName name="Ma3pnc" localSheetId="9">#REF!</definedName>
    <definedName name="Ma3pnc" localSheetId="10">#REF!</definedName>
    <definedName name="Ma3pnc" localSheetId="6">#REF!</definedName>
    <definedName name="Ma3pnc" localSheetId="7">#REF!</definedName>
    <definedName name="Ma3pnc" localSheetId="14">#REF!</definedName>
    <definedName name="Ma3pnc" localSheetId="15">#REF!</definedName>
    <definedName name="Ma3pnc" localSheetId="8">#REF!</definedName>
    <definedName name="Ma3pnc">#REF!</definedName>
    <definedName name="Ma3pvl" localSheetId="9">#REF!</definedName>
    <definedName name="Ma3pvl" localSheetId="10">#REF!</definedName>
    <definedName name="Ma3pvl" localSheetId="6">#REF!</definedName>
    <definedName name="Ma3pvl" localSheetId="7">#REF!</definedName>
    <definedName name="Ma3pvl" localSheetId="14">#REF!</definedName>
    <definedName name="Ma3pvl" localSheetId="15">#REF!</definedName>
    <definedName name="Ma3pvl" localSheetId="8">#REF!</definedName>
    <definedName name="Ma3pvl">#REF!</definedName>
    <definedName name="Maa3pnc" localSheetId="9">#REF!</definedName>
    <definedName name="Maa3pnc" localSheetId="10">#REF!</definedName>
    <definedName name="Maa3pnc" localSheetId="6">#REF!</definedName>
    <definedName name="Maa3pnc" localSheetId="7">#REF!</definedName>
    <definedName name="Maa3pnc" localSheetId="14">#REF!</definedName>
    <definedName name="Maa3pnc" localSheetId="15">#REF!</definedName>
    <definedName name="Maa3pnc" localSheetId="8">#REF!</definedName>
    <definedName name="Maa3pnc">#REF!</definedName>
    <definedName name="Maa3pvl" localSheetId="9">#REF!</definedName>
    <definedName name="Maa3pvl" localSheetId="10">#REF!</definedName>
    <definedName name="Maa3pvl" localSheetId="6">#REF!</definedName>
    <definedName name="Maa3pvl" localSheetId="7">#REF!</definedName>
    <definedName name="Maa3pvl" localSheetId="14">#REF!</definedName>
    <definedName name="Maa3pvl" localSheetId="15">#REF!</definedName>
    <definedName name="Maa3pvl" localSheetId="8">#REF!</definedName>
    <definedName name="Maa3pvl">#REF!</definedName>
    <definedName name="MAJ_CON_EQP" localSheetId="9">#REF!</definedName>
    <definedName name="MAJ_CON_EQP" localSheetId="10">#REF!</definedName>
    <definedName name="MAJ_CON_EQP" localSheetId="6">#REF!</definedName>
    <definedName name="MAJ_CON_EQP" localSheetId="7">#REF!</definedName>
    <definedName name="MAJ_CON_EQP" localSheetId="14">#REF!</definedName>
    <definedName name="MAJ_CON_EQP" localSheetId="15">#REF!</definedName>
    <definedName name="MAJ_CON_EQP" localSheetId="8">#REF!</definedName>
    <definedName name="MAJ_CON_EQP">#REF!</definedName>
    <definedName name="MAVANKHUON" localSheetId="9">#REF!</definedName>
    <definedName name="MAVANKHUON" localSheetId="10">#REF!</definedName>
    <definedName name="MAVANKHUON" localSheetId="6">#REF!</definedName>
    <definedName name="MAVANKHUON" localSheetId="7">#REF!</definedName>
    <definedName name="MAVANKHUON" localSheetId="14">#REF!</definedName>
    <definedName name="MAVANKHUON" localSheetId="15">#REF!</definedName>
    <definedName name="MAVANKHUON" localSheetId="8">#REF!</definedName>
    <definedName name="MAVANKHUON">#REF!</definedName>
    <definedName name="MAVLTHDN" localSheetId="9">#REF!</definedName>
    <definedName name="MAVLTHDN" localSheetId="10">#REF!</definedName>
    <definedName name="MAVLTHDN" localSheetId="6">#REF!</definedName>
    <definedName name="MAVLTHDN" localSheetId="7">#REF!</definedName>
    <definedName name="MAVLTHDN" localSheetId="14">#REF!</definedName>
    <definedName name="MAVLTHDN" localSheetId="15">#REF!</definedName>
    <definedName name="MAVLTHDN" localSheetId="8">#REF!</definedName>
    <definedName name="MAVLTHDN">#REF!</definedName>
    <definedName name="Mba1p" localSheetId="9">#REF!</definedName>
    <definedName name="Mba1p" localSheetId="10">#REF!</definedName>
    <definedName name="Mba1p" localSheetId="6">#REF!</definedName>
    <definedName name="Mba1p" localSheetId="7">#REF!</definedName>
    <definedName name="Mba1p" localSheetId="14">#REF!</definedName>
    <definedName name="Mba1p" localSheetId="15">#REF!</definedName>
    <definedName name="Mba1p" localSheetId="8">#REF!</definedName>
    <definedName name="Mba1p">#REF!</definedName>
    <definedName name="Mba3p" localSheetId="9">#REF!</definedName>
    <definedName name="Mba3p" localSheetId="10">#REF!</definedName>
    <definedName name="Mba3p" localSheetId="6">#REF!</definedName>
    <definedName name="Mba3p" localSheetId="7">#REF!</definedName>
    <definedName name="Mba3p" localSheetId="14">#REF!</definedName>
    <definedName name="Mba3p" localSheetId="15">#REF!</definedName>
    <definedName name="Mba3p" localSheetId="8">#REF!</definedName>
    <definedName name="Mba3p">#REF!</definedName>
    <definedName name="Mbb3p" localSheetId="9">#REF!</definedName>
    <definedName name="Mbb3p" localSheetId="10">#REF!</definedName>
    <definedName name="Mbb3p" localSheetId="6">#REF!</definedName>
    <definedName name="Mbb3p" localSheetId="7">#REF!</definedName>
    <definedName name="Mbb3p" localSheetId="14">#REF!</definedName>
    <definedName name="Mbb3p" localSheetId="15">#REF!</definedName>
    <definedName name="Mbb3p" localSheetId="8">#REF!</definedName>
    <definedName name="Mbb3p">#REF!</definedName>
    <definedName name="mc" localSheetId="9">#REF!</definedName>
    <definedName name="mc" localSheetId="10">#REF!</definedName>
    <definedName name="mc" localSheetId="6">#REF!</definedName>
    <definedName name="mc" localSheetId="7">#REF!</definedName>
    <definedName name="mc" localSheetId="14">#REF!</definedName>
    <definedName name="mc" localSheetId="15">#REF!</definedName>
    <definedName name="mc" localSheetId="8">#REF!</definedName>
    <definedName name="mc">#REF!</definedName>
    <definedName name="MG_A" localSheetId="9">#REF!</definedName>
    <definedName name="MG_A" localSheetId="10">#REF!</definedName>
    <definedName name="MG_A" localSheetId="6">#REF!</definedName>
    <definedName name="MG_A" localSheetId="7">#REF!</definedName>
    <definedName name="MG_A" localSheetId="14">#REF!</definedName>
    <definedName name="MG_A" localSheetId="15">#REF!</definedName>
    <definedName name="MG_A" localSheetId="8">#REF!</definedName>
    <definedName name="MG_A">#REF!</definedName>
    <definedName name="MN" localSheetId="9">#REF!</definedName>
    <definedName name="MN" localSheetId="10">#REF!</definedName>
    <definedName name="MN" localSheetId="6">#REF!</definedName>
    <definedName name="MN" localSheetId="7">#REF!</definedName>
    <definedName name="MN" localSheetId="14">#REF!</definedName>
    <definedName name="MN" localSheetId="15">#REF!</definedName>
    <definedName name="MN" localSheetId="8">#REF!</definedName>
    <definedName name="MN">#REF!</definedName>
    <definedName name="mongbang" localSheetId="9">#REF!</definedName>
    <definedName name="mongbang" localSheetId="10">#REF!</definedName>
    <definedName name="mongbang" localSheetId="6">#REF!</definedName>
    <definedName name="mongbang" localSheetId="7">#REF!</definedName>
    <definedName name="mongbang" localSheetId="14">#REF!</definedName>
    <definedName name="mongbang" localSheetId="15">#REF!</definedName>
    <definedName name="mongbang" localSheetId="8">#REF!</definedName>
    <definedName name="mongbang">#REF!</definedName>
    <definedName name="mongdon" localSheetId="9">#REF!</definedName>
    <definedName name="mongdon" localSheetId="10">#REF!</definedName>
    <definedName name="mongdon" localSheetId="6">#REF!</definedName>
    <definedName name="mongdon" localSheetId="7">#REF!</definedName>
    <definedName name="mongdon" localSheetId="14">#REF!</definedName>
    <definedName name="mongdon" localSheetId="15">#REF!</definedName>
    <definedName name="mongdon" localSheetId="8">#REF!</definedName>
    <definedName name="mongdon">#REF!</definedName>
    <definedName name="Moùng" localSheetId="9">#REF!</definedName>
    <definedName name="Moùng" localSheetId="10">#REF!</definedName>
    <definedName name="Moùng" localSheetId="6">#REF!</definedName>
    <definedName name="Moùng" localSheetId="7">#REF!</definedName>
    <definedName name="Moùng" localSheetId="14">#REF!</definedName>
    <definedName name="Moùng" localSheetId="15">#REF!</definedName>
    <definedName name="Moùng" localSheetId="8">#REF!</definedName>
    <definedName name="Moùng">#REF!</definedName>
    <definedName name="MSCT" localSheetId="9">#REF!</definedName>
    <definedName name="MSCT" localSheetId="10">#REF!</definedName>
    <definedName name="MSCT" localSheetId="6">#REF!</definedName>
    <definedName name="MSCT" localSheetId="7">#REF!</definedName>
    <definedName name="MSCT" localSheetId="14">#REF!</definedName>
    <definedName name="MSCT" localSheetId="15">#REF!</definedName>
    <definedName name="MSCT" localSheetId="8">#REF!</definedName>
    <definedName name="MSCT">#REF!</definedName>
    <definedName name="mtcdg" localSheetId="9">#REF!</definedName>
    <definedName name="mtcdg" localSheetId="10">#REF!</definedName>
    <definedName name="mtcdg" localSheetId="6">#REF!</definedName>
    <definedName name="mtcdg" localSheetId="7">#REF!</definedName>
    <definedName name="mtcdg" localSheetId="14">#REF!</definedName>
    <definedName name="mtcdg" localSheetId="15">#REF!</definedName>
    <definedName name="mtcdg" localSheetId="8">#REF!</definedName>
    <definedName name="mtcdg">#REF!</definedName>
    <definedName name="MTMAC12" localSheetId="9">#REF!</definedName>
    <definedName name="MTMAC12" localSheetId="10">#REF!</definedName>
    <definedName name="MTMAC12" localSheetId="6">#REF!</definedName>
    <definedName name="MTMAC12" localSheetId="7">#REF!</definedName>
    <definedName name="MTMAC12" localSheetId="14">#REF!</definedName>
    <definedName name="MTMAC12" localSheetId="15">#REF!</definedName>
    <definedName name="MTMAC12" localSheetId="8">#REF!</definedName>
    <definedName name="MTMAC12">#REF!</definedName>
    <definedName name="mtram" localSheetId="9">#REF!</definedName>
    <definedName name="mtram" localSheetId="10">#REF!</definedName>
    <definedName name="mtram" localSheetId="6">#REF!</definedName>
    <definedName name="mtram" localSheetId="7">#REF!</definedName>
    <definedName name="mtram" localSheetId="14">#REF!</definedName>
    <definedName name="mtram" localSheetId="15">#REF!</definedName>
    <definedName name="mtram" localSheetId="8">#REF!</definedName>
    <definedName name="mtram">#REF!</definedName>
    <definedName name="myle" localSheetId="9">#REF!</definedName>
    <definedName name="myle" localSheetId="10">#REF!</definedName>
    <definedName name="myle" localSheetId="6">#REF!</definedName>
    <definedName name="myle" localSheetId="7">#REF!</definedName>
    <definedName name="myle" localSheetId="14">#REF!</definedName>
    <definedName name="myle" localSheetId="15">#REF!</definedName>
    <definedName name="myle" localSheetId="8">#REF!</definedName>
    <definedName name="myle">#REF!</definedName>
    <definedName name="n" localSheetId="9">#REF!</definedName>
    <definedName name="n" localSheetId="10">#REF!</definedName>
    <definedName name="n" localSheetId="6">#REF!</definedName>
    <definedName name="n" localSheetId="7">#REF!</definedName>
    <definedName name="n" localSheetId="14">#REF!</definedName>
    <definedName name="n" localSheetId="15">#REF!</definedName>
    <definedName name="n" localSheetId="8">#REF!</definedName>
    <definedName name="n">#REF!</definedName>
    <definedName name="n1pig" localSheetId="9">#REF!</definedName>
    <definedName name="n1pig" localSheetId="10">#REF!</definedName>
    <definedName name="n1pig" localSheetId="6">#REF!</definedName>
    <definedName name="n1pig" localSheetId="7">#REF!</definedName>
    <definedName name="n1pig" localSheetId="14">#REF!</definedName>
    <definedName name="n1pig" localSheetId="15">#REF!</definedName>
    <definedName name="n1pig" localSheetId="8">#REF!</definedName>
    <definedName name="n1pig">#REF!</definedName>
    <definedName name="N1pIGnc" localSheetId="9">#REF!</definedName>
    <definedName name="N1pIGnc" localSheetId="10">#REF!</definedName>
    <definedName name="N1pIGnc" localSheetId="6">#REF!</definedName>
    <definedName name="N1pIGnc" localSheetId="7">#REF!</definedName>
    <definedName name="N1pIGnc" localSheetId="14">#REF!</definedName>
    <definedName name="N1pIGnc" localSheetId="15">#REF!</definedName>
    <definedName name="N1pIGnc" localSheetId="8">#REF!</definedName>
    <definedName name="N1pIGnc">#REF!</definedName>
    <definedName name="N1pIGvc" localSheetId="9">#REF!</definedName>
    <definedName name="N1pIGvc" localSheetId="10">#REF!</definedName>
    <definedName name="N1pIGvc" localSheetId="6">#REF!</definedName>
    <definedName name="N1pIGvc" localSheetId="7">#REF!</definedName>
    <definedName name="N1pIGvc" localSheetId="14">#REF!</definedName>
    <definedName name="N1pIGvc" localSheetId="15">#REF!</definedName>
    <definedName name="N1pIGvc" localSheetId="8">#REF!</definedName>
    <definedName name="N1pIGvc">#REF!</definedName>
    <definedName name="N1pIGvl" localSheetId="9">#REF!</definedName>
    <definedName name="N1pIGvl" localSheetId="10">#REF!</definedName>
    <definedName name="N1pIGvl" localSheetId="6">#REF!</definedName>
    <definedName name="N1pIGvl" localSheetId="7">#REF!</definedName>
    <definedName name="N1pIGvl" localSheetId="14">#REF!</definedName>
    <definedName name="N1pIGvl" localSheetId="15">#REF!</definedName>
    <definedName name="N1pIGvl" localSheetId="8">#REF!</definedName>
    <definedName name="N1pIGvl">#REF!</definedName>
    <definedName name="n1pind" localSheetId="9">#REF!</definedName>
    <definedName name="n1pind" localSheetId="10">#REF!</definedName>
    <definedName name="n1pind" localSheetId="6">#REF!</definedName>
    <definedName name="n1pind" localSheetId="7">#REF!</definedName>
    <definedName name="n1pind" localSheetId="14">#REF!</definedName>
    <definedName name="n1pind" localSheetId="15">#REF!</definedName>
    <definedName name="n1pind" localSheetId="8">#REF!</definedName>
    <definedName name="n1pind">#REF!</definedName>
    <definedName name="N1pINDnc" localSheetId="9">#REF!</definedName>
    <definedName name="N1pINDnc" localSheetId="10">#REF!</definedName>
    <definedName name="N1pINDnc" localSheetId="6">#REF!</definedName>
    <definedName name="N1pINDnc" localSheetId="7">#REF!</definedName>
    <definedName name="N1pINDnc" localSheetId="14">#REF!</definedName>
    <definedName name="N1pINDnc" localSheetId="15">#REF!</definedName>
    <definedName name="N1pINDnc" localSheetId="8">#REF!</definedName>
    <definedName name="N1pINDnc">#REF!</definedName>
    <definedName name="N1pINDvc" localSheetId="9">#REF!</definedName>
    <definedName name="N1pINDvc" localSheetId="10">#REF!</definedName>
    <definedName name="N1pINDvc" localSheetId="6">#REF!</definedName>
    <definedName name="N1pINDvc" localSheetId="7">#REF!</definedName>
    <definedName name="N1pINDvc" localSheetId="14">#REF!</definedName>
    <definedName name="N1pINDvc" localSheetId="15">#REF!</definedName>
    <definedName name="N1pINDvc" localSheetId="8">#REF!</definedName>
    <definedName name="N1pINDvc">#REF!</definedName>
    <definedName name="N1pINDvl" localSheetId="9">#REF!</definedName>
    <definedName name="N1pINDvl" localSheetId="10">#REF!</definedName>
    <definedName name="N1pINDvl" localSheetId="6">#REF!</definedName>
    <definedName name="N1pINDvl" localSheetId="7">#REF!</definedName>
    <definedName name="N1pINDvl" localSheetId="14">#REF!</definedName>
    <definedName name="N1pINDvl" localSheetId="15">#REF!</definedName>
    <definedName name="N1pINDvl" localSheetId="8">#REF!</definedName>
    <definedName name="N1pINDvl">#REF!</definedName>
    <definedName name="n1ping" localSheetId="9">#REF!</definedName>
    <definedName name="n1ping" localSheetId="10">#REF!</definedName>
    <definedName name="n1ping" localSheetId="6">#REF!</definedName>
    <definedName name="n1ping" localSheetId="7">#REF!</definedName>
    <definedName name="n1ping" localSheetId="14">#REF!</definedName>
    <definedName name="n1ping" localSheetId="15">#REF!</definedName>
    <definedName name="n1ping" localSheetId="8">#REF!</definedName>
    <definedName name="n1ping">#REF!</definedName>
    <definedName name="N1pINGvc" localSheetId="9">#REF!</definedName>
    <definedName name="N1pINGvc" localSheetId="10">#REF!</definedName>
    <definedName name="N1pINGvc" localSheetId="6">#REF!</definedName>
    <definedName name="N1pINGvc" localSheetId="7">#REF!</definedName>
    <definedName name="N1pINGvc" localSheetId="14">#REF!</definedName>
    <definedName name="N1pINGvc" localSheetId="15">#REF!</definedName>
    <definedName name="N1pINGvc" localSheetId="8">#REF!</definedName>
    <definedName name="N1pINGvc">#REF!</definedName>
    <definedName name="n1pint" localSheetId="9">#REF!</definedName>
    <definedName name="n1pint" localSheetId="10">#REF!</definedName>
    <definedName name="n1pint" localSheetId="6">#REF!</definedName>
    <definedName name="n1pint" localSheetId="7">#REF!</definedName>
    <definedName name="n1pint" localSheetId="14">#REF!</definedName>
    <definedName name="n1pint" localSheetId="15">#REF!</definedName>
    <definedName name="n1pint" localSheetId="8">#REF!</definedName>
    <definedName name="n1pint">#REF!</definedName>
    <definedName name="nc" localSheetId="9">#REF!</definedName>
    <definedName name="nc" localSheetId="10">#REF!</definedName>
    <definedName name="nc" localSheetId="6">#REF!</definedName>
    <definedName name="nc" localSheetId="7">#REF!</definedName>
    <definedName name="nc" localSheetId="14">#REF!</definedName>
    <definedName name="nc" localSheetId="15">#REF!</definedName>
    <definedName name="nc" localSheetId="8">#REF!</definedName>
    <definedName name="nc">#REF!</definedName>
    <definedName name="nc_btm10" localSheetId="9">#REF!</definedName>
    <definedName name="nc_btm10" localSheetId="10">#REF!</definedName>
    <definedName name="nc_btm10" localSheetId="6">#REF!</definedName>
    <definedName name="nc_btm10" localSheetId="7">#REF!</definedName>
    <definedName name="nc_btm10" localSheetId="14">#REF!</definedName>
    <definedName name="nc_btm10" localSheetId="15">#REF!</definedName>
    <definedName name="nc_btm10" localSheetId="8">#REF!</definedName>
    <definedName name="nc_btm10">#REF!</definedName>
    <definedName name="nc_btm100" localSheetId="9">#REF!</definedName>
    <definedName name="nc_btm100" localSheetId="10">#REF!</definedName>
    <definedName name="nc_btm100" localSheetId="6">#REF!</definedName>
    <definedName name="nc_btm100" localSheetId="7">#REF!</definedName>
    <definedName name="nc_btm100" localSheetId="14">#REF!</definedName>
    <definedName name="nc_btm100" localSheetId="15">#REF!</definedName>
    <definedName name="nc_btm100" localSheetId="8">#REF!</definedName>
    <definedName name="nc_btm100">#REF!</definedName>
    <definedName name="nc3p" localSheetId="9">#REF!</definedName>
    <definedName name="nc3p" localSheetId="10">#REF!</definedName>
    <definedName name="nc3p" localSheetId="6">#REF!</definedName>
    <definedName name="nc3p" localSheetId="7">#REF!</definedName>
    <definedName name="nc3p" localSheetId="14">#REF!</definedName>
    <definedName name="nc3p" localSheetId="15">#REF!</definedName>
    <definedName name="nc3p" localSheetId="8">#REF!</definedName>
    <definedName name="nc3p">#REF!</definedName>
    <definedName name="NCBD100" localSheetId="9">#REF!</definedName>
    <definedName name="NCBD100" localSheetId="10">#REF!</definedName>
    <definedName name="NCBD100" localSheetId="6">#REF!</definedName>
    <definedName name="NCBD100" localSheetId="7">#REF!</definedName>
    <definedName name="NCBD100" localSheetId="14">#REF!</definedName>
    <definedName name="NCBD100" localSheetId="15">#REF!</definedName>
    <definedName name="NCBD100" localSheetId="8">#REF!</definedName>
    <definedName name="NCBD100">#REF!</definedName>
    <definedName name="NCBD200" localSheetId="9">#REF!</definedName>
    <definedName name="NCBD200" localSheetId="10">#REF!</definedName>
    <definedName name="NCBD200" localSheetId="6">#REF!</definedName>
    <definedName name="NCBD200" localSheetId="7">#REF!</definedName>
    <definedName name="NCBD200" localSheetId="14">#REF!</definedName>
    <definedName name="NCBD200" localSheetId="15">#REF!</definedName>
    <definedName name="NCBD200" localSheetId="8">#REF!</definedName>
    <definedName name="NCBD200">#REF!</definedName>
    <definedName name="NCBD250" localSheetId="9">#REF!</definedName>
    <definedName name="NCBD250" localSheetId="10">#REF!</definedName>
    <definedName name="NCBD250" localSheetId="6">#REF!</definedName>
    <definedName name="NCBD250" localSheetId="7">#REF!</definedName>
    <definedName name="NCBD250" localSheetId="14">#REF!</definedName>
    <definedName name="NCBD250" localSheetId="15">#REF!</definedName>
    <definedName name="NCBD250" localSheetId="8">#REF!</definedName>
    <definedName name="NCBD250">#REF!</definedName>
    <definedName name="NCCT3p" localSheetId="9">#REF!</definedName>
    <definedName name="NCCT3p" localSheetId="10">#REF!</definedName>
    <definedName name="NCCT3p" localSheetId="6">#REF!</definedName>
    <definedName name="NCCT3p" localSheetId="7">#REF!</definedName>
    <definedName name="NCCT3p" localSheetId="14">#REF!</definedName>
    <definedName name="NCCT3p" localSheetId="15">#REF!</definedName>
    <definedName name="NCCT3p" localSheetId="8">#REF!</definedName>
    <definedName name="NCCT3p">#REF!</definedName>
    <definedName name="ncdg" localSheetId="9">#REF!</definedName>
    <definedName name="ncdg" localSheetId="10">#REF!</definedName>
    <definedName name="ncdg" localSheetId="6">#REF!</definedName>
    <definedName name="ncdg" localSheetId="7">#REF!</definedName>
    <definedName name="ncdg" localSheetId="14">#REF!</definedName>
    <definedName name="ncdg" localSheetId="15">#REF!</definedName>
    <definedName name="ncdg" localSheetId="8">#REF!</definedName>
    <definedName name="ncdg">#REF!</definedName>
    <definedName name="NCKT" localSheetId="9">#REF!</definedName>
    <definedName name="NCKT" localSheetId="10">#REF!</definedName>
    <definedName name="NCKT" localSheetId="6">#REF!</definedName>
    <definedName name="NCKT" localSheetId="7">#REF!</definedName>
    <definedName name="NCKT" localSheetId="14">#REF!</definedName>
    <definedName name="NCKT" localSheetId="15">#REF!</definedName>
    <definedName name="NCKT" localSheetId="8">#REF!</definedName>
    <definedName name="NCKT">#REF!</definedName>
    <definedName name="nctram" localSheetId="9">#REF!</definedName>
    <definedName name="nctram" localSheetId="10">#REF!</definedName>
    <definedName name="nctram" localSheetId="6">#REF!</definedName>
    <definedName name="nctram" localSheetId="7">#REF!</definedName>
    <definedName name="nctram" localSheetId="14">#REF!</definedName>
    <definedName name="nctram" localSheetId="15">#REF!</definedName>
    <definedName name="nctram" localSheetId="8">#REF!</definedName>
    <definedName name="nctram">#REF!</definedName>
    <definedName name="NCVC100" localSheetId="9">#REF!</definedName>
    <definedName name="NCVC100" localSheetId="10">#REF!</definedName>
    <definedName name="NCVC100" localSheetId="6">#REF!</definedName>
    <definedName name="NCVC100" localSheetId="7">#REF!</definedName>
    <definedName name="NCVC100" localSheetId="14">#REF!</definedName>
    <definedName name="NCVC100" localSheetId="15">#REF!</definedName>
    <definedName name="NCVC100" localSheetId="8">#REF!</definedName>
    <definedName name="NCVC100">#REF!</definedName>
    <definedName name="NCVC200" localSheetId="9">#REF!</definedName>
    <definedName name="NCVC200" localSheetId="10">#REF!</definedName>
    <definedName name="NCVC200" localSheetId="6">#REF!</definedName>
    <definedName name="NCVC200" localSheetId="7">#REF!</definedName>
    <definedName name="NCVC200" localSheetId="14">#REF!</definedName>
    <definedName name="NCVC200" localSheetId="15">#REF!</definedName>
    <definedName name="NCVC200" localSheetId="8">#REF!</definedName>
    <definedName name="NCVC200">#REF!</definedName>
    <definedName name="NCVC250" localSheetId="9">#REF!</definedName>
    <definedName name="NCVC250" localSheetId="10">#REF!</definedName>
    <definedName name="NCVC250" localSheetId="6">#REF!</definedName>
    <definedName name="NCVC250" localSheetId="7">#REF!</definedName>
    <definedName name="NCVC250" localSheetId="14">#REF!</definedName>
    <definedName name="NCVC250" localSheetId="15">#REF!</definedName>
    <definedName name="NCVC250" localSheetId="8">#REF!</definedName>
    <definedName name="NCVC250">#REF!</definedName>
    <definedName name="NCVC3P" localSheetId="9">#REF!</definedName>
    <definedName name="NCVC3P" localSheetId="10">#REF!</definedName>
    <definedName name="NCVC3P" localSheetId="6">#REF!</definedName>
    <definedName name="NCVC3P" localSheetId="7">#REF!</definedName>
    <definedName name="NCVC3P" localSheetId="14">#REF!</definedName>
    <definedName name="NCVC3P" localSheetId="15">#REF!</definedName>
    <definedName name="NCVC3P" localSheetId="8">#REF!</definedName>
    <definedName name="NCVC3P">#REF!</definedName>
    <definedName name="NET" localSheetId="9">#REF!</definedName>
    <definedName name="NET" localSheetId="10">#REF!</definedName>
    <definedName name="NET" localSheetId="6">#REF!</definedName>
    <definedName name="NET" localSheetId="7">#REF!</definedName>
    <definedName name="NET" localSheetId="14">#REF!</definedName>
    <definedName name="NET" localSheetId="15">#REF!</definedName>
    <definedName name="NET" localSheetId="8">#REF!</definedName>
    <definedName name="NET">#REF!</definedName>
    <definedName name="NET_1" localSheetId="9">#REF!</definedName>
    <definedName name="NET_1" localSheetId="10">#REF!</definedName>
    <definedName name="NET_1" localSheetId="6">#REF!</definedName>
    <definedName name="NET_1" localSheetId="7">#REF!</definedName>
    <definedName name="NET_1" localSheetId="14">#REF!</definedName>
    <definedName name="NET_1" localSheetId="15">#REF!</definedName>
    <definedName name="NET_1" localSheetId="8">#REF!</definedName>
    <definedName name="NET_1">#REF!</definedName>
    <definedName name="NET_ANA" localSheetId="9">#REF!</definedName>
    <definedName name="NET_ANA" localSheetId="10">#REF!</definedName>
    <definedName name="NET_ANA" localSheetId="6">#REF!</definedName>
    <definedName name="NET_ANA" localSheetId="7">#REF!</definedName>
    <definedName name="NET_ANA" localSheetId="14">#REF!</definedName>
    <definedName name="NET_ANA" localSheetId="15">#REF!</definedName>
    <definedName name="NET_ANA" localSheetId="8">#REF!</definedName>
    <definedName name="NET_ANA">#REF!</definedName>
    <definedName name="NET_ANA_1" localSheetId="9">#REF!</definedName>
    <definedName name="NET_ANA_1" localSheetId="10">#REF!</definedName>
    <definedName name="NET_ANA_1" localSheetId="6">#REF!</definedName>
    <definedName name="NET_ANA_1" localSheetId="7">#REF!</definedName>
    <definedName name="NET_ANA_1" localSheetId="14">#REF!</definedName>
    <definedName name="NET_ANA_1" localSheetId="15">#REF!</definedName>
    <definedName name="NET_ANA_1" localSheetId="8">#REF!</definedName>
    <definedName name="NET_ANA_1">#REF!</definedName>
    <definedName name="NET_ANA_2" localSheetId="9">#REF!</definedName>
    <definedName name="NET_ANA_2" localSheetId="10">#REF!</definedName>
    <definedName name="NET_ANA_2" localSheetId="6">#REF!</definedName>
    <definedName name="NET_ANA_2" localSheetId="7">#REF!</definedName>
    <definedName name="NET_ANA_2" localSheetId="14">#REF!</definedName>
    <definedName name="NET_ANA_2" localSheetId="15">#REF!</definedName>
    <definedName name="NET_ANA_2" localSheetId="8">#REF!</definedName>
    <definedName name="NET_ANA_2">#REF!</definedName>
    <definedName name="NH" localSheetId="9">#REF!</definedName>
    <definedName name="NH" localSheetId="10">#REF!</definedName>
    <definedName name="NH" localSheetId="6">#REF!</definedName>
    <definedName name="NH" localSheetId="7">#REF!</definedName>
    <definedName name="NH" localSheetId="14">#REF!</definedName>
    <definedName name="NH" localSheetId="15">#REF!</definedName>
    <definedName name="NH" localSheetId="8">#REF!</definedName>
    <definedName name="NH">#REF!</definedName>
    <definedName name="nhn" localSheetId="9">#REF!</definedName>
    <definedName name="nhn" localSheetId="10">#REF!</definedName>
    <definedName name="nhn" localSheetId="6">#REF!</definedName>
    <definedName name="nhn" localSheetId="7">#REF!</definedName>
    <definedName name="nhn" localSheetId="14">#REF!</definedName>
    <definedName name="nhn" localSheetId="15">#REF!</definedName>
    <definedName name="nhn" localSheetId="8">#REF!</definedName>
    <definedName name="nhn">#REF!</definedName>
    <definedName name="NHot" localSheetId="9">#REF!</definedName>
    <definedName name="NHot" localSheetId="10">#REF!</definedName>
    <definedName name="NHot" localSheetId="6">#REF!</definedName>
    <definedName name="NHot" localSheetId="7">#REF!</definedName>
    <definedName name="NHot" localSheetId="14">#REF!</definedName>
    <definedName name="NHot" localSheetId="15">#REF!</definedName>
    <definedName name="NHot" localSheetId="8">#REF!</definedName>
    <definedName name="NHot">#REF!</definedName>
    <definedName name="nhu" localSheetId="9">#REF!</definedName>
    <definedName name="nhu" localSheetId="10">#REF!</definedName>
    <definedName name="nhu" localSheetId="6">#REF!</definedName>
    <definedName name="nhu" localSheetId="7">#REF!</definedName>
    <definedName name="nhu" localSheetId="14">#REF!</definedName>
    <definedName name="nhu" localSheetId="15">#REF!</definedName>
    <definedName name="nhu" localSheetId="8">#REF!</definedName>
    <definedName name="nhu">#REF!</definedName>
    <definedName name="nhua" localSheetId="9">#REF!</definedName>
    <definedName name="nhua" localSheetId="10">#REF!</definedName>
    <definedName name="nhua" localSheetId="6">#REF!</definedName>
    <definedName name="nhua" localSheetId="7">#REF!</definedName>
    <definedName name="nhua" localSheetId="14">#REF!</definedName>
    <definedName name="nhua" localSheetId="15">#REF!</definedName>
    <definedName name="nhua" localSheetId="8">#REF!</definedName>
    <definedName name="nhua">#REF!</definedName>
    <definedName name="nhuad" localSheetId="9">#REF!</definedName>
    <definedName name="nhuad" localSheetId="10">#REF!</definedName>
    <definedName name="nhuad" localSheetId="6">#REF!</definedName>
    <definedName name="nhuad" localSheetId="7">#REF!</definedName>
    <definedName name="nhuad" localSheetId="14">#REF!</definedName>
    <definedName name="nhuad" localSheetId="15">#REF!</definedName>
    <definedName name="nhuad" localSheetId="8">#REF!</definedName>
    <definedName name="nhuad">#REF!</definedName>
    <definedName name="nig" localSheetId="9">#REF!</definedName>
    <definedName name="nig" localSheetId="10">#REF!</definedName>
    <definedName name="nig" localSheetId="6">#REF!</definedName>
    <definedName name="nig" localSheetId="7">#REF!</definedName>
    <definedName name="nig" localSheetId="14">#REF!</definedName>
    <definedName name="nig" localSheetId="15">#REF!</definedName>
    <definedName name="nig" localSheetId="8">#REF!</definedName>
    <definedName name="nig">#REF!</definedName>
    <definedName name="nig1p" localSheetId="9">#REF!</definedName>
    <definedName name="nig1p" localSheetId="10">#REF!</definedName>
    <definedName name="nig1p" localSheetId="6">#REF!</definedName>
    <definedName name="nig1p" localSheetId="7">#REF!</definedName>
    <definedName name="nig1p" localSheetId="14">#REF!</definedName>
    <definedName name="nig1p" localSheetId="15">#REF!</definedName>
    <definedName name="nig1p" localSheetId="8">#REF!</definedName>
    <definedName name="nig1p">#REF!</definedName>
    <definedName name="nig3p" localSheetId="9">#REF!</definedName>
    <definedName name="nig3p" localSheetId="10">#REF!</definedName>
    <definedName name="nig3p" localSheetId="6">#REF!</definedName>
    <definedName name="nig3p" localSheetId="7">#REF!</definedName>
    <definedName name="nig3p" localSheetId="14">#REF!</definedName>
    <definedName name="nig3p" localSheetId="15">#REF!</definedName>
    <definedName name="nig3p" localSheetId="8">#REF!</definedName>
    <definedName name="nig3p">#REF!</definedName>
    <definedName name="NIGnc" localSheetId="9">#REF!</definedName>
    <definedName name="NIGnc" localSheetId="10">#REF!</definedName>
    <definedName name="NIGnc" localSheetId="6">#REF!</definedName>
    <definedName name="NIGnc" localSheetId="7">#REF!</definedName>
    <definedName name="NIGnc" localSheetId="14">#REF!</definedName>
    <definedName name="NIGnc" localSheetId="15">#REF!</definedName>
    <definedName name="NIGnc" localSheetId="8">#REF!</definedName>
    <definedName name="NIGnc">#REF!</definedName>
    <definedName name="nignc1p" localSheetId="9">#REF!</definedName>
    <definedName name="nignc1p" localSheetId="10">#REF!</definedName>
    <definedName name="nignc1p" localSheetId="6">#REF!</definedName>
    <definedName name="nignc1p" localSheetId="7">#REF!</definedName>
    <definedName name="nignc1p" localSheetId="14">#REF!</definedName>
    <definedName name="nignc1p" localSheetId="15">#REF!</definedName>
    <definedName name="nignc1p" localSheetId="8">#REF!</definedName>
    <definedName name="nignc1p">#REF!</definedName>
    <definedName name="NIGvc" localSheetId="9">#REF!</definedName>
    <definedName name="NIGvc" localSheetId="10">#REF!</definedName>
    <definedName name="NIGvc" localSheetId="6">#REF!</definedName>
    <definedName name="NIGvc" localSheetId="7">#REF!</definedName>
    <definedName name="NIGvc" localSheetId="14">#REF!</definedName>
    <definedName name="NIGvc" localSheetId="15">#REF!</definedName>
    <definedName name="NIGvc" localSheetId="8">#REF!</definedName>
    <definedName name="NIGvc">#REF!</definedName>
    <definedName name="NIGvl" localSheetId="9">#REF!</definedName>
    <definedName name="NIGvl" localSheetId="10">#REF!</definedName>
    <definedName name="NIGvl" localSheetId="6">#REF!</definedName>
    <definedName name="NIGvl" localSheetId="7">#REF!</definedName>
    <definedName name="NIGvl" localSheetId="14">#REF!</definedName>
    <definedName name="NIGvl" localSheetId="15">#REF!</definedName>
    <definedName name="NIGvl" localSheetId="8">#REF!</definedName>
    <definedName name="NIGvl">#REF!</definedName>
    <definedName name="nigvl1p" localSheetId="9">#REF!</definedName>
    <definedName name="nigvl1p" localSheetId="10">#REF!</definedName>
    <definedName name="nigvl1p" localSheetId="6">#REF!</definedName>
    <definedName name="nigvl1p" localSheetId="7">#REF!</definedName>
    <definedName name="nigvl1p" localSheetId="14">#REF!</definedName>
    <definedName name="nigvl1p" localSheetId="15">#REF!</definedName>
    <definedName name="nigvl1p" localSheetId="8">#REF!</definedName>
    <definedName name="nigvl1p">#REF!</definedName>
    <definedName name="nin" localSheetId="9">#REF!</definedName>
    <definedName name="nin" localSheetId="10">#REF!</definedName>
    <definedName name="nin" localSheetId="6">#REF!</definedName>
    <definedName name="nin" localSheetId="7">#REF!</definedName>
    <definedName name="nin" localSheetId="14">#REF!</definedName>
    <definedName name="nin" localSheetId="15">#REF!</definedName>
    <definedName name="nin" localSheetId="8">#REF!</definedName>
    <definedName name="nin">#REF!</definedName>
    <definedName name="nin1903p" localSheetId="9">#REF!</definedName>
    <definedName name="nin1903p" localSheetId="10">#REF!</definedName>
    <definedName name="nin1903p" localSheetId="6">#REF!</definedName>
    <definedName name="nin1903p" localSheetId="7">#REF!</definedName>
    <definedName name="nin1903p" localSheetId="14">#REF!</definedName>
    <definedName name="nin1903p" localSheetId="15">#REF!</definedName>
    <definedName name="nin1903p" localSheetId="8">#REF!</definedName>
    <definedName name="nin1903p">#REF!</definedName>
    <definedName name="nin3p" localSheetId="9">#REF!</definedName>
    <definedName name="nin3p" localSheetId="10">#REF!</definedName>
    <definedName name="nin3p" localSheetId="6">#REF!</definedName>
    <definedName name="nin3p" localSheetId="7">#REF!</definedName>
    <definedName name="nin3p" localSheetId="14">#REF!</definedName>
    <definedName name="nin3p" localSheetId="15">#REF!</definedName>
    <definedName name="nin3p" localSheetId="8">#REF!</definedName>
    <definedName name="nin3p">#REF!</definedName>
    <definedName name="nind" localSheetId="9">#REF!</definedName>
    <definedName name="nind" localSheetId="10">#REF!</definedName>
    <definedName name="nind" localSheetId="6">#REF!</definedName>
    <definedName name="nind" localSheetId="7">#REF!</definedName>
    <definedName name="nind" localSheetId="14">#REF!</definedName>
    <definedName name="nind" localSheetId="15">#REF!</definedName>
    <definedName name="nind" localSheetId="8">#REF!</definedName>
    <definedName name="nind">#REF!</definedName>
    <definedName name="nind1p" localSheetId="9">#REF!</definedName>
    <definedName name="nind1p" localSheetId="10">#REF!</definedName>
    <definedName name="nind1p" localSheetId="6">#REF!</definedName>
    <definedName name="nind1p" localSheetId="7">#REF!</definedName>
    <definedName name="nind1p" localSheetId="14">#REF!</definedName>
    <definedName name="nind1p" localSheetId="15">#REF!</definedName>
    <definedName name="nind1p" localSheetId="8">#REF!</definedName>
    <definedName name="nind1p">#REF!</definedName>
    <definedName name="nind3p" localSheetId="9">#REF!</definedName>
    <definedName name="nind3p" localSheetId="10">#REF!</definedName>
    <definedName name="nind3p" localSheetId="6">#REF!</definedName>
    <definedName name="nind3p" localSheetId="7">#REF!</definedName>
    <definedName name="nind3p" localSheetId="14">#REF!</definedName>
    <definedName name="nind3p" localSheetId="15">#REF!</definedName>
    <definedName name="nind3p" localSheetId="8">#REF!</definedName>
    <definedName name="nind3p">#REF!</definedName>
    <definedName name="NINDnc" localSheetId="9">#REF!</definedName>
    <definedName name="NINDnc" localSheetId="10">#REF!</definedName>
    <definedName name="NINDnc" localSheetId="6">#REF!</definedName>
    <definedName name="NINDnc" localSheetId="7">#REF!</definedName>
    <definedName name="NINDnc" localSheetId="14">#REF!</definedName>
    <definedName name="NINDnc" localSheetId="15">#REF!</definedName>
    <definedName name="NINDnc" localSheetId="8">#REF!</definedName>
    <definedName name="NINDnc">#REF!</definedName>
    <definedName name="nindnc1p" localSheetId="9">#REF!</definedName>
    <definedName name="nindnc1p" localSheetId="10">#REF!</definedName>
    <definedName name="nindnc1p" localSheetId="6">#REF!</definedName>
    <definedName name="nindnc1p" localSheetId="7">#REF!</definedName>
    <definedName name="nindnc1p" localSheetId="14">#REF!</definedName>
    <definedName name="nindnc1p" localSheetId="15">#REF!</definedName>
    <definedName name="nindnc1p" localSheetId="8">#REF!</definedName>
    <definedName name="nindnc1p">#REF!</definedName>
    <definedName name="NINDvc" localSheetId="9">#REF!</definedName>
    <definedName name="NINDvc" localSheetId="10">#REF!</definedName>
    <definedName name="NINDvc" localSheetId="6">#REF!</definedName>
    <definedName name="NINDvc" localSheetId="7">#REF!</definedName>
    <definedName name="NINDvc" localSheetId="14">#REF!</definedName>
    <definedName name="NINDvc" localSheetId="15">#REF!</definedName>
    <definedName name="NINDvc" localSheetId="8">#REF!</definedName>
    <definedName name="NINDvc">#REF!</definedName>
    <definedName name="NINDvl" localSheetId="9">#REF!</definedName>
    <definedName name="NINDvl" localSheetId="10">#REF!</definedName>
    <definedName name="NINDvl" localSheetId="6">#REF!</definedName>
    <definedName name="NINDvl" localSheetId="7">#REF!</definedName>
    <definedName name="NINDvl" localSheetId="14">#REF!</definedName>
    <definedName name="NINDvl" localSheetId="15">#REF!</definedName>
    <definedName name="NINDvl" localSheetId="8">#REF!</definedName>
    <definedName name="NINDvl">#REF!</definedName>
    <definedName name="nindvl1p" localSheetId="9">#REF!</definedName>
    <definedName name="nindvl1p" localSheetId="10">#REF!</definedName>
    <definedName name="nindvl1p" localSheetId="6">#REF!</definedName>
    <definedName name="nindvl1p" localSheetId="7">#REF!</definedName>
    <definedName name="nindvl1p" localSheetId="14">#REF!</definedName>
    <definedName name="nindvl1p" localSheetId="15">#REF!</definedName>
    <definedName name="nindvl1p" localSheetId="8">#REF!</definedName>
    <definedName name="nindvl1p">#REF!</definedName>
    <definedName name="ning1p" localSheetId="9">#REF!</definedName>
    <definedName name="ning1p" localSheetId="10">#REF!</definedName>
    <definedName name="ning1p" localSheetId="6">#REF!</definedName>
    <definedName name="ning1p" localSheetId="7">#REF!</definedName>
    <definedName name="ning1p" localSheetId="14">#REF!</definedName>
    <definedName name="ning1p" localSheetId="15">#REF!</definedName>
    <definedName name="ning1p" localSheetId="8">#REF!</definedName>
    <definedName name="ning1p">#REF!</definedName>
    <definedName name="ningnc1p" localSheetId="9">#REF!</definedName>
    <definedName name="ningnc1p" localSheetId="10">#REF!</definedName>
    <definedName name="ningnc1p" localSheetId="6">#REF!</definedName>
    <definedName name="ningnc1p" localSheetId="7">#REF!</definedName>
    <definedName name="ningnc1p" localSheetId="14">#REF!</definedName>
    <definedName name="ningnc1p" localSheetId="15">#REF!</definedName>
    <definedName name="ningnc1p" localSheetId="8">#REF!</definedName>
    <definedName name="ningnc1p">#REF!</definedName>
    <definedName name="ningvl1p" localSheetId="9">#REF!</definedName>
    <definedName name="ningvl1p" localSheetId="10">#REF!</definedName>
    <definedName name="ningvl1p" localSheetId="6">#REF!</definedName>
    <definedName name="ningvl1p" localSheetId="7">#REF!</definedName>
    <definedName name="ningvl1p" localSheetId="14">#REF!</definedName>
    <definedName name="ningvl1p" localSheetId="15">#REF!</definedName>
    <definedName name="ningvl1p" localSheetId="8">#REF!</definedName>
    <definedName name="ningvl1p">#REF!</definedName>
    <definedName name="NINnc" localSheetId="9">#REF!</definedName>
    <definedName name="NINnc" localSheetId="10">#REF!</definedName>
    <definedName name="NINnc" localSheetId="6">#REF!</definedName>
    <definedName name="NINnc" localSheetId="7">#REF!</definedName>
    <definedName name="NINnc" localSheetId="14">#REF!</definedName>
    <definedName name="NINnc" localSheetId="15">#REF!</definedName>
    <definedName name="NINnc" localSheetId="8">#REF!</definedName>
    <definedName name="NINnc">#REF!</definedName>
    <definedName name="nint1p" localSheetId="9">#REF!</definedName>
    <definedName name="nint1p" localSheetId="10">#REF!</definedName>
    <definedName name="nint1p" localSheetId="6">#REF!</definedName>
    <definedName name="nint1p" localSheetId="7">#REF!</definedName>
    <definedName name="nint1p" localSheetId="14">#REF!</definedName>
    <definedName name="nint1p" localSheetId="15">#REF!</definedName>
    <definedName name="nint1p" localSheetId="8">#REF!</definedName>
    <definedName name="nint1p">#REF!</definedName>
    <definedName name="nintnc1p" localSheetId="9">#REF!</definedName>
    <definedName name="nintnc1p" localSheetId="10">#REF!</definedName>
    <definedName name="nintnc1p" localSheetId="6">#REF!</definedName>
    <definedName name="nintnc1p" localSheetId="7">#REF!</definedName>
    <definedName name="nintnc1p" localSheetId="14">#REF!</definedName>
    <definedName name="nintnc1p" localSheetId="15">#REF!</definedName>
    <definedName name="nintnc1p" localSheetId="8">#REF!</definedName>
    <definedName name="nintnc1p">#REF!</definedName>
    <definedName name="nintvl1p" localSheetId="9">#REF!</definedName>
    <definedName name="nintvl1p" localSheetId="10">#REF!</definedName>
    <definedName name="nintvl1p" localSheetId="6">#REF!</definedName>
    <definedName name="nintvl1p" localSheetId="7">#REF!</definedName>
    <definedName name="nintvl1p" localSheetId="14">#REF!</definedName>
    <definedName name="nintvl1p" localSheetId="15">#REF!</definedName>
    <definedName name="nintvl1p" localSheetId="8">#REF!</definedName>
    <definedName name="nintvl1p">#REF!</definedName>
    <definedName name="NINvc" localSheetId="9">#REF!</definedName>
    <definedName name="NINvc" localSheetId="10">#REF!</definedName>
    <definedName name="NINvc" localSheetId="6">#REF!</definedName>
    <definedName name="NINvc" localSheetId="7">#REF!</definedName>
    <definedName name="NINvc" localSheetId="14">#REF!</definedName>
    <definedName name="NINvc" localSheetId="15">#REF!</definedName>
    <definedName name="NINvc" localSheetId="8">#REF!</definedName>
    <definedName name="NINvc">#REF!</definedName>
    <definedName name="NINvl" localSheetId="9">#REF!</definedName>
    <definedName name="NINvl" localSheetId="10">#REF!</definedName>
    <definedName name="NINvl" localSheetId="6">#REF!</definedName>
    <definedName name="NINvl" localSheetId="7">#REF!</definedName>
    <definedName name="NINvl" localSheetId="14">#REF!</definedName>
    <definedName name="NINvl" localSheetId="15">#REF!</definedName>
    <definedName name="NINvl" localSheetId="8">#REF!</definedName>
    <definedName name="NINvl">#REF!</definedName>
    <definedName name="nl" localSheetId="9">#REF!</definedName>
    <definedName name="nl" localSheetId="10">#REF!</definedName>
    <definedName name="nl" localSheetId="6">#REF!</definedName>
    <definedName name="nl" localSheetId="7">#REF!</definedName>
    <definedName name="nl" localSheetId="14">#REF!</definedName>
    <definedName name="nl" localSheetId="15">#REF!</definedName>
    <definedName name="nl" localSheetId="8">#REF!</definedName>
    <definedName name="nl">#REF!</definedName>
    <definedName name="nl1p" localSheetId="9">#REF!</definedName>
    <definedName name="nl1p" localSheetId="10">#REF!</definedName>
    <definedName name="nl1p" localSheetId="6">#REF!</definedName>
    <definedName name="nl1p" localSheetId="7">#REF!</definedName>
    <definedName name="nl1p" localSheetId="14">#REF!</definedName>
    <definedName name="nl1p" localSheetId="15">#REF!</definedName>
    <definedName name="nl1p" localSheetId="8">#REF!</definedName>
    <definedName name="nl1p">#REF!</definedName>
    <definedName name="nl3p" localSheetId="9">#REF!</definedName>
    <definedName name="nl3p" localSheetId="10">#REF!</definedName>
    <definedName name="nl3p" localSheetId="6">#REF!</definedName>
    <definedName name="nl3p" localSheetId="7">#REF!</definedName>
    <definedName name="nl3p" localSheetId="14">#REF!</definedName>
    <definedName name="nl3p" localSheetId="15">#REF!</definedName>
    <definedName name="nl3p" localSheetId="8">#REF!</definedName>
    <definedName name="nl3p">#REF!</definedName>
    <definedName name="nlht" localSheetId="9">#REF!</definedName>
    <definedName name="nlht" localSheetId="10">#REF!</definedName>
    <definedName name="nlht" localSheetId="6">#REF!</definedName>
    <definedName name="nlht" localSheetId="7">#REF!</definedName>
    <definedName name="nlht" localSheetId="14">#REF!</definedName>
    <definedName name="nlht" localSheetId="15">#REF!</definedName>
    <definedName name="nlht" localSheetId="8">#REF!</definedName>
    <definedName name="nlht">#REF!</definedName>
    <definedName name="NLTK1p" localSheetId="9">#REF!</definedName>
    <definedName name="NLTK1p" localSheetId="10">#REF!</definedName>
    <definedName name="NLTK1p" localSheetId="6">#REF!</definedName>
    <definedName name="NLTK1p" localSheetId="7">#REF!</definedName>
    <definedName name="NLTK1p" localSheetId="14">#REF!</definedName>
    <definedName name="NLTK1p" localSheetId="15">#REF!</definedName>
    <definedName name="NLTK1p" localSheetId="8">#REF!</definedName>
    <definedName name="NLTK1p">#REF!</definedName>
    <definedName name="nn" localSheetId="9">#REF!</definedName>
    <definedName name="nn" localSheetId="10">#REF!</definedName>
    <definedName name="nn" localSheetId="6">#REF!</definedName>
    <definedName name="nn" localSheetId="7">#REF!</definedName>
    <definedName name="nn" localSheetId="14">#REF!</definedName>
    <definedName name="nn" localSheetId="15">#REF!</definedName>
    <definedName name="nn" localSheetId="8">#REF!</definedName>
    <definedName name="nn">#REF!</definedName>
    <definedName name="nn1p" localSheetId="9">#REF!</definedName>
    <definedName name="nn1p" localSheetId="10">#REF!</definedName>
    <definedName name="nn1p" localSheetId="6">#REF!</definedName>
    <definedName name="nn1p" localSheetId="7">#REF!</definedName>
    <definedName name="nn1p" localSheetId="14">#REF!</definedName>
    <definedName name="nn1p" localSheetId="15">#REF!</definedName>
    <definedName name="nn1p" localSheetId="8">#REF!</definedName>
    <definedName name="nn1p">#REF!</definedName>
    <definedName name="nn3p" localSheetId="9">#REF!</definedName>
    <definedName name="nn3p" localSheetId="10">#REF!</definedName>
    <definedName name="nn3p" localSheetId="6">#REF!</definedName>
    <definedName name="nn3p" localSheetId="7">#REF!</definedName>
    <definedName name="nn3p" localSheetId="14">#REF!</definedName>
    <definedName name="nn3p" localSheetId="15">#REF!</definedName>
    <definedName name="nn3p" localSheetId="8">#REF!</definedName>
    <definedName name="nn3p">#REF!</definedName>
    <definedName name="No" localSheetId="9">#REF!</definedName>
    <definedName name="No" localSheetId="10">#REF!</definedName>
    <definedName name="No" localSheetId="6">#REF!</definedName>
    <definedName name="No" localSheetId="7">#REF!</definedName>
    <definedName name="No" localSheetId="14">#REF!</definedName>
    <definedName name="No" localSheetId="15">#REF!</definedName>
    <definedName name="No" localSheetId="8">#REF!</definedName>
    <definedName name="No">#REF!</definedName>
    <definedName name="nx" localSheetId="9">#REF!</definedName>
    <definedName name="nx" localSheetId="10">#REF!</definedName>
    <definedName name="nx" localSheetId="6">#REF!</definedName>
    <definedName name="nx" localSheetId="7">#REF!</definedName>
    <definedName name="nx" localSheetId="14">#REF!</definedName>
    <definedName name="nx" localSheetId="15">#REF!</definedName>
    <definedName name="nx" localSheetId="8">#REF!</definedName>
    <definedName name="nx">#REF!</definedName>
    <definedName name="ophom" localSheetId="9">#REF!</definedName>
    <definedName name="ophom" localSheetId="10">#REF!</definedName>
    <definedName name="ophom" localSheetId="6">#REF!</definedName>
    <definedName name="ophom" localSheetId="7">#REF!</definedName>
    <definedName name="ophom" localSheetId="14">#REF!</definedName>
    <definedName name="ophom" localSheetId="15">#REF!</definedName>
    <definedName name="ophom" localSheetId="8">#REF!</definedName>
    <definedName name="ophom">#REF!</definedName>
    <definedName name="osc" localSheetId="9">#REF!</definedName>
    <definedName name="osc" localSheetId="10">#REF!</definedName>
    <definedName name="osc" localSheetId="6">#REF!</definedName>
    <definedName name="osc" localSheetId="7">#REF!</definedName>
    <definedName name="osc" localSheetId="14">#REF!</definedName>
    <definedName name="osc" localSheetId="15">#REF!</definedName>
    <definedName name="osc" localSheetId="8">#REF!</definedName>
    <definedName name="osc">#REF!</definedName>
    <definedName name="PA" localSheetId="9">#REF!</definedName>
    <definedName name="PA" localSheetId="10">#REF!</definedName>
    <definedName name="PA" localSheetId="6">#REF!</definedName>
    <definedName name="PA" localSheetId="7">#REF!</definedName>
    <definedName name="PA" localSheetId="14">#REF!</definedName>
    <definedName name="PA" localSheetId="15">#REF!</definedName>
    <definedName name="PA" localSheetId="8">#REF!</definedName>
    <definedName name="PA">#REF!</definedName>
    <definedName name="page\x2dtotal">'MAU 59_342'!$A$991</definedName>
    <definedName name="page\x2dtotal\x2dmaster0">'MAU 59_342'!$A$991</definedName>
    <definedName name="panen" localSheetId="9">#REF!</definedName>
    <definedName name="panen" localSheetId="10">#REF!</definedName>
    <definedName name="panen" localSheetId="6">#REF!</definedName>
    <definedName name="panen" localSheetId="7">#REF!</definedName>
    <definedName name="panen" localSheetId="14">#REF!</definedName>
    <definedName name="panen" localSheetId="15">#REF!</definedName>
    <definedName name="panen" localSheetId="8">#REF!</definedName>
    <definedName name="panen">#REF!</definedName>
    <definedName name="PHAN_DIEN_DZ0.4KV" localSheetId="9">#REF!</definedName>
    <definedName name="PHAN_DIEN_DZ0.4KV" localSheetId="10">#REF!</definedName>
    <definedName name="PHAN_DIEN_DZ0.4KV" localSheetId="6">#REF!</definedName>
    <definedName name="PHAN_DIEN_DZ0.4KV" localSheetId="7">#REF!</definedName>
    <definedName name="PHAN_DIEN_DZ0.4KV" localSheetId="14">#REF!</definedName>
    <definedName name="PHAN_DIEN_DZ0.4KV" localSheetId="15">#REF!</definedName>
    <definedName name="PHAN_DIEN_DZ0.4KV" localSheetId="8">#REF!</definedName>
    <definedName name="PHAN_DIEN_DZ0.4KV">#REF!</definedName>
    <definedName name="PHAN_DIEN_TBA" localSheetId="9">#REF!</definedName>
    <definedName name="PHAN_DIEN_TBA" localSheetId="10">#REF!</definedName>
    <definedName name="PHAN_DIEN_TBA" localSheetId="6">#REF!</definedName>
    <definedName name="PHAN_DIEN_TBA" localSheetId="7">#REF!</definedName>
    <definedName name="PHAN_DIEN_TBA" localSheetId="14">#REF!</definedName>
    <definedName name="PHAN_DIEN_TBA" localSheetId="15">#REF!</definedName>
    <definedName name="PHAN_DIEN_TBA" localSheetId="8">#REF!</definedName>
    <definedName name="PHAN_DIEN_TBA">#REF!</definedName>
    <definedName name="PHAN_MUA_SAM_DZ0.4KV" localSheetId="9">#REF!</definedName>
    <definedName name="PHAN_MUA_SAM_DZ0.4KV" localSheetId="10">#REF!</definedName>
    <definedName name="PHAN_MUA_SAM_DZ0.4KV" localSheetId="6">#REF!</definedName>
    <definedName name="PHAN_MUA_SAM_DZ0.4KV" localSheetId="7">#REF!</definedName>
    <definedName name="PHAN_MUA_SAM_DZ0.4KV" localSheetId="14">#REF!</definedName>
    <definedName name="PHAN_MUA_SAM_DZ0.4KV" localSheetId="15">#REF!</definedName>
    <definedName name="PHAN_MUA_SAM_DZ0.4KV" localSheetId="8">#REF!</definedName>
    <definedName name="PHAN_MUA_SAM_DZ0.4KV">#REF!</definedName>
    <definedName name="phu_luc_vua" localSheetId="9">#REF!</definedName>
    <definedName name="phu_luc_vua" localSheetId="10">#REF!</definedName>
    <definedName name="phu_luc_vua" localSheetId="6">#REF!</definedName>
    <definedName name="phu_luc_vua" localSheetId="7">#REF!</definedName>
    <definedName name="phu_luc_vua" localSheetId="14">#REF!</definedName>
    <definedName name="phu_luc_vua" localSheetId="15">#REF!</definedName>
    <definedName name="phu_luc_vua" localSheetId="8">#REF!</definedName>
    <definedName name="phu_luc_vua">#REF!</definedName>
    <definedName name="PLKL" localSheetId="9">#REF!</definedName>
    <definedName name="PLKL" localSheetId="10">#REF!</definedName>
    <definedName name="PLKL" localSheetId="6">#REF!</definedName>
    <definedName name="PLKL" localSheetId="7">#REF!</definedName>
    <definedName name="PLKL" localSheetId="14">#REF!</definedName>
    <definedName name="PLKL" localSheetId="15">#REF!</definedName>
    <definedName name="PLKL" localSheetId="8">#REF!</definedName>
    <definedName name="PLKL">#REF!</definedName>
    <definedName name="PRICE" localSheetId="9">#REF!</definedName>
    <definedName name="PRICE" localSheetId="10">#REF!</definedName>
    <definedName name="PRICE" localSheetId="6">#REF!</definedName>
    <definedName name="PRICE" localSheetId="7">#REF!</definedName>
    <definedName name="PRICE" localSheetId="14">#REF!</definedName>
    <definedName name="PRICE" localSheetId="15">#REF!</definedName>
    <definedName name="PRICE" localSheetId="8">#REF!</definedName>
    <definedName name="PRICE">#REF!</definedName>
    <definedName name="PRICE1" localSheetId="9">#REF!</definedName>
    <definedName name="PRICE1" localSheetId="10">#REF!</definedName>
    <definedName name="PRICE1" localSheetId="6">#REF!</definedName>
    <definedName name="PRICE1" localSheetId="7">#REF!</definedName>
    <definedName name="PRICE1" localSheetId="14">#REF!</definedName>
    <definedName name="PRICE1" localSheetId="15">#REF!</definedName>
    <definedName name="PRICE1" localSheetId="8">#REF!</definedName>
    <definedName name="PRICE1">#REF!</definedName>
    <definedName name="_xlnm.Print_Area" localSheetId="6">'BIEU_63_CK NSNN'!$A$1:$L$108</definedName>
    <definedName name="_xlnm.Print_Area" localSheetId="2">'CAN DOI 49_ND31'!$A$1:$E$51</definedName>
    <definedName name="_xlnm.Print_Area" localSheetId="1">'CAN DOI_60_342'!$A$1:$L$31</definedName>
    <definedName name="_xlnm.Print_Area" localSheetId="0">'CAN DOI_60_342 BTC'!$A$1:$L$31</definedName>
    <definedName name="_xlnm.Print_Area" localSheetId="24">'CHUYEN NGUON 70_342'!$A$1:$G$18</definedName>
    <definedName name="_xlnm.Print_Area" localSheetId="18">'DAU TU'!$A$1:$X$944</definedName>
    <definedName name="_xlnm.Print_Area" localSheetId="23">'KIEM TOAN 69_342'!$A$1:$I$77</definedName>
    <definedName name="_xlnm.Print_Area" localSheetId="25">'MAU 59_342'!$A$2:$X$987</definedName>
    <definedName name="_xlnm.Print_Area" localSheetId="15">'TH CHI 53 ND31 BC'!$A$1:$T$79</definedName>
    <definedName name="_xlnm.Print_Area" localSheetId="19">'TH CHI_62_342_51_52_53_31'!$A$1:$P$112</definedName>
    <definedName name="_xlnm.Print_Area" localSheetId="4">'TH CHI_62_342_BTC'!$A$1:$P$112</definedName>
    <definedName name="_xlnm.Print_Area" localSheetId="3">'TH THU_61_342_50_31'!$A$1:$J$133</definedName>
    <definedName name="_xlnm.Print_Area" localSheetId="20">'TM DP, TT 68_342'!$A$1:$F$29</definedName>
    <definedName name="_xlnm.Print_Area" localSheetId="22">'TM QLHC 66_342'!$A$1:$J$26</definedName>
    <definedName name="_xlnm.Print_Area" localSheetId="21">'TM THIEN TAI 67_342'!$A$1:$F$22</definedName>
    <definedName name="_xlnm.Print_Titles" localSheetId="5">'BIEU 62_CK_NSNN'!$8:$14</definedName>
    <definedName name="_xlnm.Print_Titles" localSheetId="9">'BIEU 64  CK NSNN'!$8:$10</definedName>
    <definedName name="_xlnm.Print_Titles" localSheetId="10">'BIEU 65 CK NSNN'!$8:$10</definedName>
    <definedName name="_xlnm.Print_Titles" localSheetId="11">'BIEU 66_CK NSNN'!$8:$11</definedName>
    <definedName name="_xlnm.Print_Titles" localSheetId="13">'BIEU 68 CK NSNN'!$8:$13</definedName>
    <definedName name="_xlnm.Print_Titles" localSheetId="6">'BIEU_63_CK NSNN'!$5:$8</definedName>
    <definedName name="_xlnm.Print_Titles" localSheetId="7">'CAN DOI 48_ND31_BC'!$8:$14</definedName>
    <definedName name="_xlnm.Print_Titles" localSheetId="2">'CAN DOI 49_ND31'!$5:$6</definedName>
    <definedName name="_xlnm.Print_Titles" localSheetId="24">'CHUYEN NGUON 70_342'!$6:$9</definedName>
    <definedName name="_xlnm.Print_Titles" localSheetId="18">'DAU TU'!$A:$B,'DAU TU'!$5:$8</definedName>
    <definedName name="_xlnm.Print_Titles" localSheetId="23">'KIEM TOAN 69_342'!$6:$7</definedName>
    <definedName name="_xlnm.Print_Titles" localSheetId="25">'MAU 59_342'!$8:$12</definedName>
    <definedName name="_xlnm.Print_Titles" localSheetId="14">'TH CHI 51 ND31'!$8:$9</definedName>
    <definedName name="_xlnm.Print_Titles" localSheetId="15">'TH CHI 53 ND31 BC'!$5:$8</definedName>
    <definedName name="_xlnm.Print_Titles" localSheetId="19">'TH CHI_62_342_51_52_53_31'!$4:$7</definedName>
    <definedName name="_xlnm.Print_Titles" localSheetId="4">'TH CHI_62_342_BTC'!$4:$7</definedName>
    <definedName name="_xlnm.Print_Titles" localSheetId="8">'TH THU_50_ND31_BC'!$8:$10</definedName>
    <definedName name="_xlnm.Print_Titles" localSheetId="3">'TH THU_61_342_50_31'!$4:$7</definedName>
    <definedName name="_xlnm.Print_Titles">#N/A</definedName>
    <definedName name="Print_Titles_MI" localSheetId="9">#REF!</definedName>
    <definedName name="Print_Titles_MI" localSheetId="10">#REF!</definedName>
    <definedName name="Print_Titles_MI" localSheetId="6">#REF!</definedName>
    <definedName name="Print_Titles_MI" localSheetId="7">#REF!</definedName>
    <definedName name="Print_Titles_MI" localSheetId="14">#REF!</definedName>
    <definedName name="Print_Titles_MI" localSheetId="15">#REF!</definedName>
    <definedName name="Print_Titles_MI" localSheetId="8">#REF!</definedName>
    <definedName name="Print_Titles_MI">#REF!</definedName>
    <definedName name="PRINTA" localSheetId="9">#REF!</definedName>
    <definedName name="PRINTA" localSheetId="10">#REF!</definedName>
    <definedName name="PRINTA" localSheetId="6">#REF!</definedName>
    <definedName name="PRINTA" localSheetId="7">#REF!</definedName>
    <definedName name="PRINTA" localSheetId="14">#REF!</definedName>
    <definedName name="PRINTA" localSheetId="15">#REF!</definedName>
    <definedName name="PRINTA" localSheetId="8">#REF!</definedName>
    <definedName name="PRINTA">#REF!</definedName>
    <definedName name="PRINTB" localSheetId="9">#REF!</definedName>
    <definedName name="PRINTB" localSheetId="10">#REF!</definedName>
    <definedName name="PRINTB" localSheetId="6">#REF!</definedName>
    <definedName name="PRINTB" localSheetId="7">#REF!</definedName>
    <definedName name="PRINTB" localSheetId="14">#REF!</definedName>
    <definedName name="PRINTB" localSheetId="15">#REF!</definedName>
    <definedName name="PRINTB" localSheetId="8">#REF!</definedName>
    <definedName name="PRINTB">#REF!</definedName>
    <definedName name="PRINTC" localSheetId="9">#REF!</definedName>
    <definedName name="PRINTC" localSheetId="10">#REF!</definedName>
    <definedName name="PRINTC" localSheetId="6">#REF!</definedName>
    <definedName name="PRINTC" localSheetId="7">#REF!</definedName>
    <definedName name="PRINTC" localSheetId="14">#REF!</definedName>
    <definedName name="PRINTC" localSheetId="15">#REF!</definedName>
    <definedName name="PRINTC" localSheetId="8">#REF!</definedName>
    <definedName name="PRINTC">#REF!</definedName>
    <definedName name="PROPOSAL" localSheetId="9">#REF!</definedName>
    <definedName name="PROPOSAL" localSheetId="10">#REF!</definedName>
    <definedName name="PROPOSAL" localSheetId="6">#REF!</definedName>
    <definedName name="PROPOSAL" localSheetId="7">#REF!</definedName>
    <definedName name="PROPOSAL" localSheetId="14">#REF!</definedName>
    <definedName name="PROPOSAL" localSheetId="15">#REF!</definedName>
    <definedName name="PROPOSAL" localSheetId="8">#REF!</definedName>
    <definedName name="PROPOSAL">#REF!</definedName>
    <definedName name="pt" localSheetId="9">#REF!</definedName>
    <definedName name="pt" localSheetId="10">#REF!</definedName>
    <definedName name="pt" localSheetId="6">#REF!</definedName>
    <definedName name="pt" localSheetId="7">#REF!</definedName>
    <definedName name="pt" localSheetId="14">#REF!</definedName>
    <definedName name="pt" localSheetId="15">#REF!</definedName>
    <definedName name="pt" localSheetId="8">#REF!</definedName>
    <definedName name="pt">#REF!</definedName>
    <definedName name="PT_Duong" localSheetId="9">#REF!</definedName>
    <definedName name="PT_Duong" localSheetId="10">#REF!</definedName>
    <definedName name="PT_Duong" localSheetId="6">#REF!</definedName>
    <definedName name="PT_Duong" localSheetId="7">#REF!</definedName>
    <definedName name="PT_Duong" localSheetId="14">#REF!</definedName>
    <definedName name="PT_Duong" localSheetId="15">#REF!</definedName>
    <definedName name="PT_Duong" localSheetId="8">#REF!</definedName>
    <definedName name="PT_Duong">#REF!</definedName>
    <definedName name="ptdg" localSheetId="9">#REF!</definedName>
    <definedName name="ptdg" localSheetId="10">#REF!</definedName>
    <definedName name="ptdg" localSheetId="6">#REF!</definedName>
    <definedName name="ptdg" localSheetId="7">#REF!</definedName>
    <definedName name="ptdg" localSheetId="14">#REF!</definedName>
    <definedName name="ptdg" localSheetId="15">#REF!</definedName>
    <definedName name="ptdg" localSheetId="8">#REF!</definedName>
    <definedName name="ptdg">#REF!</definedName>
    <definedName name="PTDG_cau" localSheetId="9">#REF!</definedName>
    <definedName name="PTDG_cau" localSheetId="10">#REF!</definedName>
    <definedName name="PTDG_cau" localSheetId="6">#REF!</definedName>
    <definedName name="PTDG_cau" localSheetId="7">#REF!</definedName>
    <definedName name="PTDG_cau" localSheetId="14">#REF!</definedName>
    <definedName name="PTDG_cau" localSheetId="15">#REF!</definedName>
    <definedName name="PTDG_cau" localSheetId="8">#REF!</definedName>
    <definedName name="PTDG_cau">#REF!</definedName>
    <definedName name="PTNC" localSheetId="9">#REF!</definedName>
    <definedName name="PTNC" localSheetId="10">#REF!</definedName>
    <definedName name="PTNC" localSheetId="6">#REF!</definedName>
    <definedName name="PTNC" localSheetId="7">#REF!</definedName>
    <definedName name="PTNC" localSheetId="14">#REF!</definedName>
    <definedName name="PTNC" localSheetId="15">#REF!</definedName>
    <definedName name="PTNC" localSheetId="8">#REF!</definedName>
    <definedName name="PTNC">#REF!</definedName>
    <definedName name="pvd" localSheetId="9">#REF!</definedName>
    <definedName name="pvd" localSheetId="10">#REF!</definedName>
    <definedName name="pvd" localSheetId="6">#REF!</definedName>
    <definedName name="pvd" localSheetId="7">#REF!</definedName>
    <definedName name="pvd" localSheetId="14">#REF!</definedName>
    <definedName name="pvd" localSheetId="15">#REF!</definedName>
    <definedName name="pvd" localSheetId="8">#REF!</definedName>
    <definedName name="pvd">#REF!</definedName>
    <definedName name="qtdm" localSheetId="9">#REF!</definedName>
    <definedName name="qtdm" localSheetId="10">#REF!</definedName>
    <definedName name="qtdm" localSheetId="6">#REF!</definedName>
    <definedName name="qtdm" localSheetId="7">#REF!</definedName>
    <definedName name="qtdm" localSheetId="14">#REF!</definedName>
    <definedName name="qtdm" localSheetId="15">#REF!</definedName>
    <definedName name="qtdm" localSheetId="8">#REF!</definedName>
    <definedName name="qtdm">#REF!</definedName>
    <definedName name="ra11p" localSheetId="9">#REF!</definedName>
    <definedName name="ra11p" localSheetId="10">#REF!</definedName>
    <definedName name="ra11p" localSheetId="6">#REF!</definedName>
    <definedName name="ra11p" localSheetId="7">#REF!</definedName>
    <definedName name="ra11p" localSheetId="14">#REF!</definedName>
    <definedName name="ra11p" localSheetId="15">#REF!</definedName>
    <definedName name="ra11p" localSheetId="8">#REF!</definedName>
    <definedName name="ra11p">#REF!</definedName>
    <definedName name="ra13p" localSheetId="9">#REF!</definedName>
    <definedName name="ra13p" localSheetId="10">#REF!</definedName>
    <definedName name="ra13p" localSheetId="6">#REF!</definedName>
    <definedName name="ra13p" localSheetId="7">#REF!</definedName>
    <definedName name="ra13p" localSheetId="14">#REF!</definedName>
    <definedName name="ra13p" localSheetId="15">#REF!</definedName>
    <definedName name="ra13p" localSheetId="8">#REF!</definedName>
    <definedName name="ra13p">#REF!</definedName>
    <definedName name="rack1" localSheetId="9">#REF!</definedName>
    <definedName name="rack1" localSheetId="10">#REF!</definedName>
    <definedName name="rack1" localSheetId="6">#REF!</definedName>
    <definedName name="rack1" localSheetId="7">#REF!</definedName>
    <definedName name="rack1" localSheetId="14">#REF!</definedName>
    <definedName name="rack1" localSheetId="15">#REF!</definedName>
    <definedName name="rack1" localSheetId="8">#REF!</definedName>
    <definedName name="rack1">#REF!</definedName>
    <definedName name="rack2" localSheetId="9">#REF!</definedName>
    <definedName name="rack2" localSheetId="10">#REF!</definedName>
    <definedName name="rack2" localSheetId="6">#REF!</definedName>
    <definedName name="rack2" localSheetId="7">#REF!</definedName>
    <definedName name="rack2" localSheetId="14">#REF!</definedName>
    <definedName name="rack2" localSheetId="15">#REF!</definedName>
    <definedName name="rack2" localSheetId="8">#REF!</definedName>
    <definedName name="rack2">#REF!</definedName>
    <definedName name="rack3" localSheetId="9">#REF!</definedName>
    <definedName name="rack3" localSheetId="10">#REF!</definedName>
    <definedName name="rack3" localSheetId="6">#REF!</definedName>
    <definedName name="rack3" localSheetId="7">#REF!</definedName>
    <definedName name="rack3" localSheetId="14">#REF!</definedName>
    <definedName name="rack3" localSheetId="15">#REF!</definedName>
    <definedName name="rack3" localSheetId="8">#REF!</definedName>
    <definedName name="rack3">#REF!</definedName>
    <definedName name="rack4" localSheetId="9">#REF!</definedName>
    <definedName name="rack4" localSheetId="10">#REF!</definedName>
    <definedName name="rack4" localSheetId="6">#REF!</definedName>
    <definedName name="rack4" localSheetId="7">#REF!</definedName>
    <definedName name="rack4" localSheetId="14">#REF!</definedName>
    <definedName name="rack4" localSheetId="15">#REF!</definedName>
    <definedName name="rack4" localSheetId="8">#REF!</definedName>
    <definedName name="rack4">#REF!</definedName>
    <definedName name="rate">14000</definedName>
    <definedName name="_xlnm.Recorder" localSheetId="9">#REF!</definedName>
    <definedName name="_xlnm.Recorder" localSheetId="10">#REF!</definedName>
    <definedName name="_xlnm.Recorder" localSheetId="6">#REF!</definedName>
    <definedName name="_xlnm.Recorder" localSheetId="7">#REF!</definedName>
    <definedName name="_xlnm.Recorder" localSheetId="14">#REF!</definedName>
    <definedName name="_xlnm.Recorder" localSheetId="15">#REF!</definedName>
    <definedName name="_xlnm.Recorder" localSheetId="8">#REF!</definedName>
    <definedName name="_xlnm.Recorder">#REF!</definedName>
    <definedName name="RECOUT">#N/A</definedName>
    <definedName name="RFP003A" localSheetId="9">#REF!</definedName>
    <definedName name="RFP003A" localSheetId="10">#REF!</definedName>
    <definedName name="RFP003A" localSheetId="6">#REF!</definedName>
    <definedName name="RFP003A" localSheetId="7">#REF!</definedName>
    <definedName name="RFP003A" localSheetId="14">#REF!</definedName>
    <definedName name="RFP003A" localSheetId="15">#REF!</definedName>
    <definedName name="RFP003A" localSheetId="8">#REF!</definedName>
    <definedName name="RFP003A">#REF!</definedName>
    <definedName name="RFP003B" localSheetId="9">#REF!</definedName>
    <definedName name="RFP003B" localSheetId="10">#REF!</definedName>
    <definedName name="RFP003B" localSheetId="6">#REF!</definedName>
    <definedName name="RFP003B" localSheetId="7">#REF!</definedName>
    <definedName name="RFP003B" localSheetId="14">#REF!</definedName>
    <definedName name="RFP003B" localSheetId="15">#REF!</definedName>
    <definedName name="RFP003B" localSheetId="8">#REF!</definedName>
    <definedName name="RFP003B">#REF!</definedName>
    <definedName name="RFP003C" localSheetId="9">#REF!</definedName>
    <definedName name="RFP003C" localSheetId="10">#REF!</definedName>
    <definedName name="RFP003C" localSheetId="6">#REF!</definedName>
    <definedName name="RFP003C" localSheetId="7">#REF!</definedName>
    <definedName name="RFP003C" localSheetId="14">#REF!</definedName>
    <definedName name="RFP003C" localSheetId="15">#REF!</definedName>
    <definedName name="RFP003C" localSheetId="8">#REF!</definedName>
    <definedName name="RFP003C">#REF!</definedName>
    <definedName name="RFP003D" localSheetId="9">#REF!</definedName>
    <definedName name="RFP003D" localSheetId="10">#REF!</definedName>
    <definedName name="RFP003D" localSheetId="6">#REF!</definedName>
    <definedName name="RFP003D" localSheetId="7">#REF!</definedName>
    <definedName name="RFP003D" localSheetId="14">#REF!</definedName>
    <definedName name="RFP003D" localSheetId="15">#REF!</definedName>
    <definedName name="RFP003D" localSheetId="8">#REF!</definedName>
    <definedName name="RFP003D">#REF!</definedName>
    <definedName name="RFP003E" localSheetId="9">#REF!</definedName>
    <definedName name="RFP003E" localSheetId="10">#REF!</definedName>
    <definedName name="RFP003E" localSheetId="6">#REF!</definedName>
    <definedName name="RFP003E" localSheetId="7">#REF!</definedName>
    <definedName name="RFP003E" localSheetId="14">#REF!</definedName>
    <definedName name="RFP003E" localSheetId="15">#REF!</definedName>
    <definedName name="RFP003E" localSheetId="8">#REF!</definedName>
    <definedName name="RFP003E">#REF!</definedName>
    <definedName name="RFP003F" localSheetId="9">#REF!</definedName>
    <definedName name="RFP003F" localSheetId="10">#REF!</definedName>
    <definedName name="RFP003F" localSheetId="6">#REF!</definedName>
    <definedName name="RFP003F" localSheetId="7">#REF!</definedName>
    <definedName name="RFP003F" localSheetId="14">#REF!</definedName>
    <definedName name="RFP003F" localSheetId="15">#REF!</definedName>
    <definedName name="RFP003F" localSheetId="8">#REF!</definedName>
    <definedName name="RFP003F">#REF!</definedName>
    <definedName name="rong1" localSheetId="9">#REF!</definedName>
    <definedName name="rong1" localSheetId="10">#REF!</definedName>
    <definedName name="rong1" localSheetId="6">#REF!</definedName>
    <definedName name="rong1" localSheetId="7">#REF!</definedName>
    <definedName name="rong1" localSheetId="14">#REF!</definedName>
    <definedName name="rong1" localSheetId="15">#REF!</definedName>
    <definedName name="rong1" localSheetId="8">#REF!</definedName>
    <definedName name="rong1">#REF!</definedName>
    <definedName name="rong2" localSheetId="9">#REF!</definedName>
    <definedName name="rong2" localSheetId="10">#REF!</definedName>
    <definedName name="rong2" localSheetId="6">#REF!</definedName>
    <definedName name="rong2" localSheetId="7">#REF!</definedName>
    <definedName name="rong2" localSheetId="14">#REF!</definedName>
    <definedName name="rong2" localSheetId="15">#REF!</definedName>
    <definedName name="rong2" localSheetId="8">#REF!</definedName>
    <definedName name="rong2">#REF!</definedName>
    <definedName name="rong3" localSheetId="9">#REF!</definedName>
    <definedName name="rong3" localSheetId="10">#REF!</definedName>
    <definedName name="rong3" localSheetId="6">#REF!</definedName>
    <definedName name="rong3" localSheetId="7">#REF!</definedName>
    <definedName name="rong3" localSheetId="14">#REF!</definedName>
    <definedName name="rong3" localSheetId="15">#REF!</definedName>
    <definedName name="rong3" localSheetId="8">#REF!</definedName>
    <definedName name="rong3">#REF!</definedName>
    <definedName name="rong4" localSheetId="9">#REF!</definedName>
    <definedName name="rong4" localSheetId="10">#REF!</definedName>
    <definedName name="rong4" localSheetId="6">#REF!</definedName>
    <definedName name="rong4" localSheetId="7">#REF!</definedName>
    <definedName name="rong4" localSheetId="14">#REF!</definedName>
    <definedName name="rong4" localSheetId="15">#REF!</definedName>
    <definedName name="rong4" localSheetId="8">#REF!</definedName>
    <definedName name="rong4">#REF!</definedName>
    <definedName name="rong5" localSheetId="9">#REF!</definedName>
    <definedName name="rong5" localSheetId="10">#REF!</definedName>
    <definedName name="rong5" localSheetId="6">#REF!</definedName>
    <definedName name="rong5" localSheetId="7">#REF!</definedName>
    <definedName name="rong5" localSheetId="14">#REF!</definedName>
    <definedName name="rong5" localSheetId="15">#REF!</definedName>
    <definedName name="rong5" localSheetId="8">#REF!</definedName>
    <definedName name="rong5">#REF!</definedName>
    <definedName name="rong6" localSheetId="9">#REF!</definedName>
    <definedName name="rong6" localSheetId="10">#REF!</definedName>
    <definedName name="rong6" localSheetId="6">#REF!</definedName>
    <definedName name="rong6" localSheetId="7">#REF!</definedName>
    <definedName name="rong6" localSheetId="14">#REF!</definedName>
    <definedName name="rong6" localSheetId="15">#REF!</definedName>
    <definedName name="rong6" localSheetId="8">#REF!</definedName>
    <definedName name="rong6">#REF!</definedName>
    <definedName name="san" localSheetId="9">#REF!</definedName>
    <definedName name="san" localSheetId="10">#REF!</definedName>
    <definedName name="san" localSheetId="6">#REF!</definedName>
    <definedName name="san" localSheetId="7">#REF!</definedName>
    <definedName name="san" localSheetId="14">#REF!</definedName>
    <definedName name="san" localSheetId="15">#REF!</definedName>
    <definedName name="san" localSheetId="8">#REF!</definedName>
    <definedName name="san">#REF!</definedName>
    <definedName name="sand" localSheetId="9">#REF!</definedName>
    <definedName name="sand" localSheetId="10">#REF!</definedName>
    <definedName name="sand" localSheetId="6">#REF!</definedName>
    <definedName name="sand" localSheetId="7">#REF!</definedName>
    <definedName name="sand" localSheetId="14">#REF!</definedName>
    <definedName name="sand" localSheetId="15">#REF!</definedName>
    <definedName name="sand" localSheetId="8">#REF!</definedName>
    <definedName name="sand">#REF!</definedName>
    <definedName name="SCH" localSheetId="9">#REF!</definedName>
    <definedName name="SCH" localSheetId="10">#REF!</definedName>
    <definedName name="SCH" localSheetId="6">#REF!</definedName>
    <definedName name="SCH" localSheetId="7">#REF!</definedName>
    <definedName name="SCH" localSheetId="14">#REF!</definedName>
    <definedName name="SCH" localSheetId="15">#REF!</definedName>
    <definedName name="SCH" localSheetId="8">#REF!</definedName>
    <definedName name="SCH">#REF!</definedName>
    <definedName name="sd1p" localSheetId="9">#REF!</definedName>
    <definedName name="sd1p" localSheetId="10">#REF!</definedName>
    <definedName name="sd1p" localSheetId="6">#REF!</definedName>
    <definedName name="sd1p" localSheetId="7">#REF!</definedName>
    <definedName name="sd1p" localSheetId="14">#REF!</definedName>
    <definedName name="sd1p" localSheetId="15">#REF!</definedName>
    <definedName name="sd1p" localSheetId="8">#REF!</definedName>
    <definedName name="sd1p">#REF!</definedName>
    <definedName name="sd3p" localSheetId="9">#REF!</definedName>
    <definedName name="sd3p" localSheetId="10">#REF!</definedName>
    <definedName name="sd3p" localSheetId="6">#REF!</definedName>
    <definedName name="sd3p" localSheetId="7">#REF!</definedName>
    <definedName name="sd3p" localSheetId="14">#REF!</definedName>
    <definedName name="sd3p" localSheetId="15">#REF!</definedName>
    <definedName name="sd3p" localSheetId="8">#REF!</definedName>
    <definedName name="sd3p">#REF!</definedName>
    <definedName name="SDMONG" localSheetId="9">#REF!</definedName>
    <definedName name="SDMONG" localSheetId="10">#REF!</definedName>
    <definedName name="SDMONG" localSheetId="6">#REF!</definedName>
    <definedName name="SDMONG" localSheetId="7">#REF!</definedName>
    <definedName name="SDMONG" localSheetId="14">#REF!</definedName>
    <definedName name="SDMONG" localSheetId="15">#REF!</definedName>
    <definedName name="SDMONG" localSheetId="8">#REF!</definedName>
    <definedName name="SDMONG">#REF!</definedName>
    <definedName name="sho" localSheetId="9">#REF!</definedName>
    <definedName name="sho" localSheetId="10">#REF!</definedName>
    <definedName name="sho" localSheetId="6">#REF!</definedName>
    <definedName name="sho" localSheetId="7">#REF!</definedName>
    <definedName name="sho" localSheetId="14">#REF!</definedName>
    <definedName name="sho" localSheetId="15">#REF!</definedName>
    <definedName name="sho" localSheetId="8">#REF!</definedName>
    <definedName name="sho">#REF!</definedName>
    <definedName name="sht" localSheetId="9">#REF!</definedName>
    <definedName name="sht" localSheetId="10">#REF!</definedName>
    <definedName name="sht" localSheetId="6">#REF!</definedName>
    <definedName name="sht" localSheetId="7">#REF!</definedName>
    <definedName name="sht" localSheetId="14">#REF!</definedName>
    <definedName name="sht" localSheetId="15">#REF!</definedName>
    <definedName name="sht" localSheetId="8">#REF!</definedName>
    <definedName name="sht">#REF!</definedName>
    <definedName name="sht1p" localSheetId="9">#REF!</definedName>
    <definedName name="sht1p" localSheetId="10">#REF!</definedName>
    <definedName name="sht1p" localSheetId="6">#REF!</definedName>
    <definedName name="sht1p" localSheetId="7">#REF!</definedName>
    <definedName name="sht1p" localSheetId="14">#REF!</definedName>
    <definedName name="sht1p" localSheetId="15">#REF!</definedName>
    <definedName name="sht1p" localSheetId="8">#REF!</definedName>
    <definedName name="sht1p">#REF!</definedName>
    <definedName name="sht3p" localSheetId="9">#REF!</definedName>
    <definedName name="sht3p" localSheetId="10">#REF!</definedName>
    <definedName name="sht3p" localSheetId="6">#REF!</definedName>
    <definedName name="sht3p" localSheetId="7">#REF!</definedName>
    <definedName name="sht3p" localSheetId="14">#REF!</definedName>
    <definedName name="sht3p" localSheetId="15">#REF!</definedName>
    <definedName name="sht3p" localSheetId="8">#REF!</definedName>
    <definedName name="sht3p">#REF!</definedName>
    <definedName name="SIZE" localSheetId="9">#REF!</definedName>
    <definedName name="SIZE" localSheetId="10">#REF!</definedName>
    <definedName name="SIZE" localSheetId="6">#REF!</definedName>
    <definedName name="SIZE" localSheetId="7">#REF!</definedName>
    <definedName name="SIZE" localSheetId="14">#REF!</definedName>
    <definedName name="SIZE" localSheetId="15">#REF!</definedName>
    <definedName name="SIZE" localSheetId="8">#REF!</definedName>
    <definedName name="SIZE">#REF!</definedName>
    <definedName name="SL_CRD" localSheetId="9">#REF!</definedName>
    <definedName name="SL_CRD" localSheetId="10">#REF!</definedName>
    <definedName name="SL_CRD" localSheetId="6">#REF!</definedName>
    <definedName name="SL_CRD" localSheetId="7">#REF!</definedName>
    <definedName name="SL_CRD" localSheetId="14">#REF!</definedName>
    <definedName name="SL_CRD" localSheetId="15">#REF!</definedName>
    <definedName name="SL_CRD" localSheetId="8">#REF!</definedName>
    <definedName name="SL_CRD">#REF!</definedName>
    <definedName name="SL_CRS" localSheetId="9">#REF!</definedName>
    <definedName name="SL_CRS" localSheetId="10">#REF!</definedName>
    <definedName name="SL_CRS" localSheetId="6">#REF!</definedName>
    <definedName name="SL_CRS" localSheetId="7">#REF!</definedName>
    <definedName name="SL_CRS" localSheetId="14">#REF!</definedName>
    <definedName name="SL_CRS" localSheetId="15">#REF!</definedName>
    <definedName name="SL_CRS" localSheetId="8">#REF!</definedName>
    <definedName name="SL_CRS">#REF!</definedName>
    <definedName name="SL_CS" localSheetId="9">#REF!</definedName>
    <definedName name="SL_CS" localSheetId="10">#REF!</definedName>
    <definedName name="SL_CS" localSheetId="6">#REF!</definedName>
    <definedName name="SL_CS" localSheetId="7">#REF!</definedName>
    <definedName name="SL_CS" localSheetId="14">#REF!</definedName>
    <definedName name="SL_CS" localSheetId="15">#REF!</definedName>
    <definedName name="SL_CS" localSheetId="8">#REF!</definedName>
    <definedName name="SL_CS">#REF!</definedName>
    <definedName name="SL_DD" localSheetId="9">#REF!</definedName>
    <definedName name="SL_DD" localSheetId="10">#REF!</definedName>
    <definedName name="SL_DD" localSheetId="6">#REF!</definedName>
    <definedName name="SL_DD" localSheetId="7">#REF!</definedName>
    <definedName name="SL_DD" localSheetId="14">#REF!</definedName>
    <definedName name="SL_DD" localSheetId="15">#REF!</definedName>
    <definedName name="SL_DD" localSheetId="8">#REF!</definedName>
    <definedName name="SL_DD">#REF!</definedName>
    <definedName name="slg" localSheetId="9">#REF!</definedName>
    <definedName name="slg" localSheetId="10">#REF!</definedName>
    <definedName name="slg" localSheetId="6">#REF!</definedName>
    <definedName name="slg" localSheetId="7">#REF!</definedName>
    <definedName name="slg" localSheetId="14">#REF!</definedName>
    <definedName name="slg" localSheetId="15">#REF!</definedName>
    <definedName name="slg" localSheetId="8">#REF!</definedName>
    <definedName name="slg">#REF!</definedName>
    <definedName name="soc3p" localSheetId="9">#REF!</definedName>
    <definedName name="soc3p" localSheetId="10">#REF!</definedName>
    <definedName name="soc3p" localSheetId="6">#REF!</definedName>
    <definedName name="soc3p" localSheetId="7">#REF!</definedName>
    <definedName name="soc3p" localSheetId="14">#REF!</definedName>
    <definedName name="soc3p" localSheetId="15">#REF!</definedName>
    <definedName name="soc3p" localSheetId="8">#REF!</definedName>
    <definedName name="soc3p">#REF!</definedName>
    <definedName name="Soi" localSheetId="9">#REF!</definedName>
    <definedName name="Soi" localSheetId="10">#REF!</definedName>
    <definedName name="Soi" localSheetId="6">#REF!</definedName>
    <definedName name="Soi" localSheetId="7">#REF!</definedName>
    <definedName name="Soi" localSheetId="14">#REF!</definedName>
    <definedName name="Soi" localSheetId="15">#REF!</definedName>
    <definedName name="Soi" localSheetId="8">#REF!</definedName>
    <definedName name="Soi">#REF!</definedName>
    <definedName name="soichon12" localSheetId="9">#REF!</definedName>
    <definedName name="soichon12" localSheetId="10">#REF!</definedName>
    <definedName name="soichon12" localSheetId="6">#REF!</definedName>
    <definedName name="soichon12" localSheetId="7">#REF!</definedName>
    <definedName name="soichon12" localSheetId="14">#REF!</definedName>
    <definedName name="soichon12" localSheetId="15">#REF!</definedName>
    <definedName name="soichon12" localSheetId="8">#REF!</definedName>
    <definedName name="soichon12">#REF!</definedName>
    <definedName name="soichon24" localSheetId="9">#REF!</definedName>
    <definedName name="soichon24" localSheetId="10">#REF!</definedName>
    <definedName name="soichon24" localSheetId="6">#REF!</definedName>
    <definedName name="soichon24" localSheetId="7">#REF!</definedName>
    <definedName name="soichon24" localSheetId="14">#REF!</definedName>
    <definedName name="soichon24" localSheetId="15">#REF!</definedName>
    <definedName name="soichon24" localSheetId="8">#REF!</definedName>
    <definedName name="soichon24">#REF!</definedName>
    <definedName name="soichon46" localSheetId="9">#REF!</definedName>
    <definedName name="soichon46" localSheetId="10">#REF!</definedName>
    <definedName name="soichon46" localSheetId="6">#REF!</definedName>
    <definedName name="soichon46" localSheetId="7">#REF!</definedName>
    <definedName name="soichon46" localSheetId="14">#REF!</definedName>
    <definedName name="soichon46" localSheetId="15">#REF!</definedName>
    <definedName name="soichon46" localSheetId="8">#REF!</definedName>
    <definedName name="soichon46">#REF!</definedName>
    <definedName name="solieu" localSheetId="9">#REF!</definedName>
    <definedName name="solieu" localSheetId="10">#REF!</definedName>
    <definedName name="solieu" localSheetId="6">#REF!</definedName>
    <definedName name="solieu" localSheetId="7">#REF!</definedName>
    <definedName name="solieu" localSheetId="14">#REF!</definedName>
    <definedName name="solieu" localSheetId="15">#REF!</definedName>
    <definedName name="solieu" localSheetId="8">#REF!</definedName>
    <definedName name="solieu">#REF!</definedName>
    <definedName name="SORT" localSheetId="9">#REF!</definedName>
    <definedName name="SORT" localSheetId="10">#REF!</definedName>
    <definedName name="SORT" localSheetId="6">#REF!</definedName>
    <definedName name="SORT" localSheetId="7">#REF!</definedName>
    <definedName name="SORT" localSheetId="14">#REF!</definedName>
    <definedName name="SORT" localSheetId="15">#REF!</definedName>
    <definedName name="SORT" localSheetId="8">#REF!</definedName>
    <definedName name="SORT">#REF!</definedName>
    <definedName name="SPEC" localSheetId="9">#REF!</definedName>
    <definedName name="SPEC" localSheetId="10">#REF!</definedName>
    <definedName name="SPEC" localSheetId="6">#REF!</definedName>
    <definedName name="SPEC" localSheetId="7">#REF!</definedName>
    <definedName name="SPEC" localSheetId="14">#REF!</definedName>
    <definedName name="SPEC" localSheetId="15">#REF!</definedName>
    <definedName name="SPEC" localSheetId="8">#REF!</definedName>
    <definedName name="SPEC">#REF!</definedName>
    <definedName name="SPECSUMMARY" localSheetId="9">#REF!</definedName>
    <definedName name="SPECSUMMARY" localSheetId="10">#REF!</definedName>
    <definedName name="SPECSUMMARY" localSheetId="6">#REF!</definedName>
    <definedName name="SPECSUMMARY" localSheetId="7">#REF!</definedName>
    <definedName name="SPECSUMMARY" localSheetId="14">#REF!</definedName>
    <definedName name="SPECSUMMARY" localSheetId="15">#REF!</definedName>
    <definedName name="SPECSUMMARY" localSheetId="8">#REF!</definedName>
    <definedName name="SPECSUMMARY">#REF!</definedName>
    <definedName name="ss" localSheetId="9">#REF!</definedName>
    <definedName name="ss" localSheetId="10">#REF!</definedName>
    <definedName name="ss" localSheetId="6">#REF!</definedName>
    <definedName name="ss" localSheetId="7">#REF!</definedName>
    <definedName name="ss" localSheetId="14">#REF!</definedName>
    <definedName name="ss" localSheetId="15">#REF!</definedName>
    <definedName name="ss" localSheetId="8">#REF!</definedName>
    <definedName name="ss">#REF!</definedName>
    <definedName name="sss" localSheetId="9">#REF!</definedName>
    <definedName name="sss" localSheetId="10">#REF!</definedName>
    <definedName name="sss" localSheetId="6">#REF!</definedName>
    <definedName name="sss" localSheetId="7">#REF!</definedName>
    <definedName name="sss" localSheetId="14">#REF!</definedName>
    <definedName name="sss" localSheetId="15">#REF!</definedName>
    <definedName name="sss" localSheetId="8">#REF!</definedName>
    <definedName name="sss">#REF!</definedName>
    <definedName name="st1p" localSheetId="9">#REF!</definedName>
    <definedName name="st1p" localSheetId="10">#REF!</definedName>
    <definedName name="st1p" localSheetId="6">#REF!</definedName>
    <definedName name="st1p" localSheetId="7">#REF!</definedName>
    <definedName name="st1p" localSheetId="14">#REF!</definedName>
    <definedName name="st1p" localSheetId="15">#REF!</definedName>
    <definedName name="st1p" localSheetId="8">#REF!</definedName>
    <definedName name="st1p">#REF!</definedName>
    <definedName name="st3p" localSheetId="9">#REF!</definedName>
    <definedName name="st3p" localSheetId="10">#REF!</definedName>
    <definedName name="st3p" localSheetId="6">#REF!</definedName>
    <definedName name="st3p" localSheetId="7">#REF!</definedName>
    <definedName name="st3p" localSheetId="14">#REF!</definedName>
    <definedName name="st3p" localSheetId="15">#REF!</definedName>
    <definedName name="st3p" localSheetId="8">#REF!</definedName>
    <definedName name="st3p">#REF!</definedName>
    <definedName name="Start_1" localSheetId="9">#REF!</definedName>
    <definedName name="Start_1" localSheetId="10">#REF!</definedName>
    <definedName name="Start_1" localSheetId="6">#REF!</definedName>
    <definedName name="Start_1" localSheetId="7">#REF!</definedName>
    <definedName name="Start_1" localSheetId="14">#REF!</definedName>
    <definedName name="Start_1" localSheetId="15">#REF!</definedName>
    <definedName name="Start_1" localSheetId="8">#REF!</definedName>
    <definedName name="Start_1">#REF!</definedName>
    <definedName name="Start_10" localSheetId="9">#REF!</definedName>
    <definedName name="Start_10" localSheetId="10">#REF!</definedName>
    <definedName name="Start_10" localSheetId="6">#REF!</definedName>
    <definedName name="Start_10" localSheetId="7">#REF!</definedName>
    <definedName name="Start_10" localSheetId="14">#REF!</definedName>
    <definedName name="Start_10" localSheetId="15">#REF!</definedName>
    <definedName name="Start_10" localSheetId="8">#REF!</definedName>
    <definedName name="Start_10">#REF!</definedName>
    <definedName name="Start_11" localSheetId="9">#REF!</definedName>
    <definedName name="Start_11" localSheetId="10">#REF!</definedName>
    <definedName name="Start_11" localSheetId="6">#REF!</definedName>
    <definedName name="Start_11" localSheetId="7">#REF!</definedName>
    <definedName name="Start_11" localSheetId="14">#REF!</definedName>
    <definedName name="Start_11" localSheetId="15">#REF!</definedName>
    <definedName name="Start_11" localSheetId="8">#REF!</definedName>
    <definedName name="Start_11">#REF!</definedName>
    <definedName name="Start_12" localSheetId="9">#REF!</definedName>
    <definedName name="Start_12" localSheetId="10">#REF!</definedName>
    <definedName name="Start_12" localSheetId="6">#REF!</definedName>
    <definedName name="Start_12" localSheetId="7">#REF!</definedName>
    <definedName name="Start_12" localSheetId="14">#REF!</definedName>
    <definedName name="Start_12" localSheetId="15">#REF!</definedName>
    <definedName name="Start_12" localSheetId="8">#REF!</definedName>
    <definedName name="Start_12">#REF!</definedName>
    <definedName name="Start_13" localSheetId="9">#REF!</definedName>
    <definedName name="Start_13" localSheetId="10">#REF!</definedName>
    <definedName name="Start_13" localSheetId="6">#REF!</definedName>
    <definedName name="Start_13" localSheetId="7">#REF!</definedName>
    <definedName name="Start_13" localSheetId="14">#REF!</definedName>
    <definedName name="Start_13" localSheetId="15">#REF!</definedName>
    <definedName name="Start_13" localSheetId="8">#REF!</definedName>
    <definedName name="Start_13">#REF!</definedName>
    <definedName name="Start_2" localSheetId="9">#REF!</definedName>
    <definedName name="Start_2" localSheetId="10">#REF!</definedName>
    <definedName name="Start_2" localSheetId="6">#REF!</definedName>
    <definedName name="Start_2" localSheetId="7">#REF!</definedName>
    <definedName name="Start_2" localSheetId="14">#REF!</definedName>
    <definedName name="Start_2" localSheetId="15">#REF!</definedName>
    <definedName name="Start_2" localSheetId="8">#REF!</definedName>
    <definedName name="Start_2">#REF!</definedName>
    <definedName name="Start_3" localSheetId="9">#REF!</definedName>
    <definedName name="Start_3" localSheetId="10">#REF!</definedName>
    <definedName name="Start_3" localSheetId="6">#REF!</definedName>
    <definedName name="Start_3" localSheetId="7">#REF!</definedName>
    <definedName name="Start_3" localSheetId="14">#REF!</definedName>
    <definedName name="Start_3" localSheetId="15">#REF!</definedName>
    <definedName name="Start_3" localSheetId="8">#REF!</definedName>
    <definedName name="Start_3">#REF!</definedName>
    <definedName name="Start_4" localSheetId="9">#REF!</definedName>
    <definedName name="Start_4" localSheetId="10">#REF!</definedName>
    <definedName name="Start_4" localSheetId="6">#REF!</definedName>
    <definedName name="Start_4" localSheetId="7">#REF!</definedName>
    <definedName name="Start_4" localSheetId="14">#REF!</definedName>
    <definedName name="Start_4" localSheetId="15">#REF!</definedName>
    <definedName name="Start_4" localSheetId="8">#REF!</definedName>
    <definedName name="Start_4">#REF!</definedName>
    <definedName name="Start_5" localSheetId="9">#REF!</definedName>
    <definedName name="Start_5" localSheetId="10">#REF!</definedName>
    <definedName name="Start_5" localSheetId="6">#REF!</definedName>
    <definedName name="Start_5" localSheetId="7">#REF!</definedName>
    <definedName name="Start_5" localSheetId="14">#REF!</definedName>
    <definedName name="Start_5" localSheetId="15">#REF!</definedName>
    <definedName name="Start_5" localSheetId="8">#REF!</definedName>
    <definedName name="Start_5">#REF!</definedName>
    <definedName name="Start_6" localSheetId="9">#REF!</definedName>
    <definedName name="Start_6" localSheetId="10">#REF!</definedName>
    <definedName name="Start_6" localSheetId="6">#REF!</definedName>
    <definedName name="Start_6" localSheetId="7">#REF!</definedName>
    <definedName name="Start_6" localSheetId="14">#REF!</definedName>
    <definedName name="Start_6" localSheetId="15">#REF!</definedName>
    <definedName name="Start_6" localSheetId="8">#REF!</definedName>
    <definedName name="Start_6">#REF!</definedName>
    <definedName name="Start_7" localSheetId="9">#REF!</definedName>
    <definedName name="Start_7" localSheetId="10">#REF!</definedName>
    <definedName name="Start_7" localSheetId="6">#REF!</definedName>
    <definedName name="Start_7" localSheetId="7">#REF!</definedName>
    <definedName name="Start_7" localSheetId="14">#REF!</definedName>
    <definedName name="Start_7" localSheetId="15">#REF!</definedName>
    <definedName name="Start_7" localSheetId="8">#REF!</definedName>
    <definedName name="Start_7">#REF!</definedName>
    <definedName name="Start_8" localSheetId="9">#REF!</definedName>
    <definedName name="Start_8" localSheetId="10">#REF!</definedName>
    <definedName name="Start_8" localSheetId="6">#REF!</definedName>
    <definedName name="Start_8" localSheetId="7">#REF!</definedName>
    <definedName name="Start_8" localSheetId="14">#REF!</definedName>
    <definedName name="Start_8" localSheetId="15">#REF!</definedName>
    <definedName name="Start_8" localSheetId="8">#REF!</definedName>
    <definedName name="Start_8">#REF!</definedName>
    <definedName name="Start_9" localSheetId="9">#REF!</definedName>
    <definedName name="Start_9" localSheetId="10">#REF!</definedName>
    <definedName name="Start_9" localSheetId="6">#REF!</definedName>
    <definedName name="Start_9" localSheetId="7">#REF!</definedName>
    <definedName name="Start_9" localSheetId="14">#REF!</definedName>
    <definedName name="Start_9" localSheetId="15">#REF!</definedName>
    <definedName name="Start_9" localSheetId="8">#REF!</definedName>
    <definedName name="Start_9">#REF!</definedName>
    <definedName name="SU" localSheetId="9">#REF!</definedName>
    <definedName name="SU" localSheetId="10">#REF!</definedName>
    <definedName name="SU" localSheetId="6">#REF!</definedName>
    <definedName name="SU" localSheetId="7">#REF!</definedName>
    <definedName name="SU" localSheetId="14">#REF!</definedName>
    <definedName name="SU" localSheetId="15">#REF!</definedName>
    <definedName name="SU" localSheetId="8">#REF!</definedName>
    <definedName name="SU">#REF!</definedName>
    <definedName name="sub" localSheetId="9">#REF!</definedName>
    <definedName name="sub" localSheetId="10">#REF!</definedName>
    <definedName name="sub" localSheetId="6">#REF!</definedName>
    <definedName name="sub" localSheetId="7">#REF!</definedName>
    <definedName name="sub" localSheetId="14">#REF!</definedName>
    <definedName name="sub" localSheetId="15">#REF!</definedName>
    <definedName name="sub" localSheetId="8">#REF!</definedName>
    <definedName name="sub">#REF!</definedName>
    <definedName name="SUMMARY" localSheetId="9">#REF!</definedName>
    <definedName name="SUMMARY" localSheetId="10">#REF!</definedName>
    <definedName name="SUMMARY" localSheetId="6">#REF!</definedName>
    <definedName name="SUMMARY" localSheetId="7">#REF!</definedName>
    <definedName name="SUMMARY" localSheetId="14">#REF!</definedName>
    <definedName name="SUMMARY" localSheetId="15">#REF!</definedName>
    <definedName name="SUMMARY" localSheetId="8">#REF!</definedName>
    <definedName name="SUMMARY">#REF!</definedName>
    <definedName name="sur" localSheetId="9">#REF!</definedName>
    <definedName name="sur" localSheetId="10">#REF!</definedName>
    <definedName name="sur" localSheetId="6">#REF!</definedName>
    <definedName name="sur" localSheetId="7">#REF!</definedName>
    <definedName name="sur" localSheetId="14">#REF!</definedName>
    <definedName name="sur" localSheetId="15">#REF!</definedName>
    <definedName name="sur" localSheetId="8">#REF!</definedName>
    <definedName name="sur">#REF!</definedName>
    <definedName name="T" localSheetId="9">#REF!</definedName>
    <definedName name="T" localSheetId="10">#REF!</definedName>
    <definedName name="T" localSheetId="6">#REF!</definedName>
    <definedName name="T" localSheetId="7">#REF!</definedName>
    <definedName name="T" localSheetId="14">#REF!</definedName>
    <definedName name="T" localSheetId="15">#REF!</definedName>
    <definedName name="T" localSheetId="8">#REF!</definedName>
    <definedName name="T">#REF!</definedName>
    <definedName name="t101p" localSheetId="9">#REF!</definedName>
    <definedName name="t101p" localSheetId="10">#REF!</definedName>
    <definedName name="t101p" localSheetId="6">#REF!</definedName>
    <definedName name="t101p" localSheetId="7">#REF!</definedName>
    <definedName name="t101p" localSheetId="14">#REF!</definedName>
    <definedName name="t101p" localSheetId="15">#REF!</definedName>
    <definedName name="t101p" localSheetId="8">#REF!</definedName>
    <definedName name="t101p">#REF!</definedName>
    <definedName name="t103p" localSheetId="9">#REF!</definedName>
    <definedName name="t103p" localSheetId="10">#REF!</definedName>
    <definedName name="t103p" localSheetId="6">#REF!</definedName>
    <definedName name="t103p" localSheetId="7">#REF!</definedName>
    <definedName name="t103p" localSheetId="14">#REF!</definedName>
    <definedName name="t103p" localSheetId="15">#REF!</definedName>
    <definedName name="t103p" localSheetId="8">#REF!</definedName>
    <definedName name="t103p">#REF!</definedName>
    <definedName name="t10m" localSheetId="9">#REF!</definedName>
    <definedName name="t10m" localSheetId="10">#REF!</definedName>
    <definedName name="t10m" localSheetId="6">#REF!</definedName>
    <definedName name="t10m" localSheetId="7">#REF!</definedName>
    <definedName name="t10m" localSheetId="14">#REF!</definedName>
    <definedName name="t10m" localSheetId="15">#REF!</definedName>
    <definedName name="t10m" localSheetId="8">#REF!</definedName>
    <definedName name="t10m">#REF!</definedName>
    <definedName name="t10nc1p" localSheetId="9">#REF!</definedName>
    <definedName name="t10nc1p" localSheetId="10">#REF!</definedName>
    <definedName name="t10nc1p" localSheetId="6">#REF!</definedName>
    <definedName name="t10nc1p" localSheetId="7">#REF!</definedName>
    <definedName name="t10nc1p" localSheetId="14">#REF!</definedName>
    <definedName name="t10nc1p" localSheetId="15">#REF!</definedName>
    <definedName name="t10nc1p" localSheetId="8">#REF!</definedName>
    <definedName name="t10nc1p">#REF!</definedName>
    <definedName name="t10vl1p" localSheetId="9">#REF!</definedName>
    <definedName name="t10vl1p" localSheetId="10">#REF!</definedName>
    <definedName name="t10vl1p" localSheetId="6">#REF!</definedName>
    <definedName name="t10vl1p" localSheetId="7">#REF!</definedName>
    <definedName name="t10vl1p" localSheetId="14">#REF!</definedName>
    <definedName name="t10vl1p" localSheetId="15">#REF!</definedName>
    <definedName name="t10vl1p" localSheetId="8">#REF!</definedName>
    <definedName name="t10vl1p">#REF!</definedName>
    <definedName name="t121p" localSheetId="9">#REF!</definedName>
    <definedName name="t121p" localSheetId="10">#REF!</definedName>
    <definedName name="t121p" localSheetId="6">#REF!</definedName>
    <definedName name="t121p" localSheetId="7">#REF!</definedName>
    <definedName name="t121p" localSheetId="14">#REF!</definedName>
    <definedName name="t121p" localSheetId="15">#REF!</definedName>
    <definedName name="t121p" localSheetId="8">#REF!</definedName>
    <definedName name="t121p">#REF!</definedName>
    <definedName name="t123p" localSheetId="9">#REF!</definedName>
    <definedName name="t123p" localSheetId="10">#REF!</definedName>
    <definedName name="t123p" localSheetId="6">#REF!</definedName>
    <definedName name="t123p" localSheetId="7">#REF!</definedName>
    <definedName name="t123p" localSheetId="14">#REF!</definedName>
    <definedName name="t123p" localSheetId="15">#REF!</definedName>
    <definedName name="t123p" localSheetId="8">#REF!</definedName>
    <definedName name="t123p">#REF!</definedName>
    <definedName name="T12nc" localSheetId="9">#REF!</definedName>
    <definedName name="T12nc" localSheetId="10">#REF!</definedName>
    <definedName name="T12nc" localSheetId="6">#REF!</definedName>
    <definedName name="T12nc" localSheetId="7">#REF!</definedName>
    <definedName name="T12nc" localSheetId="14">#REF!</definedName>
    <definedName name="T12nc" localSheetId="15">#REF!</definedName>
    <definedName name="T12nc" localSheetId="8">#REF!</definedName>
    <definedName name="T12nc">#REF!</definedName>
    <definedName name="t12nc3p" localSheetId="9">#REF!</definedName>
    <definedName name="t12nc3p" localSheetId="10">#REF!</definedName>
    <definedName name="t12nc3p" localSheetId="6">#REF!</definedName>
    <definedName name="t12nc3p" localSheetId="7">#REF!</definedName>
    <definedName name="t12nc3p" localSheetId="14">#REF!</definedName>
    <definedName name="t12nc3p" localSheetId="15">#REF!</definedName>
    <definedName name="t12nc3p" localSheetId="8">#REF!</definedName>
    <definedName name="t12nc3p">#REF!</definedName>
    <definedName name="T12vc" localSheetId="9">#REF!</definedName>
    <definedName name="T12vc" localSheetId="10">#REF!</definedName>
    <definedName name="T12vc" localSheetId="6">#REF!</definedName>
    <definedName name="T12vc" localSheetId="7">#REF!</definedName>
    <definedName name="T12vc" localSheetId="14">#REF!</definedName>
    <definedName name="T12vc" localSheetId="15">#REF!</definedName>
    <definedName name="T12vc" localSheetId="8">#REF!</definedName>
    <definedName name="T12vc">#REF!</definedName>
    <definedName name="T12vl" localSheetId="9">#REF!</definedName>
    <definedName name="T12vl" localSheetId="10">#REF!</definedName>
    <definedName name="T12vl" localSheetId="6">#REF!</definedName>
    <definedName name="T12vl" localSheetId="7">#REF!</definedName>
    <definedName name="T12vl" localSheetId="14">#REF!</definedName>
    <definedName name="T12vl" localSheetId="15">#REF!</definedName>
    <definedName name="T12vl" localSheetId="8">#REF!</definedName>
    <definedName name="T12vl">#REF!</definedName>
    <definedName name="t141p" localSheetId="9">#REF!</definedName>
    <definedName name="t141p" localSheetId="10">#REF!</definedName>
    <definedName name="t141p" localSheetId="6">#REF!</definedName>
    <definedName name="t141p" localSheetId="7">#REF!</definedName>
    <definedName name="t141p" localSheetId="14">#REF!</definedName>
    <definedName name="t141p" localSheetId="15">#REF!</definedName>
    <definedName name="t141p" localSheetId="8">#REF!</definedName>
    <definedName name="t141p">#REF!</definedName>
    <definedName name="t143p" localSheetId="9">#REF!</definedName>
    <definedName name="t143p" localSheetId="10">#REF!</definedName>
    <definedName name="t143p" localSheetId="6">#REF!</definedName>
    <definedName name="t143p" localSheetId="7">#REF!</definedName>
    <definedName name="t143p" localSheetId="14">#REF!</definedName>
    <definedName name="t143p" localSheetId="15">#REF!</definedName>
    <definedName name="t143p" localSheetId="8">#REF!</definedName>
    <definedName name="t143p">#REF!</definedName>
    <definedName name="t7m" localSheetId="9">#REF!</definedName>
    <definedName name="t7m" localSheetId="10">#REF!</definedName>
    <definedName name="t7m" localSheetId="6">#REF!</definedName>
    <definedName name="t7m" localSheetId="7">#REF!</definedName>
    <definedName name="t7m" localSheetId="14">#REF!</definedName>
    <definedName name="t7m" localSheetId="15">#REF!</definedName>
    <definedName name="t7m" localSheetId="8">#REF!</definedName>
    <definedName name="t7m">#REF!</definedName>
    <definedName name="t8m" localSheetId="9">#REF!</definedName>
    <definedName name="t8m" localSheetId="10">#REF!</definedName>
    <definedName name="t8m" localSheetId="6">#REF!</definedName>
    <definedName name="t8m" localSheetId="7">#REF!</definedName>
    <definedName name="t8m" localSheetId="14">#REF!</definedName>
    <definedName name="t8m" localSheetId="15">#REF!</definedName>
    <definedName name="t8m" localSheetId="8">#REF!</definedName>
    <definedName name="t8m">#REF!</definedName>
    <definedName name="Tæng_c_ng_suÊt_hiÖn_t_i">"THOP"</definedName>
    <definedName name="TAMTINH" localSheetId="9">#REF!</definedName>
    <definedName name="TAMTINH" localSheetId="10">#REF!</definedName>
    <definedName name="TAMTINH" localSheetId="6">#REF!</definedName>
    <definedName name="TAMTINH" localSheetId="7">#REF!</definedName>
    <definedName name="TAMTINH" localSheetId="14">#REF!</definedName>
    <definedName name="TAMTINH" localSheetId="15">#REF!</definedName>
    <definedName name="TAMTINH" localSheetId="8">#REF!</definedName>
    <definedName name="TAMTINH">#REF!</definedName>
    <definedName name="TaxTV">10%</definedName>
    <definedName name="TaxXL">5%</definedName>
    <definedName name="TBA" localSheetId="9">#REF!</definedName>
    <definedName name="TBA" localSheetId="10">#REF!</definedName>
    <definedName name="TBA" localSheetId="6">#REF!</definedName>
    <definedName name="TBA" localSheetId="7">#REF!</definedName>
    <definedName name="TBA" localSheetId="14">#REF!</definedName>
    <definedName name="TBA" localSheetId="15">#REF!</definedName>
    <definedName name="TBA" localSheetId="8">#REF!</definedName>
    <definedName name="TBA">#REF!</definedName>
    <definedName name="tbtram" localSheetId="9">#REF!</definedName>
    <definedName name="tbtram" localSheetId="10">#REF!</definedName>
    <definedName name="tbtram" localSheetId="6">#REF!</definedName>
    <definedName name="tbtram" localSheetId="7">#REF!</definedName>
    <definedName name="tbtram" localSheetId="14">#REF!</definedName>
    <definedName name="tbtram" localSheetId="15">#REF!</definedName>
    <definedName name="tbtram" localSheetId="8">#REF!</definedName>
    <definedName name="tbtram">#REF!</definedName>
    <definedName name="TBXD" localSheetId="9">#REF!</definedName>
    <definedName name="TBXD" localSheetId="10">#REF!</definedName>
    <definedName name="TBXD" localSheetId="6">#REF!</definedName>
    <definedName name="TBXD" localSheetId="7">#REF!</definedName>
    <definedName name="TBXD" localSheetId="14">#REF!</definedName>
    <definedName name="TBXD" localSheetId="15">#REF!</definedName>
    <definedName name="TBXD" localSheetId="8">#REF!</definedName>
    <definedName name="TBXD">#REF!</definedName>
    <definedName name="TC" localSheetId="9">#REF!</definedName>
    <definedName name="TC" localSheetId="10">#REF!</definedName>
    <definedName name="TC" localSheetId="6">#REF!</definedName>
    <definedName name="TC" localSheetId="7">#REF!</definedName>
    <definedName name="TC" localSheetId="14">#REF!</definedName>
    <definedName name="TC" localSheetId="15">#REF!</definedName>
    <definedName name="TC" localSheetId="8">#REF!</definedName>
    <definedName name="TC">#REF!</definedName>
    <definedName name="TC_NHANH1" localSheetId="9">#REF!</definedName>
    <definedName name="TC_NHANH1" localSheetId="10">#REF!</definedName>
    <definedName name="TC_NHANH1" localSheetId="6">#REF!</definedName>
    <definedName name="TC_NHANH1" localSheetId="7">#REF!</definedName>
    <definedName name="TC_NHANH1" localSheetId="14">#REF!</definedName>
    <definedName name="TC_NHANH1" localSheetId="15">#REF!</definedName>
    <definedName name="TC_NHANH1" localSheetId="8">#REF!</definedName>
    <definedName name="TC_NHANH1">#REF!</definedName>
    <definedName name="TD" localSheetId="9">#REF!</definedName>
    <definedName name="TD" localSheetId="10">#REF!</definedName>
    <definedName name="TD" localSheetId="6">#REF!</definedName>
    <definedName name="TD" localSheetId="7">#REF!</definedName>
    <definedName name="TD" localSheetId="14">#REF!</definedName>
    <definedName name="TD" localSheetId="15">#REF!</definedName>
    <definedName name="TD" localSheetId="8">#REF!</definedName>
    <definedName name="TD">#REF!</definedName>
    <definedName name="TD12vl" localSheetId="9">#REF!</definedName>
    <definedName name="TD12vl" localSheetId="10">#REF!</definedName>
    <definedName name="TD12vl" localSheetId="6">#REF!</definedName>
    <definedName name="TD12vl" localSheetId="7">#REF!</definedName>
    <definedName name="TD12vl" localSheetId="14">#REF!</definedName>
    <definedName name="TD12vl" localSheetId="15">#REF!</definedName>
    <definedName name="TD12vl" localSheetId="8">#REF!</definedName>
    <definedName name="TD12vl">#REF!</definedName>
    <definedName name="TD1p1nc" localSheetId="9">#REF!</definedName>
    <definedName name="TD1p1nc" localSheetId="10">#REF!</definedName>
    <definedName name="TD1p1nc" localSheetId="6">#REF!</definedName>
    <definedName name="TD1p1nc" localSheetId="7">#REF!</definedName>
    <definedName name="TD1p1nc" localSheetId="14">#REF!</definedName>
    <definedName name="TD1p1nc" localSheetId="15">#REF!</definedName>
    <definedName name="TD1p1nc" localSheetId="8">#REF!</definedName>
    <definedName name="TD1p1nc">#REF!</definedName>
    <definedName name="td1p1vc" localSheetId="9">#REF!</definedName>
    <definedName name="td1p1vc" localSheetId="10">#REF!</definedName>
    <definedName name="td1p1vc" localSheetId="6">#REF!</definedName>
    <definedName name="td1p1vc" localSheetId="7">#REF!</definedName>
    <definedName name="td1p1vc" localSheetId="14">#REF!</definedName>
    <definedName name="td1p1vc" localSheetId="15">#REF!</definedName>
    <definedName name="td1p1vc" localSheetId="8">#REF!</definedName>
    <definedName name="td1p1vc">#REF!</definedName>
    <definedName name="TD1p1vl" localSheetId="9">#REF!</definedName>
    <definedName name="TD1p1vl" localSheetId="10">#REF!</definedName>
    <definedName name="TD1p1vl" localSheetId="6">#REF!</definedName>
    <definedName name="TD1p1vl" localSheetId="7">#REF!</definedName>
    <definedName name="TD1p1vl" localSheetId="14">#REF!</definedName>
    <definedName name="TD1p1vl" localSheetId="15">#REF!</definedName>
    <definedName name="TD1p1vl" localSheetId="8">#REF!</definedName>
    <definedName name="TD1p1vl">#REF!</definedName>
    <definedName name="td3p" localSheetId="9">#REF!</definedName>
    <definedName name="td3p" localSheetId="10">#REF!</definedName>
    <definedName name="td3p" localSheetId="6">#REF!</definedName>
    <definedName name="td3p" localSheetId="7">#REF!</definedName>
    <definedName name="td3p" localSheetId="14">#REF!</definedName>
    <definedName name="td3p" localSheetId="15">#REF!</definedName>
    <definedName name="td3p" localSheetId="8">#REF!</definedName>
    <definedName name="td3p">#REF!</definedName>
    <definedName name="TDctnc" localSheetId="9">#REF!</definedName>
    <definedName name="TDctnc" localSheetId="10">#REF!</definedName>
    <definedName name="TDctnc" localSheetId="6">#REF!</definedName>
    <definedName name="TDctnc" localSheetId="7">#REF!</definedName>
    <definedName name="TDctnc" localSheetId="14">#REF!</definedName>
    <definedName name="TDctnc" localSheetId="15">#REF!</definedName>
    <definedName name="TDctnc" localSheetId="8">#REF!</definedName>
    <definedName name="TDctnc">#REF!</definedName>
    <definedName name="TDctvc" localSheetId="9">#REF!</definedName>
    <definedName name="TDctvc" localSheetId="10">#REF!</definedName>
    <definedName name="TDctvc" localSheetId="6">#REF!</definedName>
    <definedName name="TDctvc" localSheetId="7">#REF!</definedName>
    <definedName name="TDctvc" localSheetId="14">#REF!</definedName>
    <definedName name="TDctvc" localSheetId="15">#REF!</definedName>
    <definedName name="TDctvc" localSheetId="8">#REF!</definedName>
    <definedName name="TDctvc">#REF!</definedName>
    <definedName name="TDctvl" localSheetId="9">#REF!</definedName>
    <definedName name="TDctvl" localSheetId="10">#REF!</definedName>
    <definedName name="TDctvl" localSheetId="6">#REF!</definedName>
    <definedName name="TDctvl" localSheetId="7">#REF!</definedName>
    <definedName name="TDctvl" localSheetId="14">#REF!</definedName>
    <definedName name="TDctvl" localSheetId="15">#REF!</definedName>
    <definedName name="TDctvl" localSheetId="8">#REF!</definedName>
    <definedName name="TDctvl">#REF!</definedName>
    <definedName name="tdia" localSheetId="9">#REF!</definedName>
    <definedName name="tdia" localSheetId="10">#REF!</definedName>
    <definedName name="tdia" localSheetId="6">#REF!</definedName>
    <definedName name="tdia" localSheetId="7">#REF!</definedName>
    <definedName name="tdia" localSheetId="14">#REF!</definedName>
    <definedName name="tdia" localSheetId="15">#REF!</definedName>
    <definedName name="tdia" localSheetId="8">#REF!</definedName>
    <definedName name="tdia">#REF!</definedName>
    <definedName name="tdnc1p" localSheetId="9">#REF!</definedName>
    <definedName name="tdnc1p" localSheetId="10">#REF!</definedName>
    <definedName name="tdnc1p" localSheetId="6">#REF!</definedName>
    <definedName name="tdnc1p" localSheetId="7">#REF!</definedName>
    <definedName name="tdnc1p" localSheetId="14">#REF!</definedName>
    <definedName name="tdnc1p" localSheetId="15">#REF!</definedName>
    <definedName name="tdnc1p" localSheetId="8">#REF!</definedName>
    <definedName name="tdnc1p">#REF!</definedName>
    <definedName name="tdt" localSheetId="9">#REF!</definedName>
    <definedName name="tdt" localSheetId="10">#REF!</definedName>
    <definedName name="tdt" localSheetId="6">#REF!</definedName>
    <definedName name="tdt" localSheetId="7">#REF!</definedName>
    <definedName name="tdt" localSheetId="14">#REF!</definedName>
    <definedName name="tdt" localSheetId="15">#REF!</definedName>
    <definedName name="tdt" localSheetId="8">#REF!</definedName>
    <definedName name="tdt">#REF!</definedName>
    <definedName name="tdtr2cnc" localSheetId="9">#REF!</definedName>
    <definedName name="tdtr2cnc" localSheetId="10">#REF!</definedName>
    <definedName name="tdtr2cnc" localSheetId="6">#REF!</definedName>
    <definedName name="tdtr2cnc" localSheetId="7">#REF!</definedName>
    <definedName name="tdtr2cnc" localSheetId="14">#REF!</definedName>
    <definedName name="tdtr2cnc" localSheetId="15">#REF!</definedName>
    <definedName name="tdtr2cnc" localSheetId="8">#REF!</definedName>
    <definedName name="tdtr2cnc">#REF!</definedName>
    <definedName name="tdtr2cvl" localSheetId="9">#REF!</definedName>
    <definedName name="tdtr2cvl" localSheetId="10">#REF!</definedName>
    <definedName name="tdtr2cvl" localSheetId="6">#REF!</definedName>
    <definedName name="tdtr2cvl" localSheetId="7">#REF!</definedName>
    <definedName name="tdtr2cvl" localSheetId="14">#REF!</definedName>
    <definedName name="tdtr2cvl" localSheetId="15">#REF!</definedName>
    <definedName name="tdtr2cvl" localSheetId="8">#REF!</definedName>
    <definedName name="tdtr2cvl">#REF!</definedName>
    <definedName name="tdvl1p" localSheetId="9">#REF!</definedName>
    <definedName name="tdvl1p" localSheetId="10">#REF!</definedName>
    <definedName name="tdvl1p" localSheetId="6">#REF!</definedName>
    <definedName name="tdvl1p" localSheetId="7">#REF!</definedName>
    <definedName name="tdvl1p" localSheetId="14">#REF!</definedName>
    <definedName name="tdvl1p" localSheetId="15">#REF!</definedName>
    <definedName name="tdvl1p" localSheetId="8">#REF!</definedName>
    <definedName name="tdvl1p">#REF!</definedName>
    <definedName name="tenck" localSheetId="9">#REF!</definedName>
    <definedName name="tenck" localSheetId="10">#REF!</definedName>
    <definedName name="tenck" localSheetId="6">#REF!</definedName>
    <definedName name="tenck" localSheetId="7">#REF!</definedName>
    <definedName name="tenck" localSheetId="14">#REF!</definedName>
    <definedName name="tenck" localSheetId="15">#REF!</definedName>
    <definedName name="tenck" localSheetId="8">#REF!</definedName>
    <definedName name="tenck">#REF!</definedName>
    <definedName name="thang" localSheetId="9">#REF!</definedName>
    <definedName name="thang" localSheetId="10">#REF!</definedName>
    <definedName name="thang" localSheetId="6">#REF!</definedName>
    <definedName name="thang" localSheetId="7">#REF!</definedName>
    <definedName name="thang" localSheetId="14">#REF!</definedName>
    <definedName name="thang" localSheetId="15">#REF!</definedName>
    <definedName name="thang" localSheetId="8">#REF!</definedName>
    <definedName name="thang">#REF!</definedName>
    <definedName name="thanhtien" localSheetId="9">#REF!</definedName>
    <definedName name="thanhtien" localSheetId="10">#REF!</definedName>
    <definedName name="thanhtien" localSheetId="6">#REF!</definedName>
    <definedName name="thanhtien" localSheetId="7">#REF!</definedName>
    <definedName name="thanhtien" localSheetId="14">#REF!</definedName>
    <definedName name="thanhtien" localSheetId="15">#REF!</definedName>
    <definedName name="thanhtien" localSheetId="8">#REF!</definedName>
    <definedName name="thanhtien">#REF!</definedName>
    <definedName name="THchon" localSheetId="9">#REF!</definedName>
    <definedName name="THchon" localSheetId="10">#REF!</definedName>
    <definedName name="THchon" localSheetId="6">#REF!</definedName>
    <definedName name="THchon" localSheetId="7">#REF!</definedName>
    <definedName name="THchon" localSheetId="14">#REF!</definedName>
    <definedName name="THchon" localSheetId="15">#REF!</definedName>
    <definedName name="THchon" localSheetId="8">#REF!</definedName>
    <definedName name="THchon">#REF!</definedName>
    <definedName name="thdt" localSheetId="9">#REF!</definedName>
    <definedName name="thdt" localSheetId="10">#REF!</definedName>
    <definedName name="thdt" localSheetId="6">#REF!</definedName>
    <definedName name="thdt" localSheetId="7">#REF!</definedName>
    <definedName name="thdt" localSheetId="14">#REF!</definedName>
    <definedName name="thdt" localSheetId="15">#REF!</definedName>
    <definedName name="thdt" localSheetId="8">#REF!</definedName>
    <definedName name="thdt">#REF!</definedName>
    <definedName name="THDT_HT_DAO_THUONG" localSheetId="9">#REF!</definedName>
    <definedName name="THDT_HT_DAO_THUONG" localSheetId="10">#REF!</definedName>
    <definedName name="THDT_HT_DAO_THUONG" localSheetId="6">#REF!</definedName>
    <definedName name="THDT_HT_DAO_THUONG" localSheetId="7">#REF!</definedName>
    <definedName name="THDT_HT_DAO_THUONG" localSheetId="14">#REF!</definedName>
    <definedName name="THDT_HT_DAO_THUONG" localSheetId="15">#REF!</definedName>
    <definedName name="THDT_HT_DAO_THUONG" localSheetId="8">#REF!</definedName>
    <definedName name="THDT_HT_DAO_THUONG">#REF!</definedName>
    <definedName name="THDT_HT_XOM_NOI" localSheetId="9">#REF!</definedName>
    <definedName name="THDT_HT_XOM_NOI" localSheetId="10">#REF!</definedName>
    <definedName name="THDT_HT_XOM_NOI" localSheetId="6">#REF!</definedName>
    <definedName name="THDT_HT_XOM_NOI" localSheetId="7">#REF!</definedName>
    <definedName name="THDT_HT_XOM_NOI" localSheetId="14">#REF!</definedName>
    <definedName name="THDT_HT_XOM_NOI" localSheetId="15">#REF!</definedName>
    <definedName name="THDT_HT_XOM_NOI" localSheetId="8">#REF!</definedName>
    <definedName name="THDT_HT_XOM_NOI">#REF!</definedName>
    <definedName name="THDT_NPP_XOM_NOI" localSheetId="9">#REF!</definedName>
    <definedName name="THDT_NPP_XOM_NOI" localSheetId="10">#REF!</definedName>
    <definedName name="THDT_NPP_XOM_NOI" localSheetId="6">#REF!</definedName>
    <definedName name="THDT_NPP_XOM_NOI" localSheetId="7">#REF!</definedName>
    <definedName name="THDT_NPP_XOM_NOI" localSheetId="14">#REF!</definedName>
    <definedName name="THDT_NPP_XOM_NOI" localSheetId="15">#REF!</definedName>
    <definedName name="THDT_NPP_XOM_NOI" localSheetId="8">#REF!</definedName>
    <definedName name="THDT_NPP_XOM_NOI">#REF!</definedName>
    <definedName name="THDT_TBA_XOM_NOI" localSheetId="9">#REF!</definedName>
    <definedName name="THDT_TBA_XOM_NOI" localSheetId="10">#REF!</definedName>
    <definedName name="THDT_TBA_XOM_NOI" localSheetId="6">#REF!</definedName>
    <definedName name="THDT_TBA_XOM_NOI" localSheetId="7">#REF!</definedName>
    <definedName name="THDT_TBA_XOM_NOI" localSheetId="14">#REF!</definedName>
    <definedName name="THDT_TBA_XOM_NOI" localSheetId="15">#REF!</definedName>
    <definedName name="THDT_TBA_XOM_NOI" localSheetId="8">#REF!</definedName>
    <definedName name="THDT_TBA_XOM_NOI">#REF!</definedName>
    <definedName name="thepban" localSheetId="9">#REF!</definedName>
    <definedName name="thepban" localSheetId="10">#REF!</definedName>
    <definedName name="thepban" localSheetId="6">#REF!</definedName>
    <definedName name="thepban" localSheetId="7">#REF!</definedName>
    <definedName name="thepban" localSheetId="14">#REF!</definedName>
    <definedName name="thepban" localSheetId="15">#REF!</definedName>
    <definedName name="thepban" localSheetId="8">#REF!</definedName>
    <definedName name="thepban">#REF!</definedName>
    <definedName name="thepgoc25_60" localSheetId="9">#REF!</definedName>
    <definedName name="thepgoc25_60" localSheetId="10">#REF!</definedName>
    <definedName name="thepgoc25_60" localSheetId="6">#REF!</definedName>
    <definedName name="thepgoc25_60" localSheetId="7">#REF!</definedName>
    <definedName name="thepgoc25_60" localSheetId="14">#REF!</definedName>
    <definedName name="thepgoc25_60" localSheetId="15">#REF!</definedName>
    <definedName name="thepgoc25_60" localSheetId="8">#REF!</definedName>
    <definedName name="thepgoc25_60">#REF!</definedName>
    <definedName name="thepgoc63_75" localSheetId="9">#REF!</definedName>
    <definedName name="thepgoc63_75" localSheetId="10">#REF!</definedName>
    <definedName name="thepgoc63_75" localSheetId="6">#REF!</definedName>
    <definedName name="thepgoc63_75" localSheetId="7">#REF!</definedName>
    <definedName name="thepgoc63_75" localSheetId="14">#REF!</definedName>
    <definedName name="thepgoc63_75" localSheetId="15">#REF!</definedName>
    <definedName name="thepgoc63_75" localSheetId="8">#REF!</definedName>
    <definedName name="thepgoc63_75">#REF!</definedName>
    <definedName name="thepgoc80_100" localSheetId="9">#REF!</definedName>
    <definedName name="thepgoc80_100" localSheetId="10">#REF!</definedName>
    <definedName name="thepgoc80_100" localSheetId="6">#REF!</definedName>
    <definedName name="thepgoc80_100" localSheetId="7">#REF!</definedName>
    <definedName name="thepgoc80_100" localSheetId="14">#REF!</definedName>
    <definedName name="thepgoc80_100" localSheetId="15">#REF!</definedName>
    <definedName name="thepgoc80_100" localSheetId="8">#REF!</definedName>
    <definedName name="thepgoc80_100">#REF!</definedName>
    <definedName name="thepma">10500</definedName>
    <definedName name="theptron12" localSheetId="9">#REF!</definedName>
    <definedName name="theptron12" localSheetId="10">#REF!</definedName>
    <definedName name="theptron12" localSheetId="6">#REF!</definedName>
    <definedName name="theptron12" localSheetId="7">#REF!</definedName>
    <definedName name="theptron12" localSheetId="14">#REF!</definedName>
    <definedName name="theptron12" localSheetId="15">#REF!</definedName>
    <definedName name="theptron12" localSheetId="8">#REF!</definedName>
    <definedName name="theptron12">#REF!</definedName>
    <definedName name="theptron14_22" localSheetId="9">#REF!</definedName>
    <definedName name="theptron14_22" localSheetId="10">#REF!</definedName>
    <definedName name="theptron14_22" localSheetId="6">#REF!</definedName>
    <definedName name="theptron14_22" localSheetId="7">#REF!</definedName>
    <definedName name="theptron14_22" localSheetId="14">#REF!</definedName>
    <definedName name="theptron14_22" localSheetId="15">#REF!</definedName>
    <definedName name="theptron14_22" localSheetId="8">#REF!</definedName>
    <definedName name="theptron14_22">#REF!</definedName>
    <definedName name="theptron6_8" localSheetId="9">#REF!</definedName>
    <definedName name="theptron6_8" localSheetId="10">#REF!</definedName>
    <definedName name="theptron6_8" localSheetId="6">#REF!</definedName>
    <definedName name="theptron6_8" localSheetId="7">#REF!</definedName>
    <definedName name="theptron6_8" localSheetId="14">#REF!</definedName>
    <definedName name="theptron6_8" localSheetId="15">#REF!</definedName>
    <definedName name="theptron6_8" localSheetId="8">#REF!</definedName>
    <definedName name="theptron6_8">#REF!</definedName>
    <definedName name="thetichck" localSheetId="9">#REF!</definedName>
    <definedName name="thetichck" localSheetId="10">#REF!</definedName>
    <definedName name="thetichck" localSheetId="6">#REF!</definedName>
    <definedName name="thetichck" localSheetId="7">#REF!</definedName>
    <definedName name="thetichck" localSheetId="14">#REF!</definedName>
    <definedName name="thetichck" localSheetId="15">#REF!</definedName>
    <definedName name="thetichck" localSheetId="8">#REF!</definedName>
    <definedName name="thetichck">#REF!</definedName>
    <definedName name="THGO1pnc" localSheetId="9">#REF!</definedName>
    <definedName name="THGO1pnc" localSheetId="10">#REF!</definedName>
    <definedName name="THGO1pnc" localSheetId="6">#REF!</definedName>
    <definedName name="THGO1pnc" localSheetId="7">#REF!</definedName>
    <definedName name="THGO1pnc" localSheetId="14">#REF!</definedName>
    <definedName name="THGO1pnc" localSheetId="15">#REF!</definedName>
    <definedName name="THGO1pnc" localSheetId="8">#REF!</definedName>
    <definedName name="THGO1pnc">#REF!</definedName>
    <definedName name="thht" localSheetId="9">#REF!</definedName>
    <definedName name="thht" localSheetId="10">#REF!</definedName>
    <definedName name="thht" localSheetId="6">#REF!</definedName>
    <definedName name="thht" localSheetId="7">#REF!</definedName>
    <definedName name="thht" localSheetId="14">#REF!</definedName>
    <definedName name="thht" localSheetId="15">#REF!</definedName>
    <definedName name="thht" localSheetId="8">#REF!</definedName>
    <definedName name="thht">#REF!</definedName>
    <definedName name="THI" localSheetId="9">#REF!</definedName>
    <definedName name="THI" localSheetId="10">#REF!</definedName>
    <definedName name="THI" localSheetId="6">#REF!</definedName>
    <definedName name="THI" localSheetId="7">#REF!</definedName>
    <definedName name="THI" localSheetId="14">#REF!</definedName>
    <definedName name="THI" localSheetId="15">#REF!</definedName>
    <definedName name="THI" localSheetId="8">#REF!</definedName>
    <definedName name="THI">#REF!</definedName>
    <definedName name="thkp3" localSheetId="9">#REF!</definedName>
    <definedName name="thkp3" localSheetId="10">#REF!</definedName>
    <definedName name="thkp3" localSheetId="6">#REF!</definedName>
    <definedName name="thkp3" localSheetId="7">#REF!</definedName>
    <definedName name="thkp3" localSheetId="14">#REF!</definedName>
    <definedName name="thkp3" localSheetId="15">#REF!</definedName>
    <definedName name="thkp3" localSheetId="8">#REF!</definedName>
    <definedName name="thkp3">#REF!</definedName>
    <definedName name="THOP">"THOP"</definedName>
    <definedName name="THT" localSheetId="9">#REF!</definedName>
    <definedName name="THT" localSheetId="10">#REF!</definedName>
    <definedName name="THT" localSheetId="6">#REF!</definedName>
    <definedName name="THT" localSheetId="7">#REF!</definedName>
    <definedName name="THT" localSheetId="14">#REF!</definedName>
    <definedName name="THT" localSheetId="15">#REF!</definedName>
    <definedName name="THT" localSheetId="8">#REF!</definedName>
    <definedName name="THT">#REF!</definedName>
    <definedName name="thtich1" localSheetId="9">#REF!</definedName>
    <definedName name="thtich1" localSheetId="10">#REF!</definedName>
    <definedName name="thtich1" localSheetId="6">#REF!</definedName>
    <definedName name="thtich1" localSheetId="7">#REF!</definedName>
    <definedName name="thtich1" localSheetId="14">#REF!</definedName>
    <definedName name="thtich1" localSheetId="15">#REF!</definedName>
    <definedName name="thtich1" localSheetId="8">#REF!</definedName>
    <definedName name="thtich1">#REF!</definedName>
    <definedName name="thtich2" localSheetId="9">#REF!</definedName>
    <definedName name="thtich2" localSheetId="10">#REF!</definedName>
    <definedName name="thtich2" localSheetId="6">#REF!</definedName>
    <definedName name="thtich2" localSheetId="7">#REF!</definedName>
    <definedName name="thtich2" localSheetId="14">#REF!</definedName>
    <definedName name="thtich2" localSheetId="15">#REF!</definedName>
    <definedName name="thtich2" localSheetId="8">#REF!</definedName>
    <definedName name="thtich2">#REF!</definedName>
    <definedName name="thtich3" localSheetId="9">#REF!</definedName>
    <definedName name="thtich3" localSheetId="10">#REF!</definedName>
    <definedName name="thtich3" localSheetId="6">#REF!</definedName>
    <definedName name="thtich3" localSheetId="7">#REF!</definedName>
    <definedName name="thtich3" localSheetId="14">#REF!</definedName>
    <definedName name="thtich3" localSheetId="15">#REF!</definedName>
    <definedName name="thtich3" localSheetId="8">#REF!</definedName>
    <definedName name="thtich3">#REF!</definedName>
    <definedName name="thtich4" localSheetId="9">#REF!</definedName>
    <definedName name="thtich4" localSheetId="10">#REF!</definedName>
    <definedName name="thtich4" localSheetId="6">#REF!</definedName>
    <definedName name="thtich4" localSheetId="7">#REF!</definedName>
    <definedName name="thtich4" localSheetId="14">#REF!</definedName>
    <definedName name="thtich4" localSheetId="15">#REF!</definedName>
    <definedName name="thtich4" localSheetId="8">#REF!</definedName>
    <definedName name="thtich4">#REF!</definedName>
    <definedName name="thtich5" localSheetId="9">#REF!</definedName>
    <definedName name="thtich5" localSheetId="10">#REF!</definedName>
    <definedName name="thtich5" localSheetId="6">#REF!</definedName>
    <definedName name="thtich5" localSheetId="7">#REF!</definedName>
    <definedName name="thtich5" localSheetId="14">#REF!</definedName>
    <definedName name="thtich5" localSheetId="15">#REF!</definedName>
    <definedName name="thtich5" localSheetId="8">#REF!</definedName>
    <definedName name="thtich5">#REF!</definedName>
    <definedName name="thtich6" localSheetId="9">#REF!</definedName>
    <definedName name="thtich6" localSheetId="10">#REF!</definedName>
    <definedName name="thtich6" localSheetId="6">#REF!</definedName>
    <definedName name="thtich6" localSheetId="7">#REF!</definedName>
    <definedName name="thtich6" localSheetId="14">#REF!</definedName>
    <definedName name="thtich6" localSheetId="15">#REF!</definedName>
    <definedName name="thtich6" localSheetId="8">#REF!</definedName>
    <definedName name="thtich6">#REF!</definedName>
    <definedName name="thtt" localSheetId="9">#REF!</definedName>
    <definedName name="thtt" localSheetId="10">#REF!</definedName>
    <definedName name="thtt" localSheetId="6">#REF!</definedName>
    <definedName name="thtt" localSheetId="7">#REF!</definedName>
    <definedName name="thtt" localSheetId="14">#REF!</definedName>
    <definedName name="thtt" localSheetId="15">#REF!</definedName>
    <definedName name="thtt" localSheetId="8">#REF!</definedName>
    <definedName name="thtt">#REF!</definedName>
    <definedName name="Tien" localSheetId="9">#REF!</definedName>
    <definedName name="Tien" localSheetId="10">#REF!</definedName>
    <definedName name="Tien" localSheetId="6">#REF!</definedName>
    <definedName name="Tien" localSheetId="7">#REF!</definedName>
    <definedName name="Tien" localSheetId="14">#REF!</definedName>
    <definedName name="Tien" localSheetId="15">#REF!</definedName>
    <definedName name="Tien" localSheetId="8">#REF!</definedName>
    <definedName name="Tien">#REF!</definedName>
    <definedName name="TIENLUONG" localSheetId="9">#REF!</definedName>
    <definedName name="TIENLUONG" localSheetId="10">#REF!</definedName>
    <definedName name="TIENLUONG" localSheetId="6">#REF!</definedName>
    <definedName name="TIENLUONG" localSheetId="7">#REF!</definedName>
    <definedName name="TIENLUONG" localSheetId="14">#REF!</definedName>
    <definedName name="TIENLUONG" localSheetId="15">#REF!</definedName>
    <definedName name="TIENLUONG" localSheetId="8">#REF!</definedName>
    <definedName name="TIENLUONG">#REF!</definedName>
    <definedName name="Tiepdiama">9500</definedName>
    <definedName name="TIEU_HAO_VAT_TU_DZ0.4KV" localSheetId="9">#REF!</definedName>
    <definedName name="TIEU_HAO_VAT_TU_DZ0.4KV" localSheetId="10">#REF!</definedName>
    <definedName name="TIEU_HAO_VAT_TU_DZ0.4KV" localSheetId="6">#REF!</definedName>
    <definedName name="TIEU_HAO_VAT_TU_DZ0.4KV" localSheetId="7">#REF!</definedName>
    <definedName name="TIEU_HAO_VAT_TU_DZ0.4KV" localSheetId="14">#REF!</definedName>
    <definedName name="TIEU_HAO_VAT_TU_DZ0.4KV" localSheetId="15">#REF!</definedName>
    <definedName name="TIEU_HAO_VAT_TU_DZ0.4KV" localSheetId="8">#REF!</definedName>
    <definedName name="TIEU_HAO_VAT_TU_DZ0.4KV">#REF!</definedName>
    <definedName name="TIEU_HAO_VAT_TU_DZ22KV" localSheetId="9">#REF!</definedName>
    <definedName name="TIEU_HAO_VAT_TU_DZ22KV" localSheetId="10">#REF!</definedName>
    <definedName name="TIEU_HAO_VAT_TU_DZ22KV" localSheetId="6">#REF!</definedName>
    <definedName name="TIEU_HAO_VAT_TU_DZ22KV" localSheetId="7">#REF!</definedName>
    <definedName name="TIEU_HAO_VAT_TU_DZ22KV" localSheetId="14">#REF!</definedName>
    <definedName name="TIEU_HAO_VAT_TU_DZ22KV" localSheetId="15">#REF!</definedName>
    <definedName name="TIEU_HAO_VAT_TU_DZ22KV" localSheetId="8">#REF!</definedName>
    <definedName name="TIEU_HAO_VAT_TU_DZ22KV">#REF!</definedName>
    <definedName name="TIEU_HAO_VAT_TU_TBA" localSheetId="9">#REF!</definedName>
    <definedName name="TIEU_HAO_VAT_TU_TBA" localSheetId="10">#REF!</definedName>
    <definedName name="TIEU_HAO_VAT_TU_TBA" localSheetId="6">#REF!</definedName>
    <definedName name="TIEU_HAO_VAT_TU_TBA" localSheetId="7">#REF!</definedName>
    <definedName name="TIEU_HAO_VAT_TU_TBA" localSheetId="14">#REF!</definedName>
    <definedName name="TIEU_HAO_VAT_TU_TBA" localSheetId="15">#REF!</definedName>
    <definedName name="TIEU_HAO_VAT_TU_TBA" localSheetId="8">#REF!</definedName>
    <definedName name="TIEU_HAO_VAT_TU_TBA">#REF!</definedName>
    <definedName name="TIT" localSheetId="9">#REF!</definedName>
    <definedName name="TIT" localSheetId="10">#REF!</definedName>
    <definedName name="TIT" localSheetId="6">#REF!</definedName>
    <definedName name="TIT" localSheetId="7">#REF!</definedName>
    <definedName name="TIT" localSheetId="14">#REF!</definedName>
    <definedName name="TIT" localSheetId="15">#REF!</definedName>
    <definedName name="TIT" localSheetId="8">#REF!</definedName>
    <definedName name="TIT">#REF!</definedName>
    <definedName name="TITAN" localSheetId="9">#REF!</definedName>
    <definedName name="TITAN" localSheetId="10">#REF!</definedName>
    <definedName name="TITAN" localSheetId="6">#REF!</definedName>
    <definedName name="TITAN" localSheetId="7">#REF!</definedName>
    <definedName name="TITAN" localSheetId="14">#REF!</definedName>
    <definedName name="TITAN" localSheetId="15">#REF!</definedName>
    <definedName name="TITAN" localSheetId="8">#REF!</definedName>
    <definedName name="TITAN">#REF!</definedName>
    <definedName name="tk" localSheetId="9">#REF!</definedName>
    <definedName name="tk" localSheetId="10">#REF!</definedName>
    <definedName name="tk" localSheetId="6">#REF!</definedName>
    <definedName name="tk" localSheetId="7">#REF!</definedName>
    <definedName name="tk" localSheetId="14">#REF!</definedName>
    <definedName name="tk" localSheetId="15">#REF!</definedName>
    <definedName name="tk" localSheetId="8">#REF!</definedName>
    <definedName name="tk">#REF!</definedName>
    <definedName name="TKP" localSheetId="9">#REF!</definedName>
    <definedName name="TKP" localSheetId="10">#REF!</definedName>
    <definedName name="TKP" localSheetId="6">#REF!</definedName>
    <definedName name="TKP" localSheetId="7">#REF!</definedName>
    <definedName name="TKP" localSheetId="14">#REF!</definedName>
    <definedName name="TKP" localSheetId="15">#REF!</definedName>
    <definedName name="TKP" localSheetId="8">#REF!</definedName>
    <definedName name="TKP">#REF!</definedName>
    <definedName name="TLAC120" localSheetId="9">#REF!</definedName>
    <definedName name="TLAC120" localSheetId="10">#REF!</definedName>
    <definedName name="TLAC120" localSheetId="6">#REF!</definedName>
    <definedName name="TLAC120" localSheetId="7">#REF!</definedName>
    <definedName name="TLAC120" localSheetId="14">#REF!</definedName>
    <definedName name="TLAC120" localSheetId="15">#REF!</definedName>
    <definedName name="TLAC120" localSheetId="8">#REF!</definedName>
    <definedName name="TLAC120">#REF!</definedName>
    <definedName name="TLAC35" localSheetId="9">#REF!</definedName>
    <definedName name="TLAC35" localSheetId="10">#REF!</definedName>
    <definedName name="TLAC35" localSheetId="6">#REF!</definedName>
    <definedName name="TLAC35" localSheetId="7">#REF!</definedName>
    <definedName name="TLAC35" localSheetId="14">#REF!</definedName>
    <definedName name="TLAC35" localSheetId="15">#REF!</definedName>
    <definedName name="TLAC35" localSheetId="8">#REF!</definedName>
    <definedName name="TLAC35">#REF!</definedName>
    <definedName name="TLAC50" localSheetId="9">#REF!</definedName>
    <definedName name="TLAC50" localSheetId="10">#REF!</definedName>
    <definedName name="TLAC50" localSheetId="6">#REF!</definedName>
    <definedName name="TLAC50" localSheetId="7">#REF!</definedName>
    <definedName name="TLAC50" localSheetId="14">#REF!</definedName>
    <definedName name="TLAC50" localSheetId="15">#REF!</definedName>
    <definedName name="TLAC50" localSheetId="8">#REF!</definedName>
    <definedName name="TLAC50">#REF!</definedName>
    <definedName name="TLAC70" localSheetId="9">#REF!</definedName>
    <definedName name="TLAC70" localSheetId="10">#REF!</definedName>
    <definedName name="TLAC70" localSheetId="6">#REF!</definedName>
    <definedName name="TLAC70" localSheetId="7">#REF!</definedName>
    <definedName name="TLAC70" localSheetId="14">#REF!</definedName>
    <definedName name="TLAC70" localSheetId="15">#REF!</definedName>
    <definedName name="TLAC70" localSheetId="8">#REF!</definedName>
    <definedName name="TLAC70">#REF!</definedName>
    <definedName name="TLAC95" localSheetId="9">#REF!</definedName>
    <definedName name="TLAC95" localSheetId="10">#REF!</definedName>
    <definedName name="TLAC95" localSheetId="6">#REF!</definedName>
    <definedName name="TLAC95" localSheetId="7">#REF!</definedName>
    <definedName name="TLAC95" localSheetId="14">#REF!</definedName>
    <definedName name="TLAC95" localSheetId="15">#REF!</definedName>
    <definedName name="TLAC95" localSheetId="8">#REF!</definedName>
    <definedName name="TLAC95">#REF!</definedName>
    <definedName name="Tle" localSheetId="9">#REF!</definedName>
    <definedName name="Tle" localSheetId="10">#REF!</definedName>
    <definedName name="Tle" localSheetId="6">#REF!</definedName>
    <definedName name="Tle" localSheetId="7">#REF!</definedName>
    <definedName name="Tle" localSheetId="14">#REF!</definedName>
    <definedName name="Tle" localSheetId="15">#REF!</definedName>
    <definedName name="Tle" localSheetId="8">#REF!</definedName>
    <definedName name="Tle">#REF!</definedName>
    <definedName name="TONG_GIA_TRI_CONG_TRINH" localSheetId="9">#REF!</definedName>
    <definedName name="TONG_GIA_TRI_CONG_TRINH" localSheetId="10">#REF!</definedName>
    <definedName name="TONG_GIA_TRI_CONG_TRINH" localSheetId="6">#REF!</definedName>
    <definedName name="TONG_GIA_TRI_CONG_TRINH" localSheetId="7">#REF!</definedName>
    <definedName name="TONG_GIA_TRI_CONG_TRINH" localSheetId="14">#REF!</definedName>
    <definedName name="TONG_GIA_TRI_CONG_TRINH" localSheetId="15">#REF!</definedName>
    <definedName name="TONG_GIA_TRI_CONG_TRINH" localSheetId="8">#REF!</definedName>
    <definedName name="TONG_GIA_TRI_CONG_TRINH">#REF!</definedName>
    <definedName name="TONG_HOP_THI_NGHIEM_DZ0.4KV" localSheetId="9">#REF!</definedName>
    <definedName name="TONG_HOP_THI_NGHIEM_DZ0.4KV" localSheetId="10">#REF!</definedName>
    <definedName name="TONG_HOP_THI_NGHIEM_DZ0.4KV" localSheetId="6">#REF!</definedName>
    <definedName name="TONG_HOP_THI_NGHIEM_DZ0.4KV" localSheetId="7">#REF!</definedName>
    <definedName name="TONG_HOP_THI_NGHIEM_DZ0.4KV" localSheetId="14">#REF!</definedName>
    <definedName name="TONG_HOP_THI_NGHIEM_DZ0.4KV" localSheetId="15">#REF!</definedName>
    <definedName name="TONG_HOP_THI_NGHIEM_DZ0.4KV" localSheetId="8">#REF!</definedName>
    <definedName name="TONG_HOP_THI_NGHIEM_DZ0.4KV">#REF!</definedName>
    <definedName name="TONG_HOP_THI_NGHIEM_DZ22KV" localSheetId="9">#REF!</definedName>
    <definedName name="TONG_HOP_THI_NGHIEM_DZ22KV" localSheetId="10">#REF!</definedName>
    <definedName name="TONG_HOP_THI_NGHIEM_DZ22KV" localSheetId="6">#REF!</definedName>
    <definedName name="TONG_HOP_THI_NGHIEM_DZ22KV" localSheetId="7">#REF!</definedName>
    <definedName name="TONG_HOP_THI_NGHIEM_DZ22KV" localSheetId="14">#REF!</definedName>
    <definedName name="TONG_HOP_THI_NGHIEM_DZ22KV" localSheetId="15">#REF!</definedName>
    <definedName name="TONG_HOP_THI_NGHIEM_DZ22KV" localSheetId="8">#REF!</definedName>
    <definedName name="TONG_HOP_THI_NGHIEM_DZ22KV">#REF!</definedName>
    <definedName name="TONG_KE_TBA" localSheetId="9">#REF!</definedName>
    <definedName name="TONG_KE_TBA" localSheetId="10">#REF!</definedName>
    <definedName name="TONG_KE_TBA" localSheetId="6">#REF!</definedName>
    <definedName name="TONG_KE_TBA" localSheetId="7">#REF!</definedName>
    <definedName name="TONG_KE_TBA" localSheetId="14">#REF!</definedName>
    <definedName name="TONG_KE_TBA" localSheetId="15">#REF!</definedName>
    <definedName name="TONG_KE_TBA" localSheetId="8">#REF!</definedName>
    <definedName name="TONG_KE_TBA">#REF!</definedName>
    <definedName name="tongbt" localSheetId="9">#REF!</definedName>
    <definedName name="tongbt" localSheetId="10">#REF!</definedName>
    <definedName name="tongbt" localSheetId="6">#REF!</definedName>
    <definedName name="tongbt" localSheetId="7">#REF!</definedName>
    <definedName name="tongbt" localSheetId="14">#REF!</definedName>
    <definedName name="tongbt" localSheetId="15">#REF!</definedName>
    <definedName name="tongbt" localSheetId="8">#REF!</definedName>
    <definedName name="tongbt">#REF!</definedName>
    <definedName name="tongcong" localSheetId="9">#REF!</definedName>
    <definedName name="tongcong" localSheetId="10">#REF!</definedName>
    <definedName name="tongcong" localSheetId="6">#REF!</definedName>
    <definedName name="tongcong" localSheetId="7">#REF!</definedName>
    <definedName name="tongcong" localSheetId="14">#REF!</definedName>
    <definedName name="tongcong" localSheetId="15">#REF!</definedName>
    <definedName name="tongcong" localSheetId="8">#REF!</definedName>
    <definedName name="tongcong">#REF!</definedName>
    <definedName name="tongdientich" localSheetId="9">#REF!</definedName>
    <definedName name="tongdientich" localSheetId="10">#REF!</definedName>
    <definedName name="tongdientich" localSheetId="6">#REF!</definedName>
    <definedName name="tongdientich" localSheetId="7">#REF!</definedName>
    <definedName name="tongdientich" localSheetId="14">#REF!</definedName>
    <definedName name="tongdientich" localSheetId="15">#REF!</definedName>
    <definedName name="tongdientich" localSheetId="8">#REF!</definedName>
    <definedName name="tongdientich">#REF!</definedName>
    <definedName name="TONGDUTOAN" localSheetId="9">#REF!</definedName>
    <definedName name="TONGDUTOAN" localSheetId="10">#REF!</definedName>
    <definedName name="TONGDUTOAN" localSheetId="6">#REF!</definedName>
    <definedName name="TONGDUTOAN" localSheetId="7">#REF!</definedName>
    <definedName name="TONGDUTOAN" localSheetId="14">#REF!</definedName>
    <definedName name="TONGDUTOAN" localSheetId="15">#REF!</definedName>
    <definedName name="TONGDUTOAN" localSheetId="8">#REF!</definedName>
    <definedName name="TONGDUTOAN">#REF!</definedName>
    <definedName name="tongthep" localSheetId="9">#REF!</definedName>
    <definedName name="tongthep" localSheetId="10">#REF!</definedName>
    <definedName name="tongthep" localSheetId="6">#REF!</definedName>
    <definedName name="tongthep" localSheetId="7">#REF!</definedName>
    <definedName name="tongthep" localSheetId="14">#REF!</definedName>
    <definedName name="tongthep" localSheetId="15">#REF!</definedName>
    <definedName name="tongthep" localSheetId="8">#REF!</definedName>
    <definedName name="tongthep">#REF!</definedName>
    <definedName name="tongthetich" localSheetId="9">#REF!</definedName>
    <definedName name="tongthetich" localSheetId="10">#REF!</definedName>
    <definedName name="tongthetich" localSheetId="6">#REF!</definedName>
    <definedName name="tongthetich" localSheetId="7">#REF!</definedName>
    <definedName name="tongthetich" localSheetId="14">#REF!</definedName>
    <definedName name="tongthetich" localSheetId="15">#REF!</definedName>
    <definedName name="tongthetich" localSheetId="8">#REF!</definedName>
    <definedName name="tongthetich">#REF!</definedName>
    <definedName name="Tonmai" localSheetId="9">#REF!</definedName>
    <definedName name="Tonmai" localSheetId="10">#REF!</definedName>
    <definedName name="Tonmai" localSheetId="6">#REF!</definedName>
    <definedName name="Tonmai" localSheetId="7">#REF!</definedName>
    <definedName name="Tonmai" localSheetId="14">#REF!</definedName>
    <definedName name="Tonmai" localSheetId="15">#REF!</definedName>
    <definedName name="Tonmai" localSheetId="8">#REF!</definedName>
    <definedName name="Tonmai">#REF!</definedName>
    <definedName name="TPLRP" localSheetId="9">#REF!</definedName>
    <definedName name="TPLRP" localSheetId="10">#REF!</definedName>
    <definedName name="TPLRP" localSheetId="6">#REF!</definedName>
    <definedName name="TPLRP" localSheetId="7">#REF!</definedName>
    <definedName name="TPLRP" localSheetId="14">#REF!</definedName>
    <definedName name="TPLRP" localSheetId="15">#REF!</definedName>
    <definedName name="TPLRP" localSheetId="8">#REF!</definedName>
    <definedName name="TPLRP">#REF!</definedName>
    <definedName name="Tra_DM_su_dung" localSheetId="9">#REF!</definedName>
    <definedName name="Tra_DM_su_dung" localSheetId="10">#REF!</definedName>
    <definedName name="Tra_DM_su_dung" localSheetId="6">#REF!</definedName>
    <definedName name="Tra_DM_su_dung" localSheetId="7">#REF!</definedName>
    <definedName name="Tra_DM_su_dung" localSheetId="14">#REF!</definedName>
    <definedName name="Tra_DM_su_dung" localSheetId="15">#REF!</definedName>
    <definedName name="Tra_DM_su_dung" localSheetId="8">#REF!</definedName>
    <definedName name="Tra_DM_su_dung">#REF!</definedName>
    <definedName name="Tra_don_gia_KS" localSheetId="9">#REF!</definedName>
    <definedName name="Tra_don_gia_KS" localSheetId="10">#REF!</definedName>
    <definedName name="Tra_don_gia_KS" localSheetId="6">#REF!</definedName>
    <definedName name="Tra_don_gia_KS" localSheetId="7">#REF!</definedName>
    <definedName name="Tra_don_gia_KS" localSheetId="14">#REF!</definedName>
    <definedName name="Tra_don_gia_KS" localSheetId="15">#REF!</definedName>
    <definedName name="Tra_don_gia_KS" localSheetId="8">#REF!</definedName>
    <definedName name="Tra_don_gia_KS">#REF!</definedName>
    <definedName name="Tra_DTCT" localSheetId="9">#REF!</definedName>
    <definedName name="Tra_DTCT" localSheetId="10">#REF!</definedName>
    <definedName name="Tra_DTCT" localSheetId="6">#REF!</definedName>
    <definedName name="Tra_DTCT" localSheetId="7">#REF!</definedName>
    <definedName name="Tra_DTCT" localSheetId="14">#REF!</definedName>
    <definedName name="Tra_DTCT" localSheetId="15">#REF!</definedName>
    <definedName name="Tra_DTCT" localSheetId="8">#REF!</definedName>
    <definedName name="Tra_DTCT">#REF!</definedName>
    <definedName name="Tra_tim_hang_mucPT_trung" localSheetId="9">#REF!</definedName>
    <definedName name="Tra_tim_hang_mucPT_trung" localSheetId="10">#REF!</definedName>
    <definedName name="Tra_tim_hang_mucPT_trung" localSheetId="6">#REF!</definedName>
    <definedName name="Tra_tim_hang_mucPT_trung" localSheetId="7">#REF!</definedName>
    <definedName name="Tra_tim_hang_mucPT_trung" localSheetId="14">#REF!</definedName>
    <definedName name="Tra_tim_hang_mucPT_trung" localSheetId="15">#REF!</definedName>
    <definedName name="Tra_tim_hang_mucPT_trung" localSheetId="8">#REF!</definedName>
    <definedName name="Tra_tim_hang_mucPT_trung">#REF!</definedName>
    <definedName name="Tra_TL" localSheetId="9">#REF!</definedName>
    <definedName name="Tra_TL" localSheetId="10">#REF!</definedName>
    <definedName name="Tra_TL" localSheetId="6">#REF!</definedName>
    <definedName name="Tra_TL" localSheetId="7">#REF!</definedName>
    <definedName name="Tra_TL" localSheetId="14">#REF!</definedName>
    <definedName name="Tra_TL" localSheetId="15">#REF!</definedName>
    <definedName name="Tra_TL" localSheetId="8">#REF!</definedName>
    <definedName name="Tra_TL">#REF!</definedName>
    <definedName name="Tra_ty_le2" localSheetId="9">#REF!</definedName>
    <definedName name="Tra_ty_le2" localSheetId="10">#REF!</definedName>
    <definedName name="Tra_ty_le2" localSheetId="6">#REF!</definedName>
    <definedName name="Tra_ty_le2" localSheetId="7">#REF!</definedName>
    <definedName name="Tra_ty_le2" localSheetId="14">#REF!</definedName>
    <definedName name="Tra_ty_le2" localSheetId="15">#REF!</definedName>
    <definedName name="Tra_ty_le2" localSheetId="8">#REF!</definedName>
    <definedName name="Tra_ty_le2">#REF!</definedName>
    <definedName name="Tra_ty_le3" localSheetId="9">#REF!</definedName>
    <definedName name="Tra_ty_le3" localSheetId="10">#REF!</definedName>
    <definedName name="Tra_ty_le3" localSheetId="6">#REF!</definedName>
    <definedName name="Tra_ty_le3" localSheetId="7">#REF!</definedName>
    <definedName name="Tra_ty_le3" localSheetId="14">#REF!</definedName>
    <definedName name="Tra_ty_le3" localSheetId="15">#REF!</definedName>
    <definedName name="Tra_ty_le3" localSheetId="8">#REF!</definedName>
    <definedName name="Tra_ty_le3">#REF!</definedName>
    <definedName name="Tra_ty_le4" localSheetId="9">#REF!</definedName>
    <definedName name="Tra_ty_le4" localSheetId="10">#REF!</definedName>
    <definedName name="Tra_ty_le4" localSheetId="6">#REF!</definedName>
    <definedName name="Tra_ty_le4" localSheetId="7">#REF!</definedName>
    <definedName name="Tra_ty_le4" localSheetId="14">#REF!</definedName>
    <definedName name="Tra_ty_le4" localSheetId="15">#REF!</definedName>
    <definedName name="Tra_ty_le4" localSheetId="8">#REF!</definedName>
    <definedName name="Tra_ty_le4">#REF!</definedName>
    <definedName name="Tra_ty_le5" localSheetId="9">#REF!</definedName>
    <definedName name="Tra_ty_le5" localSheetId="10">#REF!</definedName>
    <definedName name="Tra_ty_le5" localSheetId="6">#REF!</definedName>
    <definedName name="Tra_ty_le5" localSheetId="7">#REF!</definedName>
    <definedName name="Tra_ty_le5" localSheetId="14">#REF!</definedName>
    <definedName name="Tra_ty_le5" localSheetId="15">#REF!</definedName>
    <definedName name="Tra_ty_le5" localSheetId="8">#REF!</definedName>
    <definedName name="Tra_ty_le5">#REF!</definedName>
    <definedName name="TRADE2" localSheetId="9">#REF!</definedName>
    <definedName name="TRADE2" localSheetId="10">#REF!</definedName>
    <definedName name="TRADE2" localSheetId="6">#REF!</definedName>
    <definedName name="TRADE2" localSheetId="7">#REF!</definedName>
    <definedName name="TRADE2" localSheetId="14">#REF!</definedName>
    <definedName name="TRADE2" localSheetId="15">#REF!</definedName>
    <definedName name="TRADE2" localSheetId="8">#REF!</definedName>
    <definedName name="TRADE2">#REF!</definedName>
    <definedName name="TRAM" localSheetId="9">#REF!</definedName>
    <definedName name="TRAM" localSheetId="10">#REF!</definedName>
    <definedName name="TRAM" localSheetId="6">#REF!</definedName>
    <definedName name="TRAM" localSheetId="7">#REF!</definedName>
    <definedName name="TRAM" localSheetId="14">#REF!</definedName>
    <definedName name="TRAM" localSheetId="15">#REF!</definedName>
    <definedName name="TRAM" localSheetId="8">#REF!</definedName>
    <definedName name="TRAM">#REF!</definedName>
    <definedName name="trt" localSheetId="9">#REF!</definedName>
    <definedName name="trt" localSheetId="10">#REF!</definedName>
    <definedName name="trt" localSheetId="6">#REF!</definedName>
    <definedName name="trt" localSheetId="7">#REF!</definedName>
    <definedName name="trt" localSheetId="14">#REF!</definedName>
    <definedName name="trt" localSheetId="15">#REF!</definedName>
    <definedName name="trt" localSheetId="8">#REF!</definedName>
    <definedName name="trt">#REF!</definedName>
    <definedName name="TT_1P" localSheetId="9">#REF!</definedName>
    <definedName name="TT_1P" localSheetId="10">#REF!</definedName>
    <definedName name="TT_1P" localSheetId="6">#REF!</definedName>
    <definedName name="TT_1P" localSheetId="7">#REF!</definedName>
    <definedName name="TT_1P" localSheetId="14">#REF!</definedName>
    <definedName name="TT_1P" localSheetId="15">#REF!</definedName>
    <definedName name="TT_1P" localSheetId="8">#REF!</definedName>
    <definedName name="TT_1P">#REF!</definedName>
    <definedName name="TT_3p" localSheetId="9">#REF!</definedName>
    <definedName name="TT_3p" localSheetId="10">#REF!</definedName>
    <definedName name="TT_3p" localSheetId="6">#REF!</definedName>
    <definedName name="TT_3p" localSheetId="7">#REF!</definedName>
    <definedName name="TT_3p" localSheetId="14">#REF!</definedName>
    <definedName name="TT_3p" localSheetId="15">#REF!</definedName>
    <definedName name="TT_3p" localSheetId="8">#REF!</definedName>
    <definedName name="TT_3p">#REF!</definedName>
    <definedName name="TTDD1P" localSheetId="9">#REF!</definedName>
    <definedName name="TTDD1P" localSheetId="10">#REF!</definedName>
    <definedName name="TTDD1P" localSheetId="6">#REF!</definedName>
    <definedName name="TTDD1P" localSheetId="7">#REF!</definedName>
    <definedName name="TTDD1P" localSheetId="14">#REF!</definedName>
    <definedName name="TTDD1P" localSheetId="15">#REF!</definedName>
    <definedName name="TTDD1P" localSheetId="8">#REF!</definedName>
    <definedName name="TTDD1P">#REF!</definedName>
    <definedName name="TTDKKH" localSheetId="9">#REF!</definedName>
    <definedName name="TTDKKH" localSheetId="10">#REF!</definedName>
    <definedName name="TTDKKH" localSheetId="6">#REF!</definedName>
    <definedName name="TTDKKH" localSheetId="7">#REF!</definedName>
    <definedName name="TTDKKH" localSheetId="14">#REF!</definedName>
    <definedName name="TTDKKH" localSheetId="15">#REF!</definedName>
    <definedName name="TTDKKH" localSheetId="8">#REF!</definedName>
    <definedName name="TTDKKH">#REF!</definedName>
    <definedName name="tthi" localSheetId="9">#REF!</definedName>
    <definedName name="tthi" localSheetId="10">#REF!</definedName>
    <definedName name="tthi" localSheetId="6">#REF!</definedName>
    <definedName name="tthi" localSheetId="7">#REF!</definedName>
    <definedName name="tthi" localSheetId="14">#REF!</definedName>
    <definedName name="tthi" localSheetId="15">#REF!</definedName>
    <definedName name="tthi" localSheetId="8">#REF!</definedName>
    <definedName name="tthi">#REF!</definedName>
    <definedName name="ttronmk" localSheetId="9">#REF!</definedName>
    <definedName name="ttronmk" localSheetId="10">#REF!</definedName>
    <definedName name="ttronmk" localSheetId="6">#REF!</definedName>
    <definedName name="ttronmk" localSheetId="7">#REF!</definedName>
    <definedName name="ttronmk" localSheetId="14">#REF!</definedName>
    <definedName name="ttronmk" localSheetId="15">#REF!</definedName>
    <definedName name="ttronmk" localSheetId="8">#REF!</definedName>
    <definedName name="ttronmk">#REF!</definedName>
    <definedName name="tv75nc" localSheetId="9">#REF!</definedName>
    <definedName name="tv75nc" localSheetId="10">#REF!</definedName>
    <definedName name="tv75nc" localSheetId="6">#REF!</definedName>
    <definedName name="tv75nc" localSheetId="7">#REF!</definedName>
    <definedName name="tv75nc" localSheetId="14">#REF!</definedName>
    <definedName name="tv75nc" localSheetId="15">#REF!</definedName>
    <definedName name="tv75nc" localSheetId="8">#REF!</definedName>
    <definedName name="tv75nc">#REF!</definedName>
    <definedName name="tv75vl" localSheetId="9">#REF!</definedName>
    <definedName name="tv75vl" localSheetId="10">#REF!</definedName>
    <definedName name="tv75vl" localSheetId="6">#REF!</definedName>
    <definedName name="tv75vl" localSheetId="7">#REF!</definedName>
    <definedName name="tv75vl" localSheetId="14">#REF!</definedName>
    <definedName name="tv75vl" localSheetId="15">#REF!</definedName>
    <definedName name="tv75vl" localSheetId="8">#REF!</definedName>
    <definedName name="tv75vl">#REF!</definedName>
    <definedName name="ty_le" localSheetId="9">#REF!</definedName>
    <definedName name="ty_le" localSheetId="10">#REF!</definedName>
    <definedName name="ty_le" localSheetId="6">#REF!</definedName>
    <definedName name="ty_le" localSheetId="7">#REF!</definedName>
    <definedName name="ty_le" localSheetId="14">#REF!</definedName>
    <definedName name="ty_le" localSheetId="15">#REF!</definedName>
    <definedName name="ty_le" localSheetId="8">#REF!</definedName>
    <definedName name="ty_le">#REF!</definedName>
    <definedName name="ty_le_BTN" localSheetId="9">#REF!</definedName>
    <definedName name="ty_le_BTN" localSheetId="10">#REF!</definedName>
    <definedName name="ty_le_BTN" localSheetId="6">#REF!</definedName>
    <definedName name="ty_le_BTN" localSheetId="7">#REF!</definedName>
    <definedName name="ty_le_BTN" localSheetId="14">#REF!</definedName>
    <definedName name="ty_le_BTN" localSheetId="15">#REF!</definedName>
    <definedName name="ty_le_BTN" localSheetId="8">#REF!</definedName>
    <definedName name="ty_le_BTN">#REF!</definedName>
    <definedName name="Ty_le1" localSheetId="9">#REF!</definedName>
    <definedName name="Ty_le1" localSheetId="10">#REF!</definedName>
    <definedName name="Ty_le1" localSheetId="6">#REF!</definedName>
    <definedName name="Ty_le1" localSheetId="7">#REF!</definedName>
    <definedName name="Ty_le1" localSheetId="14">#REF!</definedName>
    <definedName name="Ty_le1" localSheetId="15">#REF!</definedName>
    <definedName name="Ty_le1" localSheetId="8">#REF!</definedName>
    <definedName name="Ty_le1">#REF!</definedName>
    <definedName name="upnoc" localSheetId="9">#REF!</definedName>
    <definedName name="upnoc" localSheetId="10">#REF!</definedName>
    <definedName name="upnoc" localSheetId="6">#REF!</definedName>
    <definedName name="upnoc" localSheetId="7">#REF!</definedName>
    <definedName name="upnoc" localSheetId="14">#REF!</definedName>
    <definedName name="upnoc" localSheetId="15">#REF!</definedName>
    <definedName name="upnoc" localSheetId="8">#REF!</definedName>
    <definedName name="upnoc">#REF!</definedName>
    <definedName name="uu" localSheetId="9">#REF!</definedName>
    <definedName name="uu" localSheetId="10">#REF!</definedName>
    <definedName name="uu" localSheetId="6">#REF!</definedName>
    <definedName name="uu" localSheetId="7">#REF!</definedName>
    <definedName name="uu" localSheetId="14">#REF!</definedName>
    <definedName name="uu" localSheetId="15">#REF!</definedName>
    <definedName name="uu" localSheetId="8">#REF!</definedName>
    <definedName name="uu">#REF!</definedName>
    <definedName name="Value0" localSheetId="9">#REF!</definedName>
    <definedName name="Value0" localSheetId="10">#REF!</definedName>
    <definedName name="Value0" localSheetId="6">#REF!</definedName>
    <definedName name="Value0" localSheetId="7">#REF!</definedName>
    <definedName name="Value0" localSheetId="14">#REF!</definedName>
    <definedName name="Value0" localSheetId="15">#REF!</definedName>
    <definedName name="Value0" localSheetId="8">#REF!</definedName>
    <definedName name="Value0">#REF!</definedName>
    <definedName name="Value1" localSheetId="9">#REF!</definedName>
    <definedName name="Value1" localSheetId="10">#REF!</definedName>
    <definedName name="Value1" localSheetId="6">#REF!</definedName>
    <definedName name="Value1" localSheetId="7">#REF!</definedName>
    <definedName name="Value1" localSheetId="14">#REF!</definedName>
    <definedName name="Value1" localSheetId="15">#REF!</definedName>
    <definedName name="Value1" localSheetId="8">#REF!</definedName>
    <definedName name="Value1">#REF!</definedName>
    <definedName name="Value10" localSheetId="9">#REF!</definedName>
    <definedName name="Value10" localSheetId="10">#REF!</definedName>
    <definedName name="Value10" localSheetId="6">#REF!</definedName>
    <definedName name="Value10" localSheetId="7">#REF!</definedName>
    <definedName name="Value10" localSheetId="14">#REF!</definedName>
    <definedName name="Value10" localSheetId="15">#REF!</definedName>
    <definedName name="Value10" localSheetId="8">#REF!</definedName>
    <definedName name="Value10">#REF!</definedName>
    <definedName name="Value11" localSheetId="9">#REF!</definedName>
    <definedName name="Value11" localSheetId="10">#REF!</definedName>
    <definedName name="Value11" localSheetId="6">#REF!</definedName>
    <definedName name="Value11" localSheetId="7">#REF!</definedName>
    <definedName name="Value11" localSheetId="14">#REF!</definedName>
    <definedName name="Value11" localSheetId="15">#REF!</definedName>
    <definedName name="Value11" localSheetId="8">#REF!</definedName>
    <definedName name="Value11">#REF!</definedName>
    <definedName name="Value12" localSheetId="9">#REF!</definedName>
    <definedName name="Value12" localSheetId="10">#REF!</definedName>
    <definedName name="Value12" localSheetId="6">#REF!</definedName>
    <definedName name="Value12" localSheetId="7">#REF!</definedName>
    <definedName name="Value12" localSheetId="14">#REF!</definedName>
    <definedName name="Value12" localSheetId="15">#REF!</definedName>
    <definedName name="Value12" localSheetId="8">#REF!</definedName>
    <definedName name="Value12">#REF!</definedName>
    <definedName name="Value13" localSheetId="9">#REF!</definedName>
    <definedName name="Value13" localSheetId="10">#REF!</definedName>
    <definedName name="Value13" localSheetId="6">#REF!</definedName>
    <definedName name="Value13" localSheetId="7">#REF!</definedName>
    <definedName name="Value13" localSheetId="14">#REF!</definedName>
    <definedName name="Value13" localSheetId="15">#REF!</definedName>
    <definedName name="Value13" localSheetId="8">#REF!</definedName>
    <definedName name="Value13">#REF!</definedName>
    <definedName name="Value14" localSheetId="9">#REF!</definedName>
    <definedName name="Value14" localSheetId="10">#REF!</definedName>
    <definedName name="Value14" localSheetId="6">#REF!</definedName>
    <definedName name="Value14" localSheetId="7">#REF!</definedName>
    <definedName name="Value14" localSheetId="14">#REF!</definedName>
    <definedName name="Value14" localSheetId="15">#REF!</definedName>
    <definedName name="Value14" localSheetId="8">#REF!</definedName>
    <definedName name="Value14">#REF!</definedName>
    <definedName name="Value15" localSheetId="9">#REF!</definedName>
    <definedName name="Value15" localSheetId="10">#REF!</definedName>
    <definedName name="Value15" localSheetId="6">#REF!</definedName>
    <definedName name="Value15" localSheetId="7">#REF!</definedName>
    <definedName name="Value15" localSheetId="14">#REF!</definedName>
    <definedName name="Value15" localSheetId="15">#REF!</definedName>
    <definedName name="Value15" localSheetId="8">#REF!</definedName>
    <definedName name="Value15">#REF!</definedName>
    <definedName name="Value16" localSheetId="9">#REF!</definedName>
    <definedName name="Value16" localSheetId="10">#REF!</definedName>
    <definedName name="Value16" localSheetId="6">#REF!</definedName>
    <definedName name="Value16" localSheetId="7">#REF!</definedName>
    <definedName name="Value16" localSheetId="14">#REF!</definedName>
    <definedName name="Value16" localSheetId="15">#REF!</definedName>
    <definedName name="Value16" localSheetId="8">#REF!</definedName>
    <definedName name="Value16">#REF!</definedName>
    <definedName name="Value17" localSheetId="9">#REF!</definedName>
    <definedName name="Value17" localSheetId="10">#REF!</definedName>
    <definedName name="Value17" localSheetId="6">#REF!</definedName>
    <definedName name="Value17" localSheetId="7">#REF!</definedName>
    <definedName name="Value17" localSheetId="14">#REF!</definedName>
    <definedName name="Value17" localSheetId="15">#REF!</definedName>
    <definedName name="Value17" localSheetId="8">#REF!</definedName>
    <definedName name="Value17">#REF!</definedName>
    <definedName name="Value18" localSheetId="9">#REF!</definedName>
    <definedName name="Value18" localSheetId="10">#REF!</definedName>
    <definedName name="Value18" localSheetId="6">#REF!</definedName>
    <definedName name="Value18" localSheetId="7">#REF!</definedName>
    <definedName name="Value18" localSheetId="14">#REF!</definedName>
    <definedName name="Value18" localSheetId="15">#REF!</definedName>
    <definedName name="Value18" localSheetId="8">#REF!</definedName>
    <definedName name="Value18">#REF!</definedName>
    <definedName name="Value19" localSheetId="9">#REF!</definedName>
    <definedName name="Value19" localSheetId="10">#REF!</definedName>
    <definedName name="Value19" localSheetId="6">#REF!</definedName>
    <definedName name="Value19" localSheetId="7">#REF!</definedName>
    <definedName name="Value19" localSheetId="14">#REF!</definedName>
    <definedName name="Value19" localSheetId="15">#REF!</definedName>
    <definedName name="Value19" localSheetId="8">#REF!</definedName>
    <definedName name="Value19">#REF!</definedName>
    <definedName name="Value2" localSheetId="9">#REF!</definedName>
    <definedName name="Value2" localSheetId="10">#REF!</definedName>
    <definedName name="Value2" localSheetId="6">#REF!</definedName>
    <definedName name="Value2" localSheetId="7">#REF!</definedName>
    <definedName name="Value2" localSheetId="14">#REF!</definedName>
    <definedName name="Value2" localSheetId="15">#REF!</definedName>
    <definedName name="Value2" localSheetId="8">#REF!</definedName>
    <definedName name="Value2">#REF!</definedName>
    <definedName name="Value20" localSheetId="9">#REF!</definedName>
    <definedName name="Value20" localSheetId="10">#REF!</definedName>
    <definedName name="Value20" localSheetId="6">#REF!</definedName>
    <definedName name="Value20" localSheetId="7">#REF!</definedName>
    <definedName name="Value20" localSheetId="14">#REF!</definedName>
    <definedName name="Value20" localSheetId="15">#REF!</definedName>
    <definedName name="Value20" localSheetId="8">#REF!</definedName>
    <definedName name="Value20">#REF!</definedName>
    <definedName name="Value21" localSheetId="9">#REF!</definedName>
    <definedName name="Value21" localSheetId="10">#REF!</definedName>
    <definedName name="Value21" localSheetId="6">#REF!</definedName>
    <definedName name="Value21" localSheetId="7">#REF!</definedName>
    <definedName name="Value21" localSheetId="14">#REF!</definedName>
    <definedName name="Value21" localSheetId="15">#REF!</definedName>
    <definedName name="Value21" localSheetId="8">#REF!</definedName>
    <definedName name="Value21">#REF!</definedName>
    <definedName name="Value22" localSheetId="9">#REF!</definedName>
    <definedName name="Value22" localSheetId="10">#REF!</definedName>
    <definedName name="Value22" localSheetId="6">#REF!</definedName>
    <definedName name="Value22" localSheetId="7">#REF!</definedName>
    <definedName name="Value22" localSheetId="14">#REF!</definedName>
    <definedName name="Value22" localSheetId="15">#REF!</definedName>
    <definedName name="Value22" localSheetId="8">#REF!</definedName>
    <definedName name="Value22">#REF!</definedName>
    <definedName name="Value23" localSheetId="9">#REF!</definedName>
    <definedName name="Value23" localSheetId="10">#REF!</definedName>
    <definedName name="Value23" localSheetId="6">#REF!</definedName>
    <definedName name="Value23" localSheetId="7">#REF!</definedName>
    <definedName name="Value23" localSheetId="14">#REF!</definedName>
    <definedName name="Value23" localSheetId="15">#REF!</definedName>
    <definedName name="Value23" localSheetId="8">#REF!</definedName>
    <definedName name="Value23">#REF!</definedName>
    <definedName name="Value24" localSheetId="9">#REF!</definedName>
    <definedName name="Value24" localSheetId="10">#REF!</definedName>
    <definedName name="Value24" localSheetId="6">#REF!</definedName>
    <definedName name="Value24" localSheetId="7">#REF!</definedName>
    <definedName name="Value24" localSheetId="14">#REF!</definedName>
    <definedName name="Value24" localSheetId="15">#REF!</definedName>
    <definedName name="Value24" localSheetId="8">#REF!</definedName>
    <definedName name="Value24">#REF!</definedName>
    <definedName name="Value25" localSheetId="9">#REF!</definedName>
    <definedName name="Value25" localSheetId="10">#REF!</definedName>
    <definedName name="Value25" localSheetId="6">#REF!</definedName>
    <definedName name="Value25" localSheetId="7">#REF!</definedName>
    <definedName name="Value25" localSheetId="14">#REF!</definedName>
    <definedName name="Value25" localSheetId="15">#REF!</definedName>
    <definedName name="Value25" localSheetId="8">#REF!</definedName>
    <definedName name="Value25">#REF!</definedName>
    <definedName name="Value26" localSheetId="9">#REF!</definedName>
    <definedName name="Value26" localSheetId="10">#REF!</definedName>
    <definedName name="Value26" localSheetId="6">#REF!</definedName>
    <definedName name="Value26" localSheetId="7">#REF!</definedName>
    <definedName name="Value26" localSheetId="14">#REF!</definedName>
    <definedName name="Value26" localSheetId="15">#REF!</definedName>
    <definedName name="Value26" localSheetId="8">#REF!</definedName>
    <definedName name="Value26">#REF!</definedName>
    <definedName name="Value27" localSheetId="9">#REF!</definedName>
    <definedName name="Value27" localSheetId="10">#REF!</definedName>
    <definedName name="Value27" localSheetId="6">#REF!</definedName>
    <definedName name="Value27" localSheetId="7">#REF!</definedName>
    <definedName name="Value27" localSheetId="14">#REF!</definedName>
    <definedName name="Value27" localSheetId="15">#REF!</definedName>
    <definedName name="Value27" localSheetId="8">#REF!</definedName>
    <definedName name="Value27">#REF!</definedName>
    <definedName name="Value28" localSheetId="9">#REF!</definedName>
    <definedName name="Value28" localSheetId="10">#REF!</definedName>
    <definedName name="Value28" localSheetId="6">#REF!</definedName>
    <definedName name="Value28" localSheetId="7">#REF!</definedName>
    <definedName name="Value28" localSheetId="14">#REF!</definedName>
    <definedName name="Value28" localSheetId="15">#REF!</definedName>
    <definedName name="Value28" localSheetId="8">#REF!</definedName>
    <definedName name="Value28">#REF!</definedName>
    <definedName name="Value29" localSheetId="9">#REF!</definedName>
    <definedName name="Value29" localSheetId="10">#REF!</definedName>
    <definedName name="Value29" localSheetId="6">#REF!</definedName>
    <definedName name="Value29" localSheetId="7">#REF!</definedName>
    <definedName name="Value29" localSheetId="14">#REF!</definedName>
    <definedName name="Value29" localSheetId="15">#REF!</definedName>
    <definedName name="Value29" localSheetId="8">#REF!</definedName>
    <definedName name="Value29">#REF!</definedName>
    <definedName name="Value3" localSheetId="9">#REF!</definedName>
    <definedName name="Value3" localSheetId="10">#REF!</definedName>
    <definedName name="Value3" localSheetId="6">#REF!</definedName>
    <definedName name="Value3" localSheetId="7">#REF!</definedName>
    <definedName name="Value3" localSheetId="14">#REF!</definedName>
    <definedName name="Value3" localSheetId="15">#REF!</definedName>
    <definedName name="Value3" localSheetId="8">#REF!</definedName>
    <definedName name="Value3">#REF!</definedName>
    <definedName name="Value30" localSheetId="9">#REF!</definedName>
    <definedName name="Value30" localSheetId="10">#REF!</definedName>
    <definedName name="Value30" localSheetId="6">#REF!</definedName>
    <definedName name="Value30" localSheetId="7">#REF!</definedName>
    <definedName name="Value30" localSheetId="14">#REF!</definedName>
    <definedName name="Value30" localSheetId="15">#REF!</definedName>
    <definedName name="Value30" localSheetId="8">#REF!</definedName>
    <definedName name="Value30">#REF!</definedName>
    <definedName name="Value31" localSheetId="9">#REF!</definedName>
    <definedName name="Value31" localSheetId="10">#REF!</definedName>
    <definedName name="Value31" localSheetId="6">#REF!</definedName>
    <definedName name="Value31" localSheetId="7">#REF!</definedName>
    <definedName name="Value31" localSheetId="14">#REF!</definedName>
    <definedName name="Value31" localSheetId="15">#REF!</definedName>
    <definedName name="Value31" localSheetId="8">#REF!</definedName>
    <definedName name="Value31">#REF!</definedName>
    <definedName name="Value32" localSheetId="9">#REF!</definedName>
    <definedName name="Value32" localSheetId="10">#REF!</definedName>
    <definedName name="Value32" localSheetId="6">#REF!</definedName>
    <definedName name="Value32" localSheetId="7">#REF!</definedName>
    <definedName name="Value32" localSheetId="14">#REF!</definedName>
    <definedName name="Value32" localSheetId="15">#REF!</definedName>
    <definedName name="Value32" localSheetId="8">#REF!</definedName>
    <definedName name="Value32">#REF!</definedName>
    <definedName name="Value33" localSheetId="9">#REF!</definedName>
    <definedName name="Value33" localSheetId="10">#REF!</definedName>
    <definedName name="Value33" localSheetId="6">#REF!</definedName>
    <definedName name="Value33" localSheetId="7">#REF!</definedName>
    <definedName name="Value33" localSheetId="14">#REF!</definedName>
    <definedName name="Value33" localSheetId="15">#REF!</definedName>
    <definedName name="Value33" localSheetId="8">#REF!</definedName>
    <definedName name="Value33">#REF!</definedName>
    <definedName name="Value34" localSheetId="9">#REF!</definedName>
    <definedName name="Value34" localSheetId="10">#REF!</definedName>
    <definedName name="Value34" localSheetId="6">#REF!</definedName>
    <definedName name="Value34" localSheetId="7">#REF!</definedName>
    <definedName name="Value34" localSheetId="14">#REF!</definedName>
    <definedName name="Value34" localSheetId="15">#REF!</definedName>
    <definedName name="Value34" localSheetId="8">#REF!</definedName>
    <definedName name="Value34">#REF!</definedName>
    <definedName name="Value35" localSheetId="9">#REF!</definedName>
    <definedName name="Value35" localSheetId="10">#REF!</definedName>
    <definedName name="Value35" localSheetId="6">#REF!</definedName>
    <definedName name="Value35" localSheetId="7">#REF!</definedName>
    <definedName name="Value35" localSheetId="14">#REF!</definedName>
    <definedName name="Value35" localSheetId="15">#REF!</definedName>
    <definedName name="Value35" localSheetId="8">#REF!</definedName>
    <definedName name="Value35">#REF!</definedName>
    <definedName name="Value36" localSheetId="9">#REF!</definedName>
    <definedName name="Value36" localSheetId="10">#REF!</definedName>
    <definedName name="Value36" localSheetId="6">#REF!</definedName>
    <definedName name="Value36" localSheetId="7">#REF!</definedName>
    <definedName name="Value36" localSheetId="14">#REF!</definedName>
    <definedName name="Value36" localSheetId="15">#REF!</definedName>
    <definedName name="Value36" localSheetId="8">#REF!</definedName>
    <definedName name="Value36">#REF!</definedName>
    <definedName name="Value37" localSheetId="9">#REF!</definedName>
    <definedName name="Value37" localSheetId="10">#REF!</definedName>
    <definedName name="Value37" localSheetId="6">#REF!</definedName>
    <definedName name="Value37" localSheetId="7">#REF!</definedName>
    <definedName name="Value37" localSheetId="14">#REF!</definedName>
    <definedName name="Value37" localSheetId="15">#REF!</definedName>
    <definedName name="Value37" localSheetId="8">#REF!</definedName>
    <definedName name="Value37">#REF!</definedName>
    <definedName name="Value38" localSheetId="9">#REF!</definedName>
    <definedName name="Value38" localSheetId="10">#REF!</definedName>
    <definedName name="Value38" localSheetId="6">#REF!</definedName>
    <definedName name="Value38" localSheetId="7">#REF!</definedName>
    <definedName name="Value38" localSheetId="14">#REF!</definedName>
    <definedName name="Value38" localSheetId="15">#REF!</definedName>
    <definedName name="Value38" localSheetId="8">#REF!</definedName>
    <definedName name="Value38">#REF!</definedName>
    <definedName name="Value39" localSheetId="9">#REF!</definedName>
    <definedName name="Value39" localSheetId="10">#REF!</definedName>
    <definedName name="Value39" localSheetId="6">#REF!</definedName>
    <definedName name="Value39" localSheetId="7">#REF!</definedName>
    <definedName name="Value39" localSheetId="14">#REF!</definedName>
    <definedName name="Value39" localSheetId="15">#REF!</definedName>
    <definedName name="Value39" localSheetId="8">#REF!</definedName>
    <definedName name="Value39">#REF!</definedName>
    <definedName name="Value4" localSheetId="9">#REF!</definedName>
    <definedName name="Value4" localSheetId="10">#REF!</definedName>
    <definedName name="Value4" localSheetId="6">#REF!</definedName>
    <definedName name="Value4" localSheetId="7">#REF!</definedName>
    <definedName name="Value4" localSheetId="14">#REF!</definedName>
    <definedName name="Value4" localSheetId="15">#REF!</definedName>
    <definedName name="Value4" localSheetId="8">#REF!</definedName>
    <definedName name="Value4">#REF!</definedName>
    <definedName name="Value40" localSheetId="9">#REF!</definedName>
    <definedName name="Value40" localSheetId="10">#REF!</definedName>
    <definedName name="Value40" localSheetId="6">#REF!</definedName>
    <definedName name="Value40" localSheetId="7">#REF!</definedName>
    <definedName name="Value40" localSheetId="14">#REF!</definedName>
    <definedName name="Value40" localSheetId="15">#REF!</definedName>
    <definedName name="Value40" localSheetId="8">#REF!</definedName>
    <definedName name="Value40">#REF!</definedName>
    <definedName name="Value41" localSheetId="9">#REF!</definedName>
    <definedName name="Value41" localSheetId="10">#REF!</definedName>
    <definedName name="Value41" localSheetId="6">#REF!</definedName>
    <definedName name="Value41" localSheetId="7">#REF!</definedName>
    <definedName name="Value41" localSheetId="14">#REF!</definedName>
    <definedName name="Value41" localSheetId="15">#REF!</definedName>
    <definedName name="Value41" localSheetId="8">#REF!</definedName>
    <definedName name="Value41">#REF!</definedName>
    <definedName name="Value42" localSheetId="9">#REF!</definedName>
    <definedName name="Value42" localSheetId="10">#REF!</definedName>
    <definedName name="Value42" localSheetId="6">#REF!</definedName>
    <definedName name="Value42" localSheetId="7">#REF!</definedName>
    <definedName name="Value42" localSheetId="14">#REF!</definedName>
    <definedName name="Value42" localSheetId="15">#REF!</definedName>
    <definedName name="Value42" localSheetId="8">#REF!</definedName>
    <definedName name="Value42">#REF!</definedName>
    <definedName name="Value43" localSheetId="9">#REF!</definedName>
    <definedName name="Value43" localSheetId="10">#REF!</definedName>
    <definedName name="Value43" localSheetId="6">#REF!</definedName>
    <definedName name="Value43" localSheetId="7">#REF!</definedName>
    <definedName name="Value43" localSheetId="14">#REF!</definedName>
    <definedName name="Value43" localSheetId="15">#REF!</definedName>
    <definedName name="Value43" localSheetId="8">#REF!</definedName>
    <definedName name="Value43">#REF!</definedName>
    <definedName name="Value44" localSheetId="9">#REF!</definedName>
    <definedName name="Value44" localSheetId="10">#REF!</definedName>
    <definedName name="Value44" localSheetId="6">#REF!</definedName>
    <definedName name="Value44" localSheetId="7">#REF!</definedName>
    <definedName name="Value44" localSheetId="14">#REF!</definedName>
    <definedName name="Value44" localSheetId="15">#REF!</definedName>
    <definedName name="Value44" localSheetId="8">#REF!</definedName>
    <definedName name="Value44">#REF!</definedName>
    <definedName name="Value45" localSheetId="9">#REF!</definedName>
    <definedName name="Value45" localSheetId="10">#REF!</definedName>
    <definedName name="Value45" localSheetId="6">#REF!</definedName>
    <definedName name="Value45" localSheetId="7">#REF!</definedName>
    <definedName name="Value45" localSheetId="14">#REF!</definedName>
    <definedName name="Value45" localSheetId="15">#REF!</definedName>
    <definedName name="Value45" localSheetId="8">#REF!</definedName>
    <definedName name="Value45">#REF!</definedName>
    <definedName name="Value46" localSheetId="9">#REF!</definedName>
    <definedName name="Value46" localSheetId="10">#REF!</definedName>
    <definedName name="Value46" localSheetId="6">#REF!</definedName>
    <definedName name="Value46" localSheetId="7">#REF!</definedName>
    <definedName name="Value46" localSheetId="14">#REF!</definedName>
    <definedName name="Value46" localSheetId="15">#REF!</definedName>
    <definedName name="Value46" localSheetId="8">#REF!</definedName>
    <definedName name="Value46">#REF!</definedName>
    <definedName name="Value47" localSheetId="9">#REF!</definedName>
    <definedName name="Value47" localSheetId="10">#REF!</definedName>
    <definedName name="Value47" localSheetId="6">#REF!</definedName>
    <definedName name="Value47" localSheetId="7">#REF!</definedName>
    <definedName name="Value47" localSheetId="14">#REF!</definedName>
    <definedName name="Value47" localSheetId="15">#REF!</definedName>
    <definedName name="Value47" localSheetId="8">#REF!</definedName>
    <definedName name="Value47">#REF!</definedName>
    <definedName name="Value48" localSheetId="9">#REF!</definedName>
    <definedName name="Value48" localSheetId="10">#REF!</definedName>
    <definedName name="Value48" localSheetId="6">#REF!</definedName>
    <definedName name="Value48" localSheetId="7">#REF!</definedName>
    <definedName name="Value48" localSheetId="14">#REF!</definedName>
    <definedName name="Value48" localSheetId="15">#REF!</definedName>
    <definedName name="Value48" localSheetId="8">#REF!</definedName>
    <definedName name="Value48">#REF!</definedName>
    <definedName name="Value49" localSheetId="9">#REF!</definedName>
    <definedName name="Value49" localSheetId="10">#REF!</definedName>
    <definedName name="Value49" localSheetId="6">#REF!</definedName>
    <definedName name="Value49" localSheetId="7">#REF!</definedName>
    <definedName name="Value49" localSheetId="14">#REF!</definedName>
    <definedName name="Value49" localSheetId="15">#REF!</definedName>
    <definedName name="Value49" localSheetId="8">#REF!</definedName>
    <definedName name="Value49">#REF!</definedName>
    <definedName name="Value5" localSheetId="9">#REF!</definedName>
    <definedName name="Value5" localSheetId="10">#REF!</definedName>
    <definedName name="Value5" localSheetId="6">#REF!</definedName>
    <definedName name="Value5" localSheetId="7">#REF!</definedName>
    <definedName name="Value5" localSheetId="14">#REF!</definedName>
    <definedName name="Value5" localSheetId="15">#REF!</definedName>
    <definedName name="Value5" localSheetId="8">#REF!</definedName>
    <definedName name="Value5">#REF!</definedName>
    <definedName name="Value50" localSheetId="9">#REF!</definedName>
    <definedName name="Value50" localSheetId="10">#REF!</definedName>
    <definedName name="Value50" localSheetId="6">#REF!</definedName>
    <definedName name="Value50" localSheetId="7">#REF!</definedName>
    <definedName name="Value50" localSheetId="14">#REF!</definedName>
    <definedName name="Value50" localSheetId="15">#REF!</definedName>
    <definedName name="Value50" localSheetId="8">#REF!</definedName>
    <definedName name="Value50">#REF!</definedName>
    <definedName name="Value51" localSheetId="9">#REF!</definedName>
    <definedName name="Value51" localSheetId="10">#REF!</definedName>
    <definedName name="Value51" localSheetId="6">#REF!</definedName>
    <definedName name="Value51" localSheetId="7">#REF!</definedName>
    <definedName name="Value51" localSheetId="14">#REF!</definedName>
    <definedName name="Value51" localSheetId="15">#REF!</definedName>
    <definedName name="Value51" localSheetId="8">#REF!</definedName>
    <definedName name="Value51">#REF!</definedName>
    <definedName name="Value52" localSheetId="9">#REF!</definedName>
    <definedName name="Value52" localSheetId="10">#REF!</definedName>
    <definedName name="Value52" localSheetId="6">#REF!</definedName>
    <definedName name="Value52" localSheetId="7">#REF!</definedName>
    <definedName name="Value52" localSheetId="14">#REF!</definedName>
    <definedName name="Value52" localSheetId="15">#REF!</definedName>
    <definedName name="Value52" localSheetId="8">#REF!</definedName>
    <definedName name="Value52">#REF!</definedName>
    <definedName name="Value53" localSheetId="9">#REF!</definedName>
    <definedName name="Value53" localSheetId="10">#REF!</definedName>
    <definedName name="Value53" localSheetId="6">#REF!</definedName>
    <definedName name="Value53" localSheetId="7">#REF!</definedName>
    <definedName name="Value53" localSheetId="14">#REF!</definedName>
    <definedName name="Value53" localSheetId="15">#REF!</definedName>
    <definedName name="Value53" localSheetId="8">#REF!</definedName>
    <definedName name="Value53">#REF!</definedName>
    <definedName name="Value54" localSheetId="9">#REF!</definedName>
    <definedName name="Value54" localSheetId="10">#REF!</definedName>
    <definedName name="Value54" localSheetId="6">#REF!</definedName>
    <definedName name="Value54" localSheetId="7">#REF!</definedName>
    <definedName name="Value54" localSheetId="14">#REF!</definedName>
    <definedName name="Value54" localSheetId="15">#REF!</definedName>
    <definedName name="Value54" localSheetId="8">#REF!</definedName>
    <definedName name="Value54">#REF!</definedName>
    <definedName name="Value55" localSheetId="9">#REF!</definedName>
    <definedName name="Value55" localSheetId="10">#REF!</definedName>
    <definedName name="Value55" localSheetId="6">#REF!</definedName>
    <definedName name="Value55" localSheetId="7">#REF!</definedName>
    <definedName name="Value55" localSheetId="14">#REF!</definedName>
    <definedName name="Value55" localSheetId="15">#REF!</definedName>
    <definedName name="Value55" localSheetId="8">#REF!</definedName>
    <definedName name="Value55">#REF!</definedName>
    <definedName name="Value6" localSheetId="9">#REF!</definedName>
    <definedName name="Value6" localSheetId="10">#REF!</definedName>
    <definedName name="Value6" localSheetId="6">#REF!</definedName>
    <definedName name="Value6" localSheetId="7">#REF!</definedName>
    <definedName name="Value6" localSheetId="14">#REF!</definedName>
    <definedName name="Value6" localSheetId="15">#REF!</definedName>
    <definedName name="Value6" localSheetId="8">#REF!</definedName>
    <definedName name="Value6">#REF!</definedName>
    <definedName name="Value7" localSheetId="9">#REF!</definedName>
    <definedName name="Value7" localSheetId="10">#REF!</definedName>
    <definedName name="Value7" localSheetId="6">#REF!</definedName>
    <definedName name="Value7" localSheetId="7">#REF!</definedName>
    <definedName name="Value7" localSheetId="14">#REF!</definedName>
    <definedName name="Value7" localSheetId="15">#REF!</definedName>
    <definedName name="Value7" localSheetId="8">#REF!</definedName>
    <definedName name="Value7">#REF!</definedName>
    <definedName name="Value8" localSheetId="9">#REF!</definedName>
    <definedName name="Value8" localSheetId="10">#REF!</definedName>
    <definedName name="Value8" localSheetId="6">#REF!</definedName>
    <definedName name="Value8" localSheetId="7">#REF!</definedName>
    <definedName name="Value8" localSheetId="14">#REF!</definedName>
    <definedName name="Value8" localSheetId="15">#REF!</definedName>
    <definedName name="Value8" localSheetId="8">#REF!</definedName>
    <definedName name="Value8">#REF!</definedName>
    <definedName name="Value9" localSheetId="9">#REF!</definedName>
    <definedName name="Value9" localSheetId="10">#REF!</definedName>
    <definedName name="Value9" localSheetId="6">#REF!</definedName>
    <definedName name="Value9" localSheetId="7">#REF!</definedName>
    <definedName name="Value9" localSheetId="14">#REF!</definedName>
    <definedName name="Value9" localSheetId="15">#REF!</definedName>
    <definedName name="Value9" localSheetId="8">#REF!</definedName>
    <definedName name="Value9">#REF!</definedName>
    <definedName name="VAN_CHUYEN_DUONG_DAI_DZ0.4KV" localSheetId="9">#REF!</definedName>
    <definedName name="VAN_CHUYEN_DUONG_DAI_DZ0.4KV" localSheetId="10">#REF!</definedName>
    <definedName name="VAN_CHUYEN_DUONG_DAI_DZ0.4KV" localSheetId="6">#REF!</definedName>
    <definedName name="VAN_CHUYEN_DUONG_DAI_DZ0.4KV" localSheetId="7">#REF!</definedName>
    <definedName name="VAN_CHUYEN_DUONG_DAI_DZ0.4KV" localSheetId="14">#REF!</definedName>
    <definedName name="VAN_CHUYEN_DUONG_DAI_DZ0.4KV" localSheetId="15">#REF!</definedName>
    <definedName name="VAN_CHUYEN_DUONG_DAI_DZ0.4KV" localSheetId="8">#REF!</definedName>
    <definedName name="VAN_CHUYEN_DUONG_DAI_DZ0.4KV">#REF!</definedName>
    <definedName name="VAN_CHUYEN_DUONG_DAI_DZ22KV" localSheetId="9">#REF!</definedName>
    <definedName name="VAN_CHUYEN_DUONG_DAI_DZ22KV" localSheetId="10">#REF!</definedName>
    <definedName name="VAN_CHUYEN_DUONG_DAI_DZ22KV" localSheetId="6">#REF!</definedName>
    <definedName name="VAN_CHUYEN_DUONG_DAI_DZ22KV" localSheetId="7">#REF!</definedName>
    <definedName name="VAN_CHUYEN_DUONG_DAI_DZ22KV" localSheetId="14">#REF!</definedName>
    <definedName name="VAN_CHUYEN_DUONG_DAI_DZ22KV" localSheetId="15">#REF!</definedName>
    <definedName name="VAN_CHUYEN_DUONG_DAI_DZ22KV" localSheetId="8">#REF!</definedName>
    <definedName name="VAN_CHUYEN_DUONG_DAI_DZ22KV">#REF!</definedName>
    <definedName name="VAN_CHUYEN_VAT_TU_CHUNG" localSheetId="9">#REF!</definedName>
    <definedName name="VAN_CHUYEN_VAT_TU_CHUNG" localSheetId="10">#REF!</definedName>
    <definedName name="VAN_CHUYEN_VAT_TU_CHUNG" localSheetId="6">#REF!</definedName>
    <definedName name="VAN_CHUYEN_VAT_TU_CHUNG" localSheetId="7">#REF!</definedName>
    <definedName name="VAN_CHUYEN_VAT_TU_CHUNG" localSheetId="14">#REF!</definedName>
    <definedName name="VAN_CHUYEN_VAT_TU_CHUNG" localSheetId="15">#REF!</definedName>
    <definedName name="VAN_CHUYEN_VAT_TU_CHUNG" localSheetId="8">#REF!</definedName>
    <definedName name="VAN_CHUYEN_VAT_TU_CHUNG">#REF!</definedName>
    <definedName name="VAN_TRUNG_CHUYEN_VAT_TU_CHUNG" localSheetId="9">#REF!</definedName>
    <definedName name="VAN_TRUNG_CHUYEN_VAT_TU_CHUNG" localSheetId="10">#REF!</definedName>
    <definedName name="VAN_TRUNG_CHUYEN_VAT_TU_CHUNG" localSheetId="6">#REF!</definedName>
    <definedName name="VAN_TRUNG_CHUYEN_VAT_TU_CHUNG" localSheetId="7">#REF!</definedName>
    <definedName name="VAN_TRUNG_CHUYEN_VAT_TU_CHUNG" localSheetId="14">#REF!</definedName>
    <definedName name="VAN_TRUNG_CHUYEN_VAT_TU_CHUNG" localSheetId="15">#REF!</definedName>
    <definedName name="VAN_TRUNG_CHUYEN_VAT_TU_CHUNG" localSheetId="8">#REF!</definedName>
    <definedName name="VAN_TRUNG_CHUYEN_VAT_TU_CHUNG">#REF!</definedName>
    <definedName name="VARIINST" localSheetId="9">#REF!</definedName>
    <definedName name="VARIINST" localSheetId="10">#REF!</definedName>
    <definedName name="VARIINST" localSheetId="6">#REF!</definedName>
    <definedName name="VARIINST" localSheetId="7">#REF!</definedName>
    <definedName name="VARIINST" localSheetId="14">#REF!</definedName>
    <definedName name="VARIINST" localSheetId="15">#REF!</definedName>
    <definedName name="VARIINST" localSheetId="8">#REF!</definedName>
    <definedName name="VARIINST">#REF!</definedName>
    <definedName name="VARIPURC" localSheetId="9">#REF!</definedName>
    <definedName name="VARIPURC" localSheetId="10">#REF!</definedName>
    <definedName name="VARIPURC" localSheetId="6">#REF!</definedName>
    <definedName name="VARIPURC" localSheetId="7">#REF!</definedName>
    <definedName name="VARIPURC" localSheetId="14">#REF!</definedName>
    <definedName name="VARIPURC" localSheetId="15">#REF!</definedName>
    <definedName name="VARIPURC" localSheetId="8">#REF!</definedName>
    <definedName name="VARIPURC">#REF!</definedName>
    <definedName name="vat" localSheetId="9">#REF!</definedName>
    <definedName name="vat" localSheetId="10">#REF!</definedName>
    <definedName name="vat" localSheetId="6">#REF!</definedName>
    <definedName name="vat" localSheetId="7">#REF!</definedName>
    <definedName name="vat" localSheetId="14">#REF!</definedName>
    <definedName name="vat" localSheetId="15">#REF!</definedName>
    <definedName name="vat" localSheetId="8">#REF!</definedName>
    <definedName name="vat">#REF!</definedName>
    <definedName name="VAT_LIEU_DEN_CHAN_CONG_TRINH" localSheetId="9">#REF!</definedName>
    <definedName name="VAT_LIEU_DEN_CHAN_CONG_TRINH" localSheetId="10">#REF!</definedName>
    <definedName name="VAT_LIEU_DEN_CHAN_CONG_TRINH" localSheetId="6">#REF!</definedName>
    <definedName name="VAT_LIEU_DEN_CHAN_CONG_TRINH" localSheetId="7">#REF!</definedName>
    <definedName name="VAT_LIEU_DEN_CHAN_CONG_TRINH" localSheetId="14">#REF!</definedName>
    <definedName name="VAT_LIEU_DEN_CHAN_CONG_TRINH" localSheetId="15">#REF!</definedName>
    <definedName name="VAT_LIEU_DEN_CHAN_CONG_TRINH" localSheetId="8">#REF!</definedName>
    <definedName name="VAT_LIEU_DEN_CHAN_CONG_TRINH">#REF!</definedName>
    <definedName name="vbtchongnuocm300" localSheetId="9">#REF!</definedName>
    <definedName name="vbtchongnuocm300" localSheetId="10">#REF!</definedName>
    <definedName name="vbtchongnuocm300" localSheetId="6">#REF!</definedName>
    <definedName name="vbtchongnuocm300" localSheetId="7">#REF!</definedName>
    <definedName name="vbtchongnuocm300" localSheetId="14">#REF!</definedName>
    <definedName name="vbtchongnuocm300" localSheetId="15">#REF!</definedName>
    <definedName name="vbtchongnuocm300" localSheetId="8">#REF!</definedName>
    <definedName name="vbtchongnuocm300">#REF!</definedName>
    <definedName name="vbtm150" localSheetId="9">#REF!</definedName>
    <definedName name="vbtm150" localSheetId="10">#REF!</definedName>
    <definedName name="vbtm150" localSheetId="6">#REF!</definedName>
    <definedName name="vbtm150" localSheetId="7">#REF!</definedName>
    <definedName name="vbtm150" localSheetId="14">#REF!</definedName>
    <definedName name="vbtm150" localSheetId="15">#REF!</definedName>
    <definedName name="vbtm150" localSheetId="8">#REF!</definedName>
    <definedName name="vbtm150">#REF!</definedName>
    <definedName name="vbtm300" localSheetId="9">#REF!</definedName>
    <definedName name="vbtm300" localSheetId="10">#REF!</definedName>
    <definedName name="vbtm300" localSheetId="6">#REF!</definedName>
    <definedName name="vbtm300" localSheetId="7">#REF!</definedName>
    <definedName name="vbtm300" localSheetId="14">#REF!</definedName>
    <definedName name="vbtm300" localSheetId="15">#REF!</definedName>
    <definedName name="vbtm300" localSheetId="8">#REF!</definedName>
    <definedName name="vbtm300">#REF!</definedName>
    <definedName name="vbtm400" localSheetId="9">#REF!</definedName>
    <definedName name="vbtm400" localSheetId="10">#REF!</definedName>
    <definedName name="vbtm400" localSheetId="6">#REF!</definedName>
    <definedName name="vbtm400" localSheetId="7">#REF!</definedName>
    <definedName name="vbtm400" localSheetId="14">#REF!</definedName>
    <definedName name="vbtm400" localSheetId="15">#REF!</definedName>
    <definedName name="vbtm400" localSheetId="8">#REF!</definedName>
    <definedName name="vbtm400">#REF!</definedName>
    <definedName name="vccot" localSheetId="9">#REF!</definedName>
    <definedName name="vccot" localSheetId="10">#REF!</definedName>
    <definedName name="vccot" localSheetId="6">#REF!</definedName>
    <definedName name="vccot" localSheetId="7">#REF!</definedName>
    <definedName name="vccot" localSheetId="14">#REF!</definedName>
    <definedName name="vccot" localSheetId="15">#REF!</definedName>
    <definedName name="vccot" localSheetId="8">#REF!</definedName>
    <definedName name="vccot">#REF!</definedName>
    <definedName name="vcdc" localSheetId="9">#REF!</definedName>
    <definedName name="vcdc" localSheetId="10">#REF!</definedName>
    <definedName name="vcdc" localSheetId="6">#REF!</definedName>
    <definedName name="vcdc" localSheetId="7">#REF!</definedName>
    <definedName name="vcdc" localSheetId="14">#REF!</definedName>
    <definedName name="vcdc" localSheetId="15">#REF!</definedName>
    <definedName name="vcdc" localSheetId="8">#REF!</definedName>
    <definedName name="vcdc">#REF!</definedName>
    <definedName name="VCHT" localSheetId="9">#REF!</definedName>
    <definedName name="VCHT" localSheetId="10">#REF!</definedName>
    <definedName name="VCHT" localSheetId="6">#REF!</definedName>
    <definedName name="VCHT" localSheetId="7">#REF!</definedName>
    <definedName name="VCHT" localSheetId="14">#REF!</definedName>
    <definedName name="VCHT" localSheetId="15">#REF!</definedName>
    <definedName name="VCHT" localSheetId="8">#REF!</definedName>
    <definedName name="VCHT">#REF!</definedName>
    <definedName name="vct" localSheetId="9">#REF!</definedName>
    <definedName name="vct" localSheetId="10">#REF!</definedName>
    <definedName name="vct" localSheetId="6">#REF!</definedName>
    <definedName name="vct" localSheetId="7">#REF!</definedName>
    <definedName name="vct" localSheetId="14">#REF!</definedName>
    <definedName name="vct" localSheetId="15">#REF!</definedName>
    <definedName name="vct" localSheetId="8">#REF!</definedName>
    <definedName name="vct">#REF!</definedName>
    <definedName name="VCTT" localSheetId="9">#REF!</definedName>
    <definedName name="VCTT" localSheetId="10">#REF!</definedName>
    <definedName name="VCTT" localSheetId="6">#REF!</definedName>
    <definedName name="VCTT" localSheetId="7">#REF!</definedName>
    <definedName name="VCTT" localSheetId="14">#REF!</definedName>
    <definedName name="VCTT" localSheetId="15">#REF!</definedName>
    <definedName name="VCTT" localSheetId="8">#REF!</definedName>
    <definedName name="VCTT">#REF!</definedName>
    <definedName name="VCVBT1" localSheetId="9">#REF!</definedName>
    <definedName name="VCVBT1" localSheetId="10">#REF!</definedName>
    <definedName name="VCVBT1" localSheetId="6">#REF!</definedName>
    <definedName name="VCVBT1" localSheetId="7">#REF!</definedName>
    <definedName name="VCVBT1" localSheetId="14">#REF!</definedName>
    <definedName name="VCVBT1" localSheetId="15">#REF!</definedName>
    <definedName name="VCVBT1" localSheetId="8">#REF!</definedName>
    <definedName name="VCVBT1">#REF!</definedName>
    <definedName name="VCVBT2" localSheetId="9">#REF!</definedName>
    <definedName name="VCVBT2" localSheetId="10">#REF!</definedName>
    <definedName name="VCVBT2" localSheetId="6">#REF!</definedName>
    <definedName name="VCVBT2" localSheetId="7">#REF!</definedName>
    <definedName name="VCVBT2" localSheetId="14">#REF!</definedName>
    <definedName name="VCVBT2" localSheetId="15">#REF!</definedName>
    <definedName name="VCVBT2" localSheetId="8">#REF!</definedName>
    <definedName name="VCVBT2">#REF!</definedName>
    <definedName name="vd3p" localSheetId="9">#REF!</definedName>
    <definedName name="vd3p" localSheetId="10">#REF!</definedName>
    <definedName name="vd3p" localSheetId="6">#REF!</definedName>
    <definedName name="vd3p" localSheetId="7">#REF!</definedName>
    <definedName name="vd3p" localSheetId="14">#REF!</definedName>
    <definedName name="vd3p" localSheetId="15">#REF!</definedName>
    <definedName name="vd3p" localSheetId="8">#REF!</definedName>
    <definedName name="vd3p">#REF!</definedName>
    <definedName name="vgk" localSheetId="9">#REF!</definedName>
    <definedName name="vgk" localSheetId="10">#REF!</definedName>
    <definedName name="vgk" localSheetId="6">#REF!</definedName>
    <definedName name="vgk" localSheetId="7">#REF!</definedName>
    <definedName name="vgk" localSheetId="14">#REF!</definedName>
    <definedName name="vgk" localSheetId="15">#REF!</definedName>
    <definedName name="vgk" localSheetId="8">#REF!</definedName>
    <definedName name="vgk">#REF!</definedName>
    <definedName name="vgt" localSheetId="9">#REF!</definedName>
    <definedName name="vgt" localSheetId="10">#REF!</definedName>
    <definedName name="vgt" localSheetId="6">#REF!</definedName>
    <definedName name="vgt" localSheetId="7">#REF!</definedName>
    <definedName name="vgt" localSheetId="14">#REF!</definedName>
    <definedName name="vgt" localSheetId="15">#REF!</definedName>
    <definedName name="vgt" localSheetId="8">#REF!</definedName>
    <definedName name="vgt">#REF!</definedName>
    <definedName name="vkcauthang" localSheetId="9">#REF!</definedName>
    <definedName name="vkcauthang" localSheetId="10">#REF!</definedName>
    <definedName name="vkcauthang" localSheetId="6">#REF!</definedName>
    <definedName name="vkcauthang" localSheetId="7">#REF!</definedName>
    <definedName name="vkcauthang" localSheetId="14">#REF!</definedName>
    <definedName name="vkcauthang" localSheetId="15">#REF!</definedName>
    <definedName name="vkcauthang" localSheetId="8">#REF!</definedName>
    <definedName name="vkcauthang">#REF!</definedName>
    <definedName name="vksan" localSheetId="9">#REF!</definedName>
    <definedName name="vksan" localSheetId="10">#REF!</definedName>
    <definedName name="vksan" localSheetId="6">#REF!</definedName>
    <definedName name="vksan" localSheetId="7">#REF!</definedName>
    <definedName name="vksan" localSheetId="14">#REF!</definedName>
    <definedName name="vksan" localSheetId="15">#REF!</definedName>
    <definedName name="vksan" localSheetId="8">#REF!</definedName>
    <definedName name="vksan">#REF!</definedName>
    <definedName name="vl" localSheetId="9">#REF!</definedName>
    <definedName name="vl" localSheetId="10">#REF!</definedName>
    <definedName name="vl" localSheetId="6">#REF!</definedName>
    <definedName name="vl" localSheetId="7">#REF!</definedName>
    <definedName name="vl" localSheetId="14">#REF!</definedName>
    <definedName name="vl" localSheetId="15">#REF!</definedName>
    <definedName name="vl" localSheetId="8">#REF!</definedName>
    <definedName name="vl">#REF!</definedName>
    <definedName name="vl3p" localSheetId="9">#REF!</definedName>
    <definedName name="vl3p" localSheetId="10">#REF!</definedName>
    <definedName name="vl3p" localSheetId="6">#REF!</definedName>
    <definedName name="vl3p" localSheetId="7">#REF!</definedName>
    <definedName name="vl3p" localSheetId="14">#REF!</definedName>
    <definedName name="vl3p" localSheetId="15">#REF!</definedName>
    <definedName name="vl3p" localSheetId="8">#REF!</definedName>
    <definedName name="vl3p">#REF!</definedName>
    <definedName name="VLCT3p" localSheetId="9">#REF!</definedName>
    <definedName name="VLCT3p" localSheetId="10">#REF!</definedName>
    <definedName name="VLCT3p" localSheetId="6">#REF!</definedName>
    <definedName name="VLCT3p" localSheetId="7">#REF!</definedName>
    <definedName name="VLCT3p" localSheetId="14">#REF!</definedName>
    <definedName name="VLCT3p" localSheetId="15">#REF!</definedName>
    <definedName name="VLCT3p" localSheetId="8">#REF!</definedName>
    <definedName name="VLCT3p">#REF!</definedName>
    <definedName name="vldg" localSheetId="9">#REF!</definedName>
    <definedName name="vldg" localSheetId="10">#REF!</definedName>
    <definedName name="vldg" localSheetId="6">#REF!</definedName>
    <definedName name="vldg" localSheetId="7">#REF!</definedName>
    <definedName name="vldg" localSheetId="14">#REF!</definedName>
    <definedName name="vldg" localSheetId="15">#REF!</definedName>
    <definedName name="vldg" localSheetId="8">#REF!</definedName>
    <definedName name="vldg">#REF!</definedName>
    <definedName name="vldn400" localSheetId="9">#REF!</definedName>
    <definedName name="vldn400" localSheetId="10">#REF!</definedName>
    <definedName name="vldn400" localSheetId="6">#REF!</definedName>
    <definedName name="vldn400" localSheetId="7">#REF!</definedName>
    <definedName name="vldn400" localSheetId="14">#REF!</definedName>
    <definedName name="vldn400" localSheetId="15">#REF!</definedName>
    <definedName name="vldn400" localSheetId="8">#REF!</definedName>
    <definedName name="vldn400">#REF!</definedName>
    <definedName name="vldn600" localSheetId="9">#REF!</definedName>
    <definedName name="vldn600" localSheetId="10">#REF!</definedName>
    <definedName name="vldn600" localSheetId="6">#REF!</definedName>
    <definedName name="vldn600" localSheetId="7">#REF!</definedName>
    <definedName name="vldn600" localSheetId="14">#REF!</definedName>
    <definedName name="vldn600" localSheetId="15">#REF!</definedName>
    <definedName name="vldn600" localSheetId="8">#REF!</definedName>
    <definedName name="vldn600">#REF!</definedName>
    <definedName name="VLIEU" localSheetId="9">#REF!</definedName>
    <definedName name="VLIEU" localSheetId="10">#REF!</definedName>
    <definedName name="VLIEU" localSheetId="6">#REF!</definedName>
    <definedName name="VLIEU" localSheetId="7">#REF!</definedName>
    <definedName name="VLIEU" localSheetId="14">#REF!</definedName>
    <definedName name="VLIEU" localSheetId="15">#REF!</definedName>
    <definedName name="VLIEU" localSheetId="8">#REF!</definedName>
    <definedName name="VLIEU">#REF!</definedName>
    <definedName name="VLM" localSheetId="9">#REF!</definedName>
    <definedName name="VLM" localSheetId="10">#REF!</definedName>
    <definedName name="VLM" localSheetId="6">#REF!</definedName>
    <definedName name="VLM" localSheetId="7">#REF!</definedName>
    <definedName name="VLM" localSheetId="14">#REF!</definedName>
    <definedName name="VLM" localSheetId="15">#REF!</definedName>
    <definedName name="VLM" localSheetId="8">#REF!</definedName>
    <definedName name="VLM">#REF!</definedName>
    <definedName name="vltram" localSheetId="9">#REF!</definedName>
    <definedName name="vltram" localSheetId="10">#REF!</definedName>
    <definedName name="vltram" localSheetId="6">#REF!</definedName>
    <definedName name="vltram" localSheetId="7">#REF!</definedName>
    <definedName name="vltram" localSheetId="14">#REF!</definedName>
    <definedName name="vltram" localSheetId="15">#REF!</definedName>
    <definedName name="vltram" localSheetId="8">#REF!</definedName>
    <definedName name="vltram">#REF!</definedName>
    <definedName name="vr3p" localSheetId="9">#REF!</definedName>
    <definedName name="vr3p" localSheetId="10">#REF!</definedName>
    <definedName name="vr3p" localSheetId="6">#REF!</definedName>
    <definedName name="vr3p" localSheetId="7">#REF!</definedName>
    <definedName name="vr3p" localSheetId="14">#REF!</definedName>
    <definedName name="vr3p" localSheetId="15">#REF!</definedName>
    <definedName name="vr3p" localSheetId="8">#REF!</definedName>
    <definedName name="vr3p">#REF!</definedName>
    <definedName name="W" localSheetId="9">#REF!</definedName>
    <definedName name="W" localSheetId="10">#REF!</definedName>
    <definedName name="W" localSheetId="6">#REF!</definedName>
    <definedName name="W" localSheetId="7">#REF!</definedName>
    <definedName name="W" localSheetId="14">#REF!</definedName>
    <definedName name="W" localSheetId="15">#REF!</definedName>
    <definedName name="W" localSheetId="8">#REF!</definedName>
    <definedName name="W">#REF!</definedName>
    <definedName name="wrn.chi._.tiÆt." hidden="1">{#N/A,#N/A,FALSE,"Chi tiÆt"}</definedName>
    <definedName name="x1pind" localSheetId="9">#REF!</definedName>
    <definedName name="x1pind" localSheetId="10">#REF!</definedName>
    <definedName name="x1pind" localSheetId="6">#REF!</definedName>
    <definedName name="x1pind" localSheetId="7">#REF!</definedName>
    <definedName name="x1pind" localSheetId="14">#REF!</definedName>
    <definedName name="x1pind" localSheetId="15">#REF!</definedName>
    <definedName name="x1pind" localSheetId="8">#REF!</definedName>
    <definedName name="x1pind">#REF!</definedName>
    <definedName name="X1pINDnc" localSheetId="9">#REF!</definedName>
    <definedName name="X1pINDnc" localSheetId="10">#REF!</definedName>
    <definedName name="X1pINDnc" localSheetId="6">#REF!</definedName>
    <definedName name="X1pINDnc" localSheetId="7">#REF!</definedName>
    <definedName name="X1pINDnc" localSheetId="14">#REF!</definedName>
    <definedName name="X1pINDnc" localSheetId="15">#REF!</definedName>
    <definedName name="X1pINDnc" localSheetId="8">#REF!</definedName>
    <definedName name="X1pINDnc">#REF!</definedName>
    <definedName name="X1pINDvc" localSheetId="9">#REF!</definedName>
    <definedName name="X1pINDvc" localSheetId="10">#REF!</definedName>
    <definedName name="X1pINDvc" localSheetId="6">#REF!</definedName>
    <definedName name="X1pINDvc" localSheetId="7">#REF!</definedName>
    <definedName name="X1pINDvc" localSheetId="14">#REF!</definedName>
    <definedName name="X1pINDvc" localSheetId="15">#REF!</definedName>
    <definedName name="X1pINDvc" localSheetId="8">#REF!</definedName>
    <definedName name="X1pINDvc">#REF!</definedName>
    <definedName name="X1pINDvl" localSheetId="9">#REF!</definedName>
    <definedName name="X1pINDvl" localSheetId="10">#REF!</definedName>
    <definedName name="X1pINDvl" localSheetId="6">#REF!</definedName>
    <definedName name="X1pINDvl" localSheetId="7">#REF!</definedName>
    <definedName name="X1pINDvl" localSheetId="14">#REF!</definedName>
    <definedName name="X1pINDvl" localSheetId="15">#REF!</definedName>
    <definedName name="X1pINDvl" localSheetId="8">#REF!</definedName>
    <definedName name="X1pINDvl">#REF!</definedName>
    <definedName name="x1ping" localSheetId="9">#REF!</definedName>
    <definedName name="x1ping" localSheetId="10">#REF!</definedName>
    <definedName name="x1ping" localSheetId="6">#REF!</definedName>
    <definedName name="x1ping" localSheetId="7">#REF!</definedName>
    <definedName name="x1ping" localSheetId="14">#REF!</definedName>
    <definedName name="x1ping" localSheetId="15">#REF!</definedName>
    <definedName name="x1ping" localSheetId="8">#REF!</definedName>
    <definedName name="x1ping">#REF!</definedName>
    <definedName name="X1pINGnc" localSheetId="9">#REF!</definedName>
    <definedName name="X1pINGnc" localSheetId="10">#REF!</definedName>
    <definedName name="X1pINGnc" localSheetId="6">#REF!</definedName>
    <definedName name="X1pINGnc" localSheetId="7">#REF!</definedName>
    <definedName name="X1pINGnc" localSheetId="14">#REF!</definedName>
    <definedName name="X1pINGnc" localSheetId="15">#REF!</definedName>
    <definedName name="X1pINGnc" localSheetId="8">#REF!</definedName>
    <definedName name="X1pINGnc">#REF!</definedName>
    <definedName name="X1pINGvc" localSheetId="9">#REF!</definedName>
    <definedName name="X1pINGvc" localSheetId="10">#REF!</definedName>
    <definedName name="X1pINGvc" localSheetId="6">#REF!</definedName>
    <definedName name="X1pINGvc" localSheetId="7">#REF!</definedName>
    <definedName name="X1pINGvc" localSheetId="14">#REF!</definedName>
    <definedName name="X1pINGvc" localSheetId="15">#REF!</definedName>
    <definedName name="X1pINGvc" localSheetId="8">#REF!</definedName>
    <definedName name="X1pINGvc">#REF!</definedName>
    <definedName name="X1pINGvl" localSheetId="9">#REF!</definedName>
    <definedName name="X1pINGvl" localSheetId="10">#REF!</definedName>
    <definedName name="X1pINGvl" localSheetId="6">#REF!</definedName>
    <definedName name="X1pINGvl" localSheetId="7">#REF!</definedName>
    <definedName name="X1pINGvl" localSheetId="14">#REF!</definedName>
    <definedName name="X1pINGvl" localSheetId="15">#REF!</definedName>
    <definedName name="X1pINGvl" localSheetId="8">#REF!</definedName>
    <definedName name="X1pINGvl">#REF!</definedName>
    <definedName name="x1pint" localSheetId="9">#REF!</definedName>
    <definedName name="x1pint" localSheetId="10">#REF!</definedName>
    <definedName name="x1pint" localSheetId="6">#REF!</definedName>
    <definedName name="x1pint" localSheetId="7">#REF!</definedName>
    <definedName name="x1pint" localSheetId="14">#REF!</definedName>
    <definedName name="x1pint" localSheetId="15">#REF!</definedName>
    <definedName name="x1pint" localSheetId="8">#REF!</definedName>
    <definedName name="x1pint">#REF!</definedName>
    <definedName name="XCCT">0.5</definedName>
    <definedName name="xd0.6" localSheetId="9">#REF!</definedName>
    <definedName name="xd0.6" localSheetId="10">#REF!</definedName>
    <definedName name="xd0.6" localSheetId="6">#REF!</definedName>
    <definedName name="xd0.6" localSheetId="7">#REF!</definedName>
    <definedName name="xd0.6" localSheetId="14">#REF!</definedName>
    <definedName name="xd0.6" localSheetId="15">#REF!</definedName>
    <definedName name="xd0.6" localSheetId="8">#REF!</definedName>
    <definedName name="xd0.6">#REF!</definedName>
    <definedName name="xd1.3" localSheetId="9">#REF!</definedName>
    <definedName name="xd1.3" localSheetId="10">#REF!</definedName>
    <definedName name="xd1.3" localSheetId="6">#REF!</definedName>
    <definedName name="xd1.3" localSheetId="7">#REF!</definedName>
    <definedName name="xd1.3" localSheetId="14">#REF!</definedName>
    <definedName name="xd1.3" localSheetId="15">#REF!</definedName>
    <definedName name="xd1.3" localSheetId="8">#REF!</definedName>
    <definedName name="xd1.3">#REF!</definedName>
    <definedName name="xd1.5" localSheetId="9">#REF!</definedName>
    <definedName name="xd1.5" localSheetId="10">#REF!</definedName>
    <definedName name="xd1.5" localSheetId="6">#REF!</definedName>
    <definedName name="xd1.5" localSheetId="7">#REF!</definedName>
    <definedName name="xd1.5" localSheetId="14">#REF!</definedName>
    <definedName name="xd1.5" localSheetId="15">#REF!</definedName>
    <definedName name="xd1.5" localSheetId="8">#REF!</definedName>
    <definedName name="xd1.5">#REF!</definedName>
    <definedName name="xfco" localSheetId="9">#REF!</definedName>
    <definedName name="xfco" localSheetId="10">#REF!</definedName>
    <definedName name="xfco" localSheetId="6">#REF!</definedName>
    <definedName name="xfco" localSheetId="7">#REF!</definedName>
    <definedName name="xfco" localSheetId="14">#REF!</definedName>
    <definedName name="xfco" localSheetId="15">#REF!</definedName>
    <definedName name="xfco" localSheetId="8">#REF!</definedName>
    <definedName name="xfco">#REF!</definedName>
    <definedName name="xfco3p" localSheetId="9">#REF!</definedName>
    <definedName name="xfco3p" localSheetId="10">#REF!</definedName>
    <definedName name="xfco3p" localSheetId="6">#REF!</definedName>
    <definedName name="xfco3p" localSheetId="7">#REF!</definedName>
    <definedName name="xfco3p" localSheetId="14">#REF!</definedName>
    <definedName name="xfco3p" localSheetId="15">#REF!</definedName>
    <definedName name="xfco3p" localSheetId="8">#REF!</definedName>
    <definedName name="xfco3p">#REF!</definedName>
    <definedName name="XFCOnc" localSheetId="9">#REF!</definedName>
    <definedName name="XFCOnc" localSheetId="10">#REF!</definedName>
    <definedName name="XFCOnc" localSheetId="6">#REF!</definedName>
    <definedName name="XFCOnc" localSheetId="7">#REF!</definedName>
    <definedName name="XFCOnc" localSheetId="14">#REF!</definedName>
    <definedName name="XFCOnc" localSheetId="15">#REF!</definedName>
    <definedName name="XFCOnc" localSheetId="8">#REF!</definedName>
    <definedName name="XFCOnc">#REF!</definedName>
    <definedName name="xfcotnc" localSheetId="9">#REF!</definedName>
    <definedName name="xfcotnc" localSheetId="10">#REF!</definedName>
    <definedName name="xfcotnc" localSheetId="6">#REF!</definedName>
    <definedName name="xfcotnc" localSheetId="7">#REF!</definedName>
    <definedName name="xfcotnc" localSheetId="14">#REF!</definedName>
    <definedName name="xfcotnc" localSheetId="15">#REF!</definedName>
    <definedName name="xfcotnc" localSheetId="8">#REF!</definedName>
    <definedName name="xfcotnc">#REF!</definedName>
    <definedName name="xfcotvl" localSheetId="9">#REF!</definedName>
    <definedName name="xfcotvl" localSheetId="10">#REF!</definedName>
    <definedName name="xfcotvl" localSheetId="6">#REF!</definedName>
    <definedName name="xfcotvl" localSheetId="7">#REF!</definedName>
    <definedName name="xfcotvl" localSheetId="14">#REF!</definedName>
    <definedName name="xfcotvl" localSheetId="15">#REF!</definedName>
    <definedName name="xfcotvl" localSheetId="8">#REF!</definedName>
    <definedName name="xfcotvl">#REF!</definedName>
    <definedName name="XFCOvl" localSheetId="9">#REF!</definedName>
    <definedName name="XFCOvl" localSheetId="10">#REF!</definedName>
    <definedName name="XFCOvl" localSheetId="6">#REF!</definedName>
    <definedName name="XFCOvl" localSheetId="7">#REF!</definedName>
    <definedName name="XFCOvl" localSheetId="14">#REF!</definedName>
    <definedName name="XFCOvl" localSheetId="15">#REF!</definedName>
    <definedName name="XFCOvl" localSheetId="8">#REF!</definedName>
    <definedName name="XFCOvl">#REF!</definedName>
    <definedName name="xgc100" localSheetId="9">#REF!</definedName>
    <definedName name="xgc100" localSheetId="10">#REF!</definedName>
    <definedName name="xgc100" localSheetId="6">#REF!</definedName>
    <definedName name="xgc100" localSheetId="7">#REF!</definedName>
    <definedName name="xgc100" localSheetId="14">#REF!</definedName>
    <definedName name="xgc100" localSheetId="15">#REF!</definedName>
    <definedName name="xgc100" localSheetId="8">#REF!</definedName>
    <definedName name="xgc100">#REF!</definedName>
    <definedName name="xgc150" localSheetId="9">#REF!</definedName>
    <definedName name="xgc150" localSheetId="10">#REF!</definedName>
    <definedName name="xgc150" localSheetId="6">#REF!</definedName>
    <definedName name="xgc150" localSheetId="7">#REF!</definedName>
    <definedName name="xgc150" localSheetId="14">#REF!</definedName>
    <definedName name="xgc150" localSheetId="15">#REF!</definedName>
    <definedName name="xgc150" localSheetId="8">#REF!</definedName>
    <definedName name="xgc150">#REF!</definedName>
    <definedName name="xgc200" localSheetId="9">#REF!</definedName>
    <definedName name="xgc200" localSheetId="10">#REF!</definedName>
    <definedName name="xgc200" localSheetId="6">#REF!</definedName>
    <definedName name="xgc200" localSheetId="7">#REF!</definedName>
    <definedName name="xgc200" localSheetId="14">#REF!</definedName>
    <definedName name="xgc200" localSheetId="15">#REF!</definedName>
    <definedName name="xgc200" localSheetId="8">#REF!</definedName>
    <definedName name="xgc200">#REF!</definedName>
    <definedName name="xh" localSheetId="9">#REF!</definedName>
    <definedName name="xh" localSheetId="10">#REF!</definedName>
    <definedName name="xh" localSheetId="6">#REF!</definedName>
    <definedName name="xh" localSheetId="7">#REF!</definedName>
    <definedName name="xh" localSheetId="14">#REF!</definedName>
    <definedName name="xh" localSheetId="15">#REF!</definedName>
    <definedName name="xh" localSheetId="8">#REF!</definedName>
    <definedName name="xh">#REF!</definedName>
    <definedName name="xhn" localSheetId="9">#REF!</definedName>
    <definedName name="xhn" localSheetId="10">#REF!</definedName>
    <definedName name="xhn" localSheetId="6">#REF!</definedName>
    <definedName name="xhn" localSheetId="7">#REF!</definedName>
    <definedName name="xhn" localSheetId="14">#REF!</definedName>
    <definedName name="xhn" localSheetId="15">#REF!</definedName>
    <definedName name="xhn" localSheetId="8">#REF!</definedName>
    <definedName name="xhn">#REF!</definedName>
    <definedName name="xig" localSheetId="9">#REF!</definedName>
    <definedName name="xig" localSheetId="10">#REF!</definedName>
    <definedName name="xig" localSheetId="6">#REF!</definedName>
    <definedName name="xig" localSheetId="7">#REF!</definedName>
    <definedName name="xig" localSheetId="14">#REF!</definedName>
    <definedName name="xig" localSheetId="15">#REF!</definedName>
    <definedName name="xig" localSheetId="8">#REF!</definedName>
    <definedName name="xig">#REF!</definedName>
    <definedName name="xig1" localSheetId="9">#REF!</definedName>
    <definedName name="xig1" localSheetId="10">#REF!</definedName>
    <definedName name="xig1" localSheetId="6">#REF!</definedName>
    <definedName name="xig1" localSheetId="7">#REF!</definedName>
    <definedName name="xig1" localSheetId="14">#REF!</definedName>
    <definedName name="xig1" localSheetId="15">#REF!</definedName>
    <definedName name="xig1" localSheetId="8">#REF!</definedName>
    <definedName name="xig1">#REF!</definedName>
    <definedName name="xig1p" localSheetId="9">#REF!</definedName>
    <definedName name="xig1p" localSheetId="10">#REF!</definedName>
    <definedName name="xig1p" localSheetId="6">#REF!</definedName>
    <definedName name="xig1p" localSheetId="7">#REF!</definedName>
    <definedName name="xig1p" localSheetId="14">#REF!</definedName>
    <definedName name="xig1p" localSheetId="15">#REF!</definedName>
    <definedName name="xig1p" localSheetId="8">#REF!</definedName>
    <definedName name="xig1p">#REF!</definedName>
    <definedName name="xig3p" localSheetId="9">#REF!</definedName>
    <definedName name="xig3p" localSheetId="10">#REF!</definedName>
    <definedName name="xig3p" localSheetId="6">#REF!</definedName>
    <definedName name="xig3p" localSheetId="7">#REF!</definedName>
    <definedName name="xig3p" localSheetId="14">#REF!</definedName>
    <definedName name="xig3p" localSheetId="15">#REF!</definedName>
    <definedName name="xig3p" localSheetId="8">#REF!</definedName>
    <definedName name="xig3p">#REF!</definedName>
    <definedName name="XIGnc" localSheetId="9">#REF!</definedName>
    <definedName name="XIGnc" localSheetId="10">#REF!</definedName>
    <definedName name="XIGnc" localSheetId="6">#REF!</definedName>
    <definedName name="XIGnc" localSheetId="7">#REF!</definedName>
    <definedName name="XIGnc" localSheetId="14">#REF!</definedName>
    <definedName name="XIGnc" localSheetId="15">#REF!</definedName>
    <definedName name="XIGnc" localSheetId="8">#REF!</definedName>
    <definedName name="XIGnc">#REF!</definedName>
    <definedName name="XIGvc" localSheetId="9">#REF!</definedName>
    <definedName name="XIGvc" localSheetId="10">#REF!</definedName>
    <definedName name="XIGvc" localSheetId="6">#REF!</definedName>
    <definedName name="XIGvc" localSheetId="7">#REF!</definedName>
    <definedName name="XIGvc" localSheetId="14">#REF!</definedName>
    <definedName name="XIGvc" localSheetId="15">#REF!</definedName>
    <definedName name="XIGvc" localSheetId="8">#REF!</definedName>
    <definedName name="XIGvc">#REF!</definedName>
    <definedName name="XIGvl" localSheetId="9">#REF!</definedName>
    <definedName name="XIGvl" localSheetId="10">#REF!</definedName>
    <definedName name="XIGvl" localSheetId="6">#REF!</definedName>
    <definedName name="XIGvl" localSheetId="7">#REF!</definedName>
    <definedName name="XIGvl" localSheetId="14">#REF!</definedName>
    <definedName name="XIGvl" localSheetId="15">#REF!</definedName>
    <definedName name="XIGvl" localSheetId="8">#REF!</definedName>
    <definedName name="XIGvl">#REF!</definedName>
    <definedName name="ximang" localSheetId="9">#REF!</definedName>
    <definedName name="ximang" localSheetId="10">#REF!</definedName>
    <definedName name="ximang" localSheetId="6">#REF!</definedName>
    <definedName name="ximang" localSheetId="7">#REF!</definedName>
    <definedName name="ximang" localSheetId="14">#REF!</definedName>
    <definedName name="ximang" localSheetId="15">#REF!</definedName>
    <definedName name="ximang" localSheetId="8">#REF!</definedName>
    <definedName name="ximang">#REF!</definedName>
    <definedName name="xin" localSheetId="9">#REF!</definedName>
    <definedName name="xin" localSheetId="10">#REF!</definedName>
    <definedName name="xin" localSheetId="6">#REF!</definedName>
    <definedName name="xin" localSheetId="7">#REF!</definedName>
    <definedName name="xin" localSheetId="14">#REF!</definedName>
    <definedName name="xin" localSheetId="15">#REF!</definedName>
    <definedName name="xin" localSheetId="8">#REF!</definedName>
    <definedName name="xin">#REF!</definedName>
    <definedName name="xin190" localSheetId="9">#REF!</definedName>
    <definedName name="xin190" localSheetId="10">#REF!</definedName>
    <definedName name="xin190" localSheetId="6">#REF!</definedName>
    <definedName name="xin190" localSheetId="7">#REF!</definedName>
    <definedName name="xin190" localSheetId="14">#REF!</definedName>
    <definedName name="xin190" localSheetId="15">#REF!</definedName>
    <definedName name="xin190" localSheetId="8">#REF!</definedName>
    <definedName name="xin190">#REF!</definedName>
    <definedName name="xin1903p" localSheetId="9">#REF!</definedName>
    <definedName name="xin1903p" localSheetId="10">#REF!</definedName>
    <definedName name="xin1903p" localSheetId="6">#REF!</definedName>
    <definedName name="xin1903p" localSheetId="7">#REF!</definedName>
    <definedName name="xin1903p" localSheetId="14">#REF!</definedName>
    <definedName name="xin1903p" localSheetId="15">#REF!</definedName>
    <definedName name="xin1903p" localSheetId="8">#REF!</definedName>
    <definedName name="xin1903p">#REF!</definedName>
    <definedName name="xin3p" localSheetId="9">#REF!</definedName>
    <definedName name="xin3p" localSheetId="10">#REF!</definedName>
    <definedName name="xin3p" localSheetId="6">#REF!</definedName>
    <definedName name="xin3p" localSheetId="7">#REF!</definedName>
    <definedName name="xin3p" localSheetId="14">#REF!</definedName>
    <definedName name="xin3p" localSheetId="15">#REF!</definedName>
    <definedName name="xin3p" localSheetId="8">#REF!</definedName>
    <definedName name="xin3p">#REF!</definedName>
    <definedName name="xind" localSheetId="9">#REF!</definedName>
    <definedName name="xind" localSheetId="10">#REF!</definedName>
    <definedName name="xind" localSheetId="6">#REF!</definedName>
    <definedName name="xind" localSheetId="7">#REF!</definedName>
    <definedName name="xind" localSheetId="14">#REF!</definedName>
    <definedName name="xind" localSheetId="15">#REF!</definedName>
    <definedName name="xind" localSheetId="8">#REF!</definedName>
    <definedName name="xind">#REF!</definedName>
    <definedName name="xind1p" localSheetId="9">#REF!</definedName>
    <definedName name="xind1p" localSheetId="10">#REF!</definedName>
    <definedName name="xind1p" localSheetId="6">#REF!</definedName>
    <definedName name="xind1p" localSheetId="7">#REF!</definedName>
    <definedName name="xind1p" localSheetId="14">#REF!</definedName>
    <definedName name="xind1p" localSheetId="15">#REF!</definedName>
    <definedName name="xind1p" localSheetId="8">#REF!</definedName>
    <definedName name="xind1p">#REF!</definedName>
    <definedName name="xind3p" localSheetId="9">#REF!</definedName>
    <definedName name="xind3p" localSheetId="10">#REF!</definedName>
    <definedName name="xind3p" localSheetId="6">#REF!</definedName>
    <definedName name="xind3p" localSheetId="7">#REF!</definedName>
    <definedName name="xind3p" localSheetId="14">#REF!</definedName>
    <definedName name="xind3p" localSheetId="15">#REF!</definedName>
    <definedName name="xind3p" localSheetId="8">#REF!</definedName>
    <definedName name="xind3p">#REF!</definedName>
    <definedName name="xindnc1p" localSheetId="9">#REF!</definedName>
    <definedName name="xindnc1p" localSheetId="10">#REF!</definedName>
    <definedName name="xindnc1p" localSheetId="6">#REF!</definedName>
    <definedName name="xindnc1p" localSheetId="7">#REF!</definedName>
    <definedName name="xindnc1p" localSheetId="14">#REF!</definedName>
    <definedName name="xindnc1p" localSheetId="15">#REF!</definedName>
    <definedName name="xindnc1p" localSheetId="8">#REF!</definedName>
    <definedName name="xindnc1p">#REF!</definedName>
    <definedName name="xindvl1p" localSheetId="9">#REF!</definedName>
    <definedName name="xindvl1p" localSheetId="10">#REF!</definedName>
    <definedName name="xindvl1p" localSheetId="6">#REF!</definedName>
    <definedName name="xindvl1p" localSheetId="7">#REF!</definedName>
    <definedName name="xindvl1p" localSheetId="14">#REF!</definedName>
    <definedName name="xindvl1p" localSheetId="15">#REF!</definedName>
    <definedName name="xindvl1p" localSheetId="8">#REF!</definedName>
    <definedName name="xindvl1p">#REF!</definedName>
    <definedName name="xing1p" localSheetId="9">#REF!</definedName>
    <definedName name="xing1p" localSheetId="10">#REF!</definedName>
    <definedName name="xing1p" localSheetId="6">#REF!</definedName>
    <definedName name="xing1p" localSheetId="7">#REF!</definedName>
    <definedName name="xing1p" localSheetId="14">#REF!</definedName>
    <definedName name="xing1p" localSheetId="15">#REF!</definedName>
    <definedName name="xing1p" localSheetId="8">#REF!</definedName>
    <definedName name="xing1p">#REF!</definedName>
    <definedName name="xingnc1p" localSheetId="9">#REF!</definedName>
    <definedName name="xingnc1p" localSheetId="10">#REF!</definedName>
    <definedName name="xingnc1p" localSheetId="6">#REF!</definedName>
    <definedName name="xingnc1p" localSheetId="7">#REF!</definedName>
    <definedName name="xingnc1p" localSheetId="14">#REF!</definedName>
    <definedName name="xingnc1p" localSheetId="15">#REF!</definedName>
    <definedName name="xingnc1p" localSheetId="8">#REF!</definedName>
    <definedName name="xingnc1p">#REF!</definedName>
    <definedName name="xingvl1p" localSheetId="9">#REF!</definedName>
    <definedName name="xingvl1p" localSheetId="10">#REF!</definedName>
    <definedName name="xingvl1p" localSheetId="6">#REF!</definedName>
    <definedName name="xingvl1p" localSheetId="7">#REF!</definedName>
    <definedName name="xingvl1p" localSheetId="14">#REF!</definedName>
    <definedName name="xingvl1p" localSheetId="15">#REF!</definedName>
    <definedName name="xingvl1p" localSheetId="8">#REF!</definedName>
    <definedName name="xingvl1p">#REF!</definedName>
    <definedName name="XINnc" localSheetId="9">#REF!</definedName>
    <definedName name="XINnc" localSheetId="10">#REF!</definedName>
    <definedName name="XINnc" localSheetId="6">#REF!</definedName>
    <definedName name="XINnc" localSheetId="7">#REF!</definedName>
    <definedName name="XINnc" localSheetId="14">#REF!</definedName>
    <definedName name="XINnc" localSheetId="15">#REF!</definedName>
    <definedName name="XINnc" localSheetId="8">#REF!</definedName>
    <definedName name="XINnc">#REF!</definedName>
    <definedName name="xint1p" localSheetId="9">#REF!</definedName>
    <definedName name="xint1p" localSheetId="10">#REF!</definedName>
    <definedName name="xint1p" localSheetId="6">#REF!</definedName>
    <definedName name="xint1p" localSheetId="7">#REF!</definedName>
    <definedName name="xint1p" localSheetId="14">#REF!</definedName>
    <definedName name="xint1p" localSheetId="15">#REF!</definedName>
    <definedName name="xint1p" localSheetId="8">#REF!</definedName>
    <definedName name="xint1p">#REF!</definedName>
    <definedName name="XINvc" localSheetId="9">#REF!</definedName>
    <definedName name="XINvc" localSheetId="10">#REF!</definedName>
    <definedName name="XINvc" localSheetId="6">#REF!</definedName>
    <definedName name="XINvc" localSheetId="7">#REF!</definedName>
    <definedName name="XINvc" localSheetId="14">#REF!</definedName>
    <definedName name="XINvc" localSheetId="15">#REF!</definedName>
    <definedName name="XINvc" localSheetId="8">#REF!</definedName>
    <definedName name="XINvc">#REF!</definedName>
    <definedName name="XINvl" localSheetId="9">#REF!</definedName>
    <definedName name="XINvl" localSheetId="10">#REF!</definedName>
    <definedName name="XINvl" localSheetId="6">#REF!</definedName>
    <definedName name="XINvl" localSheetId="7">#REF!</definedName>
    <definedName name="XINvl" localSheetId="14">#REF!</definedName>
    <definedName name="XINvl" localSheetId="15">#REF!</definedName>
    <definedName name="XINvl" localSheetId="8">#REF!</definedName>
    <definedName name="XINvl">#REF!</definedName>
    <definedName name="xit" localSheetId="9">#REF!</definedName>
    <definedName name="xit" localSheetId="10">#REF!</definedName>
    <definedName name="xit" localSheetId="6">#REF!</definedName>
    <definedName name="xit" localSheetId="7">#REF!</definedName>
    <definedName name="xit" localSheetId="14">#REF!</definedName>
    <definedName name="xit" localSheetId="15">#REF!</definedName>
    <definedName name="xit" localSheetId="8">#REF!</definedName>
    <definedName name="xit">#REF!</definedName>
    <definedName name="xit1" localSheetId="9">#REF!</definedName>
    <definedName name="xit1" localSheetId="10">#REF!</definedName>
    <definedName name="xit1" localSheetId="6">#REF!</definedName>
    <definedName name="xit1" localSheetId="7">#REF!</definedName>
    <definedName name="xit1" localSheetId="14">#REF!</definedName>
    <definedName name="xit1" localSheetId="15">#REF!</definedName>
    <definedName name="xit1" localSheetId="8">#REF!</definedName>
    <definedName name="xit1">#REF!</definedName>
    <definedName name="xit1p" localSheetId="9">#REF!</definedName>
    <definedName name="xit1p" localSheetId="10">#REF!</definedName>
    <definedName name="xit1p" localSheetId="6">#REF!</definedName>
    <definedName name="xit1p" localSheetId="7">#REF!</definedName>
    <definedName name="xit1p" localSheetId="14">#REF!</definedName>
    <definedName name="xit1p" localSheetId="15">#REF!</definedName>
    <definedName name="xit1p" localSheetId="8">#REF!</definedName>
    <definedName name="xit1p">#REF!</definedName>
    <definedName name="xit3p" localSheetId="9">#REF!</definedName>
    <definedName name="xit3p" localSheetId="10">#REF!</definedName>
    <definedName name="xit3p" localSheetId="6">#REF!</definedName>
    <definedName name="xit3p" localSheetId="7">#REF!</definedName>
    <definedName name="xit3p" localSheetId="14">#REF!</definedName>
    <definedName name="xit3p" localSheetId="15">#REF!</definedName>
    <definedName name="xit3p" localSheetId="8">#REF!</definedName>
    <definedName name="xit3p">#REF!</definedName>
    <definedName name="XITnc" localSheetId="9">#REF!</definedName>
    <definedName name="XITnc" localSheetId="10">#REF!</definedName>
    <definedName name="XITnc" localSheetId="6">#REF!</definedName>
    <definedName name="XITnc" localSheetId="7">#REF!</definedName>
    <definedName name="XITnc" localSheetId="14">#REF!</definedName>
    <definedName name="XITnc" localSheetId="15">#REF!</definedName>
    <definedName name="XITnc" localSheetId="8">#REF!</definedName>
    <definedName name="XITnc">#REF!</definedName>
    <definedName name="XITvc" localSheetId="9">#REF!</definedName>
    <definedName name="XITvc" localSheetId="10">#REF!</definedName>
    <definedName name="XITvc" localSheetId="6">#REF!</definedName>
    <definedName name="XITvc" localSheetId="7">#REF!</definedName>
    <definedName name="XITvc" localSheetId="14">#REF!</definedName>
    <definedName name="XITvc" localSheetId="15">#REF!</definedName>
    <definedName name="XITvc" localSheetId="8">#REF!</definedName>
    <definedName name="XITvc">#REF!</definedName>
    <definedName name="XITvl" localSheetId="9">#REF!</definedName>
    <definedName name="XITvl" localSheetId="10">#REF!</definedName>
    <definedName name="XITvl" localSheetId="6">#REF!</definedName>
    <definedName name="XITvl" localSheetId="7">#REF!</definedName>
    <definedName name="XITvl" localSheetId="14">#REF!</definedName>
    <definedName name="XITvl" localSheetId="15">#REF!</definedName>
    <definedName name="XITvl" localSheetId="8">#REF!</definedName>
    <definedName name="XITvl">#REF!</definedName>
    <definedName name="xk0.6" localSheetId="9">#REF!</definedName>
    <definedName name="xk0.6" localSheetId="10">#REF!</definedName>
    <definedName name="xk0.6" localSheetId="6">#REF!</definedName>
    <definedName name="xk0.6" localSheetId="7">#REF!</definedName>
    <definedName name="xk0.6" localSheetId="14">#REF!</definedName>
    <definedName name="xk0.6" localSheetId="15">#REF!</definedName>
    <definedName name="xk0.6" localSheetId="8">#REF!</definedName>
    <definedName name="xk0.6">#REF!</definedName>
    <definedName name="xk1.3" localSheetId="9">#REF!</definedName>
    <definedName name="xk1.3" localSheetId="10">#REF!</definedName>
    <definedName name="xk1.3" localSheetId="6">#REF!</definedName>
    <definedName name="xk1.3" localSheetId="7">#REF!</definedName>
    <definedName name="xk1.3" localSheetId="14">#REF!</definedName>
    <definedName name="xk1.3" localSheetId="15">#REF!</definedName>
    <definedName name="xk1.3" localSheetId="8">#REF!</definedName>
    <definedName name="xk1.3">#REF!</definedName>
    <definedName name="xk1.5" localSheetId="9">#REF!</definedName>
    <definedName name="xk1.5" localSheetId="10">#REF!</definedName>
    <definedName name="xk1.5" localSheetId="6">#REF!</definedName>
    <definedName name="xk1.5" localSheetId="7">#REF!</definedName>
    <definedName name="xk1.5" localSheetId="14">#REF!</definedName>
    <definedName name="xk1.5" localSheetId="15">#REF!</definedName>
    <definedName name="xk1.5" localSheetId="8">#REF!</definedName>
    <definedName name="xk1.5">#REF!</definedName>
    <definedName name="xld1.4" localSheetId="9">#REF!</definedName>
    <definedName name="xld1.4" localSheetId="10">#REF!</definedName>
    <definedName name="xld1.4" localSheetId="6">#REF!</definedName>
    <definedName name="xld1.4" localSheetId="7">#REF!</definedName>
    <definedName name="xld1.4" localSheetId="14">#REF!</definedName>
    <definedName name="xld1.4" localSheetId="15">#REF!</definedName>
    <definedName name="xld1.4" localSheetId="8">#REF!</definedName>
    <definedName name="xld1.4">#REF!</definedName>
    <definedName name="xlk1.4" localSheetId="9">#REF!</definedName>
    <definedName name="xlk1.4" localSheetId="10">#REF!</definedName>
    <definedName name="xlk1.4" localSheetId="6">#REF!</definedName>
    <definedName name="xlk1.4" localSheetId="7">#REF!</definedName>
    <definedName name="xlk1.4" localSheetId="14">#REF!</definedName>
    <definedName name="xlk1.4" localSheetId="15">#REF!</definedName>
    <definedName name="xlk1.4" localSheetId="8">#REF!</definedName>
    <definedName name="xlk1.4">#REF!</definedName>
    <definedName name="XM" localSheetId="9">#REF!</definedName>
    <definedName name="XM" localSheetId="10">#REF!</definedName>
    <definedName name="XM" localSheetId="6">#REF!</definedName>
    <definedName name="XM" localSheetId="7">#REF!</definedName>
    <definedName name="XM" localSheetId="14">#REF!</definedName>
    <definedName name="XM" localSheetId="15">#REF!</definedName>
    <definedName name="XM" localSheetId="8">#REF!</definedName>
    <definedName name="XM">#REF!</definedName>
    <definedName name="xmcax" localSheetId="9">#REF!</definedName>
    <definedName name="xmcax" localSheetId="10">#REF!</definedName>
    <definedName name="xmcax" localSheetId="6">#REF!</definedName>
    <definedName name="xmcax" localSheetId="7">#REF!</definedName>
    <definedName name="xmcax" localSheetId="14">#REF!</definedName>
    <definedName name="xmcax" localSheetId="15">#REF!</definedName>
    <definedName name="xmcax" localSheetId="8">#REF!</definedName>
    <definedName name="xmcax">#REF!</definedName>
    <definedName name="xn" localSheetId="9">#REF!</definedName>
    <definedName name="xn" localSheetId="10">#REF!</definedName>
    <definedName name="xn" localSheetId="6">#REF!</definedName>
    <definedName name="xn" localSheetId="7">#REF!</definedName>
    <definedName name="xn" localSheetId="14">#REF!</definedName>
    <definedName name="xn" localSheetId="15">#REF!</definedName>
    <definedName name="xn" localSheetId="8">#REF!</definedName>
    <definedName name="xn">#REF!</definedName>
    <definedName name="xx" localSheetId="9">#REF!</definedName>
    <definedName name="xx" localSheetId="10">#REF!</definedName>
    <definedName name="xx" localSheetId="6">#REF!</definedName>
    <definedName name="xx" localSheetId="7">#REF!</definedName>
    <definedName name="xx" localSheetId="14">#REF!</definedName>
    <definedName name="xx" localSheetId="15">#REF!</definedName>
    <definedName name="xx" localSheetId="8">#REF!</definedName>
    <definedName name="xx">#REF!</definedName>
    <definedName name="y" localSheetId="9">#REF!</definedName>
    <definedName name="y" localSheetId="10">#REF!</definedName>
    <definedName name="y" localSheetId="6">#REF!</definedName>
    <definedName name="y" localSheetId="7">#REF!</definedName>
    <definedName name="y" localSheetId="14">#REF!</definedName>
    <definedName name="y" localSheetId="15">#REF!</definedName>
    <definedName name="y" localSheetId="8">#REF!</definedName>
    <definedName name="y">#REF!</definedName>
    <definedName name="z" localSheetId="9">#REF!</definedName>
    <definedName name="z" localSheetId="10">#REF!</definedName>
    <definedName name="z" localSheetId="6">#REF!</definedName>
    <definedName name="z" localSheetId="7">#REF!</definedName>
    <definedName name="z" localSheetId="14">#REF!</definedName>
    <definedName name="z" localSheetId="15">#REF!</definedName>
    <definedName name="z" localSheetId="8">#REF!</definedName>
    <definedName name="z">#REF!</definedName>
    <definedName name="ZXD" localSheetId="9">#REF!</definedName>
    <definedName name="ZXD" localSheetId="10">#REF!</definedName>
    <definedName name="ZXD" localSheetId="6">#REF!</definedName>
    <definedName name="ZXD" localSheetId="7">#REF!</definedName>
    <definedName name="ZXD" localSheetId="14">#REF!</definedName>
    <definedName name="ZXD" localSheetId="15">#REF!</definedName>
    <definedName name="ZXD" localSheetId="8">#REF!</definedName>
    <definedName name="ZXD">#REF!</definedName>
    <definedName name="ZYX" localSheetId="9">#REF!</definedName>
    <definedName name="ZYX" localSheetId="10">#REF!</definedName>
    <definedName name="ZYX" localSheetId="6">#REF!</definedName>
    <definedName name="ZYX" localSheetId="7">#REF!</definedName>
    <definedName name="ZYX" localSheetId="14">#REF!</definedName>
    <definedName name="ZYX" localSheetId="15">#REF!</definedName>
    <definedName name="ZYX" localSheetId="8">#REF!</definedName>
    <definedName name="ZYX">#REF!</definedName>
    <definedName name="ZZZ" localSheetId="9">#REF!</definedName>
    <definedName name="ZZZ" localSheetId="10">#REF!</definedName>
    <definedName name="ZZZ" localSheetId="6">#REF!</definedName>
    <definedName name="ZZZ" localSheetId="7">#REF!</definedName>
    <definedName name="ZZZ" localSheetId="14">#REF!</definedName>
    <definedName name="ZZZ" localSheetId="15">#REF!</definedName>
    <definedName name="ZZZ" localSheetId="8">#REF!</definedName>
    <definedName name="ZZZ">#REF!</definedName>
  </definedNames>
  <calcPr calcId="144525"/>
</workbook>
</file>

<file path=xl/calcChain.xml><?xml version="1.0" encoding="utf-8"?>
<calcChain xmlns="http://schemas.openxmlformats.org/spreadsheetml/2006/main">
  <c r="J18" i="9" l="1"/>
  <c r="L20" i="9"/>
  <c r="J20" i="9" s="1"/>
  <c r="L19" i="9"/>
  <c r="J19" i="9" s="1"/>
  <c r="L18" i="9"/>
  <c r="L17" i="9"/>
  <c r="J17" i="9" s="1"/>
  <c r="L16" i="9"/>
  <c r="J16" i="9" s="1"/>
  <c r="L15" i="9"/>
  <c r="J15" i="9" s="1"/>
  <c r="L14" i="9"/>
  <c r="J14" i="9" s="1"/>
  <c r="L13" i="9"/>
  <c r="J13" i="9" s="1"/>
  <c r="L12" i="9"/>
  <c r="J12" i="9" s="1"/>
  <c r="K11" i="9"/>
  <c r="M11" i="9"/>
  <c r="I11" i="9"/>
  <c r="L11" i="9" l="1"/>
  <c r="E44" i="2"/>
  <c r="V7" i="39" l="1"/>
  <c r="G56" i="42" l="1"/>
  <c r="F56" i="42"/>
  <c r="F55" i="42"/>
  <c r="F54" i="42"/>
  <c r="D53" i="42"/>
  <c r="F53" i="42" s="1"/>
  <c r="F52" i="42"/>
  <c r="E52" i="42"/>
  <c r="G52" i="42" s="1"/>
  <c r="E50" i="42"/>
  <c r="D50" i="42"/>
  <c r="F48" i="42"/>
  <c r="E48" i="42"/>
  <c r="F47" i="42"/>
  <c r="E46" i="42"/>
  <c r="F46" i="42" s="1"/>
  <c r="E45" i="42"/>
  <c r="F45" i="42" s="1"/>
  <c r="C45" i="42"/>
  <c r="F44" i="42"/>
  <c r="E44" i="42"/>
  <c r="E43" i="42"/>
  <c r="D43" i="42"/>
  <c r="F43" i="42" s="1"/>
  <c r="C43" i="42"/>
  <c r="I42" i="42"/>
  <c r="F42" i="42"/>
  <c r="F41" i="42"/>
  <c r="F40" i="42"/>
  <c r="F39" i="42"/>
  <c r="F38" i="42"/>
  <c r="E38" i="42"/>
  <c r="G38" i="42" s="1"/>
  <c r="E37" i="42"/>
  <c r="F37" i="42" s="1"/>
  <c r="C37" i="42"/>
  <c r="D36" i="42"/>
  <c r="D35" i="42" s="1"/>
  <c r="C36" i="42"/>
  <c r="C35" i="42"/>
  <c r="E34" i="42"/>
  <c r="F34" i="42" s="1"/>
  <c r="E33" i="42"/>
  <c r="F33" i="42" s="1"/>
  <c r="G32" i="42"/>
  <c r="F32" i="42"/>
  <c r="E31" i="42"/>
  <c r="F31" i="42" s="1"/>
  <c r="E30" i="42"/>
  <c r="F30" i="42" s="1"/>
  <c r="E29" i="42"/>
  <c r="F29" i="42" s="1"/>
  <c r="G28" i="42"/>
  <c r="F28" i="42"/>
  <c r="G27" i="42"/>
  <c r="F27" i="42"/>
  <c r="F26" i="42"/>
  <c r="E26" i="42"/>
  <c r="G26" i="42" s="1"/>
  <c r="E25" i="42"/>
  <c r="F25" i="42" s="1"/>
  <c r="D25" i="42"/>
  <c r="C25" i="42"/>
  <c r="F24" i="42"/>
  <c r="F23" i="42"/>
  <c r="F22" i="42"/>
  <c r="F21" i="42"/>
  <c r="E21" i="42"/>
  <c r="E20" i="42"/>
  <c r="F20" i="42" s="1"/>
  <c r="D20" i="42"/>
  <c r="C20" i="42"/>
  <c r="C19" i="42" s="1"/>
  <c r="D19" i="42"/>
  <c r="E18" i="42"/>
  <c r="F18" i="42" s="1"/>
  <c r="F17" i="42"/>
  <c r="E17" i="42"/>
  <c r="G17" i="42" s="1"/>
  <c r="E16" i="42"/>
  <c r="F16" i="42" s="1"/>
  <c r="D16" i="42"/>
  <c r="C16" i="42"/>
  <c r="C15" i="42" s="1"/>
  <c r="D15" i="42"/>
  <c r="M4" i="35"/>
  <c r="P2" i="35"/>
  <c r="O2" i="35"/>
  <c r="G16" i="42" l="1"/>
  <c r="G18" i="42"/>
  <c r="G20" i="42"/>
  <c r="G25" i="42"/>
  <c r="G37" i="42"/>
  <c r="E19" i="42"/>
  <c r="E15" i="42" s="1"/>
  <c r="E36" i="42"/>
  <c r="G15" i="42" l="1"/>
  <c r="F15" i="42"/>
  <c r="F36" i="42"/>
  <c r="E35" i="42"/>
  <c r="G19" i="42"/>
  <c r="F19" i="42"/>
  <c r="F35" i="42" l="1"/>
  <c r="G35" i="42"/>
  <c r="E49" i="42"/>
  <c r="I49" i="42" s="1"/>
  <c r="T92" i="41" l="1"/>
  <c r="L88" i="41"/>
  <c r="G85" i="41"/>
  <c r="N84" i="41"/>
  <c r="K84" i="41"/>
  <c r="H84" i="41"/>
  <c r="G84" i="41"/>
  <c r="D84" i="41"/>
  <c r="D82" i="41" s="1"/>
  <c r="C84" i="41"/>
  <c r="G83" i="41"/>
  <c r="O82" i="41"/>
  <c r="N82" i="41"/>
  <c r="M82" i="41"/>
  <c r="M88" i="41" s="1"/>
  <c r="L82" i="41"/>
  <c r="J82" i="41"/>
  <c r="J88" i="41" s="1"/>
  <c r="I82" i="41"/>
  <c r="I88" i="41" s="1"/>
  <c r="C82" i="41"/>
  <c r="K79" i="41"/>
  <c r="H79" i="41"/>
  <c r="G79" i="41" s="1"/>
  <c r="G78" i="41"/>
  <c r="D78" i="41"/>
  <c r="C78" i="41"/>
  <c r="C77" i="41" s="1"/>
  <c r="N77" i="41"/>
  <c r="K77" i="41" s="1"/>
  <c r="K62" i="41" s="1"/>
  <c r="M77" i="41"/>
  <c r="J77" i="41"/>
  <c r="J62" i="41" s="1"/>
  <c r="J56" i="41" s="1"/>
  <c r="I77" i="41"/>
  <c r="H77" i="41" s="1"/>
  <c r="E77" i="41"/>
  <c r="D77" i="41"/>
  <c r="N76" i="41"/>
  <c r="K76" i="41"/>
  <c r="H76" i="41"/>
  <c r="S76" i="41" s="1"/>
  <c r="E76" i="41"/>
  <c r="N75" i="41"/>
  <c r="K75" i="41"/>
  <c r="H75" i="41"/>
  <c r="S75" i="41" s="1"/>
  <c r="E75" i="41"/>
  <c r="N74" i="41"/>
  <c r="K74" i="41"/>
  <c r="H74" i="41"/>
  <c r="S74" i="41" s="1"/>
  <c r="E74" i="41"/>
  <c r="N73" i="41"/>
  <c r="K73" i="41"/>
  <c r="H73" i="41"/>
  <c r="S73" i="41" s="1"/>
  <c r="E73" i="41"/>
  <c r="N72" i="41"/>
  <c r="K72" i="41"/>
  <c r="H72" i="41"/>
  <c r="S72" i="41" s="1"/>
  <c r="E72" i="41"/>
  <c r="N71" i="41"/>
  <c r="K71" i="41"/>
  <c r="H71" i="41"/>
  <c r="S71" i="41" s="1"/>
  <c r="E71" i="41"/>
  <c r="N70" i="41"/>
  <c r="K70" i="41"/>
  <c r="H70" i="41"/>
  <c r="S70" i="41" s="1"/>
  <c r="D70" i="41"/>
  <c r="E70" i="41" s="1"/>
  <c r="C70" i="41"/>
  <c r="C62" i="41" s="1"/>
  <c r="C56" i="41" s="1"/>
  <c r="C9" i="41" s="1"/>
  <c r="N69" i="41"/>
  <c r="K69" i="41"/>
  <c r="H69" i="41"/>
  <c r="G69" i="41" s="1"/>
  <c r="E69" i="41"/>
  <c r="S69" i="41" s="1"/>
  <c r="N68" i="41"/>
  <c r="K68" i="41"/>
  <c r="H68" i="41"/>
  <c r="G68" i="41" s="1"/>
  <c r="E68" i="41"/>
  <c r="S68" i="41" s="1"/>
  <c r="N67" i="41"/>
  <c r="K67" i="41"/>
  <c r="H67" i="41"/>
  <c r="G67" i="41" s="1"/>
  <c r="E67" i="41"/>
  <c r="S67" i="41" s="1"/>
  <c r="N66" i="41"/>
  <c r="K66" i="41"/>
  <c r="H66" i="41"/>
  <c r="G66" i="41" s="1"/>
  <c r="E66" i="41"/>
  <c r="S66" i="41" s="1"/>
  <c r="N65" i="41"/>
  <c r="K65" i="41"/>
  <c r="H65" i="41"/>
  <c r="G65" i="41" s="1"/>
  <c r="E65" i="41"/>
  <c r="S65" i="41" s="1"/>
  <c r="N64" i="41"/>
  <c r="N62" i="41" s="1"/>
  <c r="K64" i="41"/>
  <c r="H64" i="41"/>
  <c r="G64" i="41" s="1"/>
  <c r="E64" i="41"/>
  <c r="S64" i="41" s="1"/>
  <c r="N63" i="41"/>
  <c r="K63" i="41"/>
  <c r="H63" i="41"/>
  <c r="G63" i="41"/>
  <c r="P62" i="41"/>
  <c r="O62" i="41"/>
  <c r="O56" i="41" s="1"/>
  <c r="M62" i="41"/>
  <c r="L62" i="41"/>
  <c r="I62" i="41"/>
  <c r="D62" i="41"/>
  <c r="N61" i="41"/>
  <c r="K61" i="41" s="1"/>
  <c r="G61" i="41" s="1"/>
  <c r="H61" i="41"/>
  <c r="N60" i="41"/>
  <c r="N57" i="41" s="1"/>
  <c r="N56" i="41" s="1"/>
  <c r="K60" i="41"/>
  <c r="G60" i="41" s="1"/>
  <c r="H60" i="41"/>
  <c r="S59" i="41"/>
  <c r="N59" i="41"/>
  <c r="K59" i="41"/>
  <c r="K57" i="41" s="1"/>
  <c r="K56" i="41" s="1"/>
  <c r="H59" i="41"/>
  <c r="G59" i="41" s="1"/>
  <c r="N58" i="41"/>
  <c r="K58" i="41"/>
  <c r="H58" i="41"/>
  <c r="S58" i="41" s="1"/>
  <c r="P57" i="41"/>
  <c r="O57" i="41"/>
  <c r="M57" i="41"/>
  <c r="L57" i="41"/>
  <c r="J57" i="41"/>
  <c r="I57" i="41"/>
  <c r="E57" i="41"/>
  <c r="D57" i="41"/>
  <c r="C57" i="41"/>
  <c r="P56" i="41"/>
  <c r="M56" i="41"/>
  <c r="L56" i="41"/>
  <c r="I56" i="41"/>
  <c r="D56" i="41"/>
  <c r="T54" i="41"/>
  <c r="S54" i="41"/>
  <c r="R54" i="41"/>
  <c r="Q54" i="41"/>
  <c r="S53" i="41"/>
  <c r="Q53" i="41"/>
  <c r="G53" i="41"/>
  <c r="R53" i="41" s="1"/>
  <c r="H52" i="41"/>
  <c r="S52" i="41" s="1"/>
  <c r="D52" i="41"/>
  <c r="K51" i="41"/>
  <c r="G51" i="41" s="1"/>
  <c r="R51" i="41" s="1"/>
  <c r="H51" i="41"/>
  <c r="P50" i="41"/>
  <c r="N50" i="41" s="1"/>
  <c r="K50" i="41" s="1"/>
  <c r="H50" i="41"/>
  <c r="N49" i="41"/>
  <c r="K49" i="41"/>
  <c r="H49" i="41"/>
  <c r="G49" i="41" s="1"/>
  <c r="R49" i="41" s="1"/>
  <c r="N48" i="41"/>
  <c r="K48" i="41" s="1"/>
  <c r="H48" i="41"/>
  <c r="R47" i="41"/>
  <c r="Q47" i="41"/>
  <c r="K47" i="41"/>
  <c r="G47" i="41"/>
  <c r="K46" i="41"/>
  <c r="G46" i="41" s="1"/>
  <c r="R46" i="41" s="1"/>
  <c r="H46" i="41"/>
  <c r="K45" i="41"/>
  <c r="G45" i="41" s="1"/>
  <c r="R45" i="41" s="1"/>
  <c r="H45" i="41"/>
  <c r="K44" i="41"/>
  <c r="J44" i="41"/>
  <c r="H44" i="41"/>
  <c r="G44" i="41"/>
  <c r="R44" i="41" s="1"/>
  <c r="K43" i="41"/>
  <c r="H43" i="41"/>
  <c r="G43" i="41"/>
  <c r="R43" i="41" s="1"/>
  <c r="S42" i="41"/>
  <c r="K42" i="41"/>
  <c r="G42" i="41" s="1"/>
  <c r="K41" i="41"/>
  <c r="T41" i="41" s="1"/>
  <c r="H41" i="41"/>
  <c r="S41" i="41" s="1"/>
  <c r="K39" i="41"/>
  <c r="J39" i="41"/>
  <c r="H39" i="41" s="1"/>
  <c r="G39" i="41" s="1"/>
  <c r="R39" i="41" s="1"/>
  <c r="K38" i="41"/>
  <c r="H38" i="41"/>
  <c r="G38" i="41" s="1"/>
  <c r="R38" i="41" s="1"/>
  <c r="P37" i="41"/>
  <c r="O37" i="41"/>
  <c r="M37" i="41"/>
  <c r="L37" i="41"/>
  <c r="I37" i="41"/>
  <c r="D37" i="41"/>
  <c r="C37" i="41"/>
  <c r="T36" i="41"/>
  <c r="S36" i="41"/>
  <c r="R36" i="41"/>
  <c r="G36" i="41"/>
  <c r="Q36" i="41" s="1"/>
  <c r="T35" i="41"/>
  <c r="S35" i="41"/>
  <c r="G35" i="41"/>
  <c r="R35" i="41" s="1"/>
  <c r="T34" i="41"/>
  <c r="S34" i="41"/>
  <c r="Q34" i="41"/>
  <c r="G34" i="41"/>
  <c r="R34" i="41" s="1"/>
  <c r="T33" i="41"/>
  <c r="S33" i="41"/>
  <c r="R33" i="41"/>
  <c r="Q33" i="41"/>
  <c r="G33" i="41"/>
  <c r="T32" i="41"/>
  <c r="S32" i="41"/>
  <c r="R32" i="41"/>
  <c r="G32" i="41"/>
  <c r="Q32" i="41" s="1"/>
  <c r="T31" i="41"/>
  <c r="S31" i="41"/>
  <c r="L31" i="41"/>
  <c r="G31" i="41"/>
  <c r="R31" i="41" s="1"/>
  <c r="T30" i="41"/>
  <c r="S30" i="41"/>
  <c r="R30" i="41"/>
  <c r="Q30" i="41"/>
  <c r="T29" i="41"/>
  <c r="S29" i="41"/>
  <c r="R29" i="41"/>
  <c r="Q29" i="41"/>
  <c r="T28" i="41"/>
  <c r="S28" i="41"/>
  <c r="G27" i="41"/>
  <c r="G26" i="41"/>
  <c r="G25" i="41"/>
  <c r="K24" i="41"/>
  <c r="H24" i="41"/>
  <c r="G24" i="41" s="1"/>
  <c r="N23" i="41"/>
  <c r="K23" i="41"/>
  <c r="H23" i="41"/>
  <c r="G23" i="41" s="1"/>
  <c r="N22" i="41"/>
  <c r="K22" i="41"/>
  <c r="I22" i="41"/>
  <c r="H22" i="41" s="1"/>
  <c r="G22" i="41" s="1"/>
  <c r="K21" i="41"/>
  <c r="H21" i="41"/>
  <c r="G21" i="41" s="1"/>
  <c r="K20" i="41"/>
  <c r="G20" i="41"/>
  <c r="K19" i="41"/>
  <c r="G19" i="41" s="1"/>
  <c r="N18" i="41"/>
  <c r="K18" i="41"/>
  <c r="G18" i="41"/>
  <c r="K17" i="41"/>
  <c r="G17" i="41" s="1"/>
  <c r="K16" i="41"/>
  <c r="G16" i="41"/>
  <c r="N15" i="41"/>
  <c r="K15" i="41" s="1"/>
  <c r="H15" i="41"/>
  <c r="K14" i="41"/>
  <c r="G14" i="41" s="1"/>
  <c r="K13" i="41"/>
  <c r="G13" i="41"/>
  <c r="P12" i="41"/>
  <c r="O12" i="41"/>
  <c r="M12" i="41"/>
  <c r="L12" i="41"/>
  <c r="J12" i="41"/>
  <c r="I12" i="41"/>
  <c r="V11" i="41"/>
  <c r="F11" i="41"/>
  <c r="E11" i="41"/>
  <c r="C11" i="41"/>
  <c r="F10" i="41"/>
  <c r="F9" i="41" s="1"/>
  <c r="E10" i="41"/>
  <c r="D10" i="41"/>
  <c r="D88" i="41" s="1"/>
  <c r="C10" i="41"/>
  <c r="C88" i="41" s="1"/>
  <c r="D9" i="41"/>
  <c r="E131" i="40"/>
  <c r="E129" i="40"/>
  <c r="M129" i="40" s="1"/>
  <c r="E128" i="40"/>
  <c r="E127" i="40"/>
  <c r="M127" i="40" s="1"/>
  <c r="H126" i="40"/>
  <c r="E126" i="40"/>
  <c r="M126" i="40" s="1"/>
  <c r="J125" i="40"/>
  <c r="I125" i="40"/>
  <c r="I123" i="40" s="1"/>
  <c r="H125" i="40"/>
  <c r="G125" i="40"/>
  <c r="C125" i="40"/>
  <c r="B125" i="40"/>
  <c r="B123" i="40" s="1"/>
  <c r="E124" i="40"/>
  <c r="M124" i="40" s="1"/>
  <c r="J123" i="40"/>
  <c r="G123" i="40"/>
  <c r="C123" i="40"/>
  <c r="E122" i="40"/>
  <c r="E121" i="40"/>
  <c r="M121" i="40" s="1"/>
  <c r="M120" i="40"/>
  <c r="E120" i="40"/>
  <c r="E119" i="40"/>
  <c r="M119" i="40" s="1"/>
  <c r="M118" i="40"/>
  <c r="E118" i="40"/>
  <c r="E117" i="40" s="1"/>
  <c r="M117" i="40" s="1"/>
  <c r="J117" i="40"/>
  <c r="I117" i="40"/>
  <c r="H117" i="40"/>
  <c r="H113" i="40" s="1"/>
  <c r="G117" i="40"/>
  <c r="G113" i="40" s="1"/>
  <c r="E116" i="40"/>
  <c r="M116" i="40" s="1"/>
  <c r="M115" i="40"/>
  <c r="E115" i="40"/>
  <c r="J113" i="40"/>
  <c r="I113" i="40"/>
  <c r="C113" i="40"/>
  <c r="B113" i="40"/>
  <c r="E112" i="40"/>
  <c r="M112" i="40" s="1"/>
  <c r="E111" i="40"/>
  <c r="M111" i="40" s="1"/>
  <c r="E110" i="40"/>
  <c r="M110" i="40" s="1"/>
  <c r="E109" i="40"/>
  <c r="F108" i="40"/>
  <c r="E108" i="40"/>
  <c r="O107" i="40"/>
  <c r="F107" i="40"/>
  <c r="E107" i="40"/>
  <c r="F106" i="40"/>
  <c r="E106" i="40"/>
  <c r="F105" i="40"/>
  <c r="E105" i="40"/>
  <c r="N104" i="40"/>
  <c r="O105" i="40" s="1"/>
  <c r="H104" i="40"/>
  <c r="F104" i="40" s="1"/>
  <c r="J103" i="40"/>
  <c r="J101" i="40" s="1"/>
  <c r="J100" i="40" s="1"/>
  <c r="I103" i="40"/>
  <c r="I101" i="40" s="1"/>
  <c r="I100" i="40" s="1"/>
  <c r="G103" i="40"/>
  <c r="G101" i="40" s="1"/>
  <c r="G100" i="40" s="1"/>
  <c r="C103" i="40"/>
  <c r="C101" i="40" s="1"/>
  <c r="C100" i="40" s="1"/>
  <c r="B103" i="40"/>
  <c r="F102" i="40"/>
  <c r="E102" i="40"/>
  <c r="B101" i="40"/>
  <c r="B100" i="40" s="1"/>
  <c r="N99" i="40"/>
  <c r="F99" i="40"/>
  <c r="E99" i="40"/>
  <c r="F98" i="40"/>
  <c r="E98" i="40"/>
  <c r="J97" i="40"/>
  <c r="I97" i="40"/>
  <c r="H97" i="40"/>
  <c r="F97" i="40" s="1"/>
  <c r="G97" i="40"/>
  <c r="C97" i="40"/>
  <c r="C93" i="40" s="1"/>
  <c r="B97" i="40"/>
  <c r="F96" i="40"/>
  <c r="E96" i="40"/>
  <c r="F95" i="40"/>
  <c r="E95" i="40"/>
  <c r="J94" i="40"/>
  <c r="J93" i="40" s="1"/>
  <c r="I94" i="40"/>
  <c r="H94" i="40"/>
  <c r="G94" i="40"/>
  <c r="G93" i="40" s="1"/>
  <c r="F94" i="40"/>
  <c r="C94" i="40"/>
  <c r="B94" i="40"/>
  <c r="I93" i="40"/>
  <c r="H93" i="40"/>
  <c r="F92" i="40"/>
  <c r="E92" i="40"/>
  <c r="F91" i="40"/>
  <c r="E91" i="40"/>
  <c r="J90" i="40"/>
  <c r="I90" i="40"/>
  <c r="H90" i="40"/>
  <c r="G90" i="40"/>
  <c r="C90" i="40"/>
  <c r="B90" i="40"/>
  <c r="F89" i="40"/>
  <c r="E89" i="40"/>
  <c r="F88" i="40"/>
  <c r="E88" i="40"/>
  <c r="J87" i="40"/>
  <c r="I87" i="40"/>
  <c r="H87" i="40"/>
  <c r="F87" i="40" s="1"/>
  <c r="G87" i="40"/>
  <c r="E87" i="40" s="1"/>
  <c r="C87" i="40"/>
  <c r="B87" i="40"/>
  <c r="F86" i="40"/>
  <c r="E86" i="40"/>
  <c r="F85" i="40"/>
  <c r="E85" i="40"/>
  <c r="N84" i="40"/>
  <c r="F84" i="40"/>
  <c r="E84" i="40"/>
  <c r="M84" i="40" s="1"/>
  <c r="F83" i="40"/>
  <c r="E83" i="40"/>
  <c r="F82" i="40"/>
  <c r="E82" i="40"/>
  <c r="M81" i="40"/>
  <c r="F81" i="40"/>
  <c r="E81" i="40"/>
  <c r="M80" i="40"/>
  <c r="F80" i="40"/>
  <c r="E80" i="40"/>
  <c r="J79" i="40"/>
  <c r="I79" i="40"/>
  <c r="H79" i="40"/>
  <c r="F79" i="40" s="1"/>
  <c r="G79" i="40"/>
  <c r="B79" i="40"/>
  <c r="K77" i="40"/>
  <c r="F77" i="40"/>
  <c r="D77" i="40"/>
  <c r="L77" i="40" s="1"/>
  <c r="F76" i="40"/>
  <c r="E76" i="40"/>
  <c r="K76" i="40" s="1"/>
  <c r="D76" i="40"/>
  <c r="K75" i="40"/>
  <c r="F75" i="40"/>
  <c r="L75" i="40" s="1"/>
  <c r="E75" i="40"/>
  <c r="M75" i="40" s="1"/>
  <c r="D75" i="40"/>
  <c r="F74" i="40"/>
  <c r="E74" i="40"/>
  <c r="K74" i="40" s="1"/>
  <c r="D74" i="40"/>
  <c r="F73" i="40"/>
  <c r="E73" i="40"/>
  <c r="K73" i="40" s="1"/>
  <c r="D73" i="40"/>
  <c r="F72" i="40"/>
  <c r="E72" i="40"/>
  <c r="M72" i="40" s="1"/>
  <c r="D72" i="40"/>
  <c r="L72" i="40" s="1"/>
  <c r="F71" i="40"/>
  <c r="E71" i="40"/>
  <c r="M71" i="40" s="1"/>
  <c r="D71" i="40"/>
  <c r="J70" i="40"/>
  <c r="I70" i="40"/>
  <c r="H70" i="40"/>
  <c r="G70" i="40"/>
  <c r="D70" i="40"/>
  <c r="F69" i="40"/>
  <c r="E69" i="40"/>
  <c r="M69" i="40" s="1"/>
  <c r="D69" i="40"/>
  <c r="K68" i="40"/>
  <c r="F68" i="40"/>
  <c r="E68" i="40"/>
  <c r="D68" i="40"/>
  <c r="F67" i="40"/>
  <c r="E67" i="40"/>
  <c r="K67" i="40" s="1"/>
  <c r="D67" i="40"/>
  <c r="K66" i="40"/>
  <c r="F66" i="40"/>
  <c r="L66" i="40" s="1"/>
  <c r="E66" i="40"/>
  <c r="M66" i="40" s="1"/>
  <c r="D66" i="40"/>
  <c r="F65" i="40"/>
  <c r="E65" i="40"/>
  <c r="K65" i="40" s="1"/>
  <c r="D65" i="40"/>
  <c r="J64" i="40"/>
  <c r="I64" i="40"/>
  <c r="H64" i="40"/>
  <c r="F64" i="40" s="1"/>
  <c r="L64" i="40" s="1"/>
  <c r="G64" i="40"/>
  <c r="D64" i="40"/>
  <c r="B64" i="40"/>
  <c r="F63" i="40"/>
  <c r="E63" i="40"/>
  <c r="K63" i="40" s="1"/>
  <c r="D63" i="40"/>
  <c r="L63" i="40" s="1"/>
  <c r="F62" i="40"/>
  <c r="L62" i="40" s="1"/>
  <c r="E62" i="40"/>
  <c r="K62" i="40" s="1"/>
  <c r="D62" i="40"/>
  <c r="F61" i="40"/>
  <c r="E61" i="40"/>
  <c r="F60" i="40"/>
  <c r="E60" i="40"/>
  <c r="K59" i="40"/>
  <c r="F59" i="40"/>
  <c r="L59" i="40" s="1"/>
  <c r="E59" i="40"/>
  <c r="C59" i="40"/>
  <c r="F58" i="40"/>
  <c r="E58" i="40"/>
  <c r="F57" i="40"/>
  <c r="E57" i="40"/>
  <c r="F56" i="40"/>
  <c r="E56" i="40"/>
  <c r="F55" i="40"/>
  <c r="E55" i="40"/>
  <c r="K54" i="40"/>
  <c r="F54" i="40"/>
  <c r="E54" i="40"/>
  <c r="D54" i="40"/>
  <c r="F53" i="40"/>
  <c r="E53" i="40"/>
  <c r="K53" i="40" s="1"/>
  <c r="D53" i="40"/>
  <c r="J52" i="40"/>
  <c r="F52" i="40" s="1"/>
  <c r="D52" i="40"/>
  <c r="D50" i="40" s="1"/>
  <c r="F51" i="40"/>
  <c r="E51" i="40"/>
  <c r="M51" i="40" s="1"/>
  <c r="J50" i="40"/>
  <c r="I50" i="40"/>
  <c r="H50" i="40"/>
  <c r="F50" i="40" s="1"/>
  <c r="L50" i="40" s="1"/>
  <c r="G50" i="40"/>
  <c r="B50" i="40"/>
  <c r="L49" i="40"/>
  <c r="F49" i="40"/>
  <c r="E49" i="40"/>
  <c r="K49" i="40" s="1"/>
  <c r="F48" i="40"/>
  <c r="L48" i="40" s="1"/>
  <c r="E48" i="40"/>
  <c r="M48" i="40" s="1"/>
  <c r="D48" i="40"/>
  <c r="F47" i="40"/>
  <c r="L47" i="40" s="1"/>
  <c r="E47" i="40"/>
  <c r="K47" i="40" s="1"/>
  <c r="D47" i="40"/>
  <c r="F46" i="40"/>
  <c r="L46" i="40" s="1"/>
  <c r="E46" i="40"/>
  <c r="M46" i="40" s="1"/>
  <c r="D46" i="40"/>
  <c r="F45" i="40"/>
  <c r="L45" i="40" s="1"/>
  <c r="E45" i="40"/>
  <c r="K45" i="40" s="1"/>
  <c r="D45" i="40"/>
  <c r="M44" i="40"/>
  <c r="K44" i="40"/>
  <c r="F44" i="40"/>
  <c r="E44" i="40"/>
  <c r="F43" i="40"/>
  <c r="E43" i="40"/>
  <c r="M43" i="40" s="1"/>
  <c r="F42" i="40"/>
  <c r="E42" i="40"/>
  <c r="K42" i="40" s="1"/>
  <c r="D42" i="40"/>
  <c r="F41" i="40"/>
  <c r="E41" i="40"/>
  <c r="K41" i="40" s="1"/>
  <c r="D41" i="40"/>
  <c r="L41" i="40" s="1"/>
  <c r="P40" i="40"/>
  <c r="F40" i="40"/>
  <c r="E40" i="40"/>
  <c r="M40" i="40" s="1"/>
  <c r="D40" i="40"/>
  <c r="L40" i="40" s="1"/>
  <c r="P39" i="40"/>
  <c r="F39" i="40"/>
  <c r="E39" i="40"/>
  <c r="M39" i="40" s="1"/>
  <c r="D39" i="40"/>
  <c r="J38" i="40"/>
  <c r="I38" i="40"/>
  <c r="H38" i="40"/>
  <c r="F38" i="40" s="1"/>
  <c r="G38" i="40"/>
  <c r="C38" i="40"/>
  <c r="B38" i="40"/>
  <c r="F37" i="40"/>
  <c r="E37" i="40"/>
  <c r="M37" i="40" s="1"/>
  <c r="D37" i="40"/>
  <c r="F36" i="40"/>
  <c r="E36" i="40"/>
  <c r="D36" i="40"/>
  <c r="F35" i="40"/>
  <c r="E35" i="40"/>
  <c r="K35" i="40" s="1"/>
  <c r="D35" i="40"/>
  <c r="P34" i="40"/>
  <c r="F34" i="40"/>
  <c r="E34" i="40"/>
  <c r="M34" i="40" s="1"/>
  <c r="D34" i="40"/>
  <c r="F33" i="40"/>
  <c r="D33" i="40"/>
  <c r="F32" i="40"/>
  <c r="E32" i="40"/>
  <c r="M32" i="40" s="1"/>
  <c r="D32" i="40"/>
  <c r="K31" i="40"/>
  <c r="F31" i="40"/>
  <c r="E31" i="40"/>
  <c r="M31" i="40" s="1"/>
  <c r="D31" i="40"/>
  <c r="L31" i="40" s="1"/>
  <c r="J30" i="40"/>
  <c r="E30" i="40" s="1"/>
  <c r="I30" i="40"/>
  <c r="H30" i="40"/>
  <c r="G30" i="40"/>
  <c r="F30" i="40"/>
  <c r="C30" i="40"/>
  <c r="D30" i="40" s="1"/>
  <c r="B30" i="40"/>
  <c r="M29" i="40"/>
  <c r="F29" i="40"/>
  <c r="E29" i="40"/>
  <c r="D29" i="40"/>
  <c r="M28" i="40"/>
  <c r="F28" i="40"/>
  <c r="E28" i="40"/>
  <c r="D28" i="40"/>
  <c r="M27" i="40"/>
  <c r="F27" i="40"/>
  <c r="E27" i="40"/>
  <c r="D27" i="40"/>
  <c r="F26" i="40"/>
  <c r="L26" i="40" s="1"/>
  <c r="E26" i="40"/>
  <c r="M26" i="40" s="1"/>
  <c r="D26" i="40"/>
  <c r="F25" i="40"/>
  <c r="E25" i="40"/>
  <c r="D25" i="40"/>
  <c r="F24" i="40"/>
  <c r="E24" i="40"/>
  <c r="M24" i="40" s="1"/>
  <c r="D24" i="40"/>
  <c r="F23" i="40"/>
  <c r="E23" i="40"/>
  <c r="M23" i="40" s="1"/>
  <c r="D23" i="40"/>
  <c r="F22" i="40"/>
  <c r="E22" i="40"/>
  <c r="K22" i="40" s="1"/>
  <c r="D22" i="40"/>
  <c r="J21" i="40"/>
  <c r="I21" i="40"/>
  <c r="H21" i="40"/>
  <c r="G21" i="40"/>
  <c r="C21" i="40"/>
  <c r="D21" i="40" s="1"/>
  <c r="B21" i="40"/>
  <c r="F20" i="40"/>
  <c r="E20" i="40"/>
  <c r="M20" i="40" s="1"/>
  <c r="D20" i="40"/>
  <c r="F19" i="40"/>
  <c r="E19" i="40"/>
  <c r="D19" i="40"/>
  <c r="Q18" i="40"/>
  <c r="F18" i="40"/>
  <c r="E18" i="40"/>
  <c r="M18" i="40" s="1"/>
  <c r="D18" i="40"/>
  <c r="F17" i="40"/>
  <c r="E17" i="40"/>
  <c r="K17" i="40" s="1"/>
  <c r="D17" i="40"/>
  <c r="L17" i="40" s="1"/>
  <c r="S16" i="40"/>
  <c r="F16" i="40"/>
  <c r="E16" i="40"/>
  <c r="D16" i="40"/>
  <c r="R15" i="40"/>
  <c r="Q15" i="40"/>
  <c r="M15" i="40"/>
  <c r="F15" i="40"/>
  <c r="E15" i="40"/>
  <c r="D15" i="40"/>
  <c r="K14" i="40"/>
  <c r="F14" i="40"/>
  <c r="L14" i="40" s="1"/>
  <c r="E14" i="40"/>
  <c r="D14" i="40"/>
  <c r="F13" i="40"/>
  <c r="L13" i="40" s="1"/>
  <c r="E13" i="40"/>
  <c r="M13" i="40" s="1"/>
  <c r="D13" i="40"/>
  <c r="J12" i="40"/>
  <c r="I12" i="40"/>
  <c r="I11" i="40" s="1"/>
  <c r="I10" i="40" s="1"/>
  <c r="H12" i="40"/>
  <c r="H11" i="40" s="1"/>
  <c r="G12" i="40"/>
  <c r="C12" i="40"/>
  <c r="B12" i="40"/>
  <c r="Q11" i="40"/>
  <c r="O5" i="40"/>
  <c r="P1" i="40"/>
  <c r="P4" i="40" s="1"/>
  <c r="C11" i="40" l="1"/>
  <c r="C10" i="40" s="1"/>
  <c r="C130" i="40" s="1"/>
  <c r="L35" i="40"/>
  <c r="G11" i="40"/>
  <c r="G10" i="40" s="1"/>
  <c r="F21" i="40"/>
  <c r="L21" i="40" s="1"/>
  <c r="L23" i="40"/>
  <c r="K24" i="40"/>
  <c r="L32" i="40"/>
  <c r="D38" i="40"/>
  <c r="L38" i="40" s="1"/>
  <c r="K40" i="40"/>
  <c r="E50" i="40"/>
  <c r="N51" i="40" s="1"/>
  <c r="L53" i="40"/>
  <c r="E64" i="40"/>
  <c r="K64" i="40" s="1"/>
  <c r="L65" i="40"/>
  <c r="L68" i="40"/>
  <c r="L69" i="40"/>
  <c r="L71" i="40"/>
  <c r="K72" i="40"/>
  <c r="L74" i="40"/>
  <c r="E79" i="40"/>
  <c r="N115" i="40"/>
  <c r="F90" i="40"/>
  <c r="F93" i="40"/>
  <c r="E97" i="40"/>
  <c r="E93" i="40"/>
  <c r="E125" i="40"/>
  <c r="M125" i="40" s="1"/>
  <c r="D12" i="40"/>
  <c r="E21" i="40"/>
  <c r="L22" i="40"/>
  <c r="L24" i="40"/>
  <c r="B11" i="40"/>
  <c r="B10" i="40" s="1"/>
  <c r="E38" i="40"/>
  <c r="N39" i="40" s="1"/>
  <c r="K39" i="40"/>
  <c r="L42" i="40"/>
  <c r="O46" i="40"/>
  <c r="L52" i="40"/>
  <c r="L54" i="40"/>
  <c r="L67" i="40"/>
  <c r="F70" i="40"/>
  <c r="L70" i="40" s="1"/>
  <c r="L73" i="40"/>
  <c r="L76" i="40"/>
  <c r="E90" i="40"/>
  <c r="B93" i="40"/>
  <c r="E113" i="40"/>
  <c r="M113" i="40" s="1"/>
  <c r="H123" i="40"/>
  <c r="E123" i="40" s="1"/>
  <c r="R42" i="41"/>
  <c r="Q42" i="41"/>
  <c r="Q59" i="41"/>
  <c r="R59" i="41"/>
  <c r="R64" i="41"/>
  <c r="Q64" i="41"/>
  <c r="R65" i="41"/>
  <c r="Q65" i="41"/>
  <c r="R66" i="41"/>
  <c r="Q66" i="41"/>
  <c r="R67" i="41"/>
  <c r="Q67" i="41"/>
  <c r="R68" i="41"/>
  <c r="Q68" i="41"/>
  <c r="R69" i="41"/>
  <c r="Q69" i="41"/>
  <c r="K12" i="41"/>
  <c r="G15" i="41"/>
  <c r="G48" i="41"/>
  <c r="R48" i="41" s="1"/>
  <c r="K37" i="41"/>
  <c r="T37" i="41" s="1"/>
  <c r="G50" i="41"/>
  <c r="R50" i="41" s="1"/>
  <c r="S77" i="41"/>
  <c r="G77" i="41"/>
  <c r="H12" i="41"/>
  <c r="J37" i="41"/>
  <c r="N37" i="41"/>
  <c r="G41" i="41"/>
  <c r="T42" i="41"/>
  <c r="H57" i="41"/>
  <c r="G58" i="41"/>
  <c r="E62" i="41"/>
  <c r="E56" i="41" s="1"/>
  <c r="E9" i="41" s="1"/>
  <c r="G70" i="41"/>
  <c r="G62" i="41" s="1"/>
  <c r="R62" i="41" s="1"/>
  <c r="G71" i="41"/>
  <c r="G72" i="41"/>
  <c r="G73" i="41"/>
  <c r="G74" i="41"/>
  <c r="G75" i="41"/>
  <c r="G76" i="41"/>
  <c r="N12" i="41"/>
  <c r="N11" i="41" s="1"/>
  <c r="N10" i="41" s="1"/>
  <c r="N88" i="41" s="1"/>
  <c r="N95" i="41" s="1"/>
  <c r="Q31" i="41"/>
  <c r="Q35" i="41"/>
  <c r="H37" i="41"/>
  <c r="H62" i="41"/>
  <c r="S62" i="41" s="1"/>
  <c r="G52" i="41"/>
  <c r="M38" i="40"/>
  <c r="K38" i="40"/>
  <c r="G130" i="40"/>
  <c r="G9" i="40"/>
  <c r="M64" i="40"/>
  <c r="N80" i="40"/>
  <c r="M79" i="40"/>
  <c r="K79" i="40"/>
  <c r="I9" i="40"/>
  <c r="I130" i="40"/>
  <c r="H10" i="40"/>
  <c r="Q13" i="40"/>
  <c r="L30" i="40"/>
  <c r="M30" i="40"/>
  <c r="K30" i="40"/>
  <c r="K21" i="40"/>
  <c r="M21" i="40"/>
  <c r="C9" i="40"/>
  <c r="O6" i="40" s="1"/>
  <c r="M35" i="40"/>
  <c r="L39" i="40"/>
  <c r="M41" i="40"/>
  <c r="M65" i="40"/>
  <c r="M67" i="40"/>
  <c r="M74" i="40"/>
  <c r="M76" i="40"/>
  <c r="J11" i="40"/>
  <c r="J10" i="40" s="1"/>
  <c r="E12" i="40"/>
  <c r="K13" i="40"/>
  <c r="K23" i="40"/>
  <c r="K26" i="40"/>
  <c r="K32" i="40"/>
  <c r="K46" i="40"/>
  <c r="K48" i="40"/>
  <c r="K51" i="40"/>
  <c r="E52" i="40"/>
  <c r="K69" i="40"/>
  <c r="E70" i="40"/>
  <c r="K71" i="40"/>
  <c r="M83" i="40"/>
  <c r="E104" i="40"/>
  <c r="L113" i="40"/>
  <c r="L117" i="40"/>
  <c r="M22" i="40"/>
  <c r="F12" i="40"/>
  <c r="E94" i="40"/>
  <c r="H103" i="40"/>
  <c r="N123" i="40" l="1"/>
  <c r="M123" i="40"/>
  <c r="K50" i="40"/>
  <c r="Q16" i="40"/>
  <c r="Q17" i="40" s="1"/>
  <c r="M50" i="40"/>
  <c r="B9" i="40"/>
  <c r="B130" i="40" s="1"/>
  <c r="D11" i="40"/>
  <c r="D10" i="40" s="1"/>
  <c r="R73" i="41"/>
  <c r="Q73" i="41"/>
  <c r="R77" i="41"/>
  <c r="Q77" i="41"/>
  <c r="S37" i="41"/>
  <c r="G37" i="41"/>
  <c r="R76" i="41"/>
  <c r="Q76" i="41"/>
  <c r="R72" i="41"/>
  <c r="Q72" i="41"/>
  <c r="G57" i="41"/>
  <c r="R58" i="41"/>
  <c r="Q58" i="41"/>
  <c r="R75" i="41"/>
  <c r="Q75" i="41"/>
  <c r="R71" i="41"/>
  <c r="Q71" i="41"/>
  <c r="S57" i="41"/>
  <c r="H56" i="41"/>
  <c r="S56" i="41" s="1"/>
  <c r="T12" i="41"/>
  <c r="K11" i="41"/>
  <c r="R52" i="41"/>
  <c r="Q52" i="41"/>
  <c r="R74" i="41"/>
  <c r="Q74" i="41"/>
  <c r="R70" i="41"/>
  <c r="Q70" i="41"/>
  <c r="S12" i="41"/>
  <c r="G12" i="41"/>
  <c r="H11" i="41"/>
  <c r="Q41" i="41"/>
  <c r="R41" i="41"/>
  <c r="H130" i="40"/>
  <c r="L130" i="40" s="1"/>
  <c r="M52" i="40"/>
  <c r="K52" i="40"/>
  <c r="E103" i="40"/>
  <c r="F103" i="40"/>
  <c r="H101" i="40"/>
  <c r="K12" i="40"/>
  <c r="M12" i="40"/>
  <c r="E11" i="40"/>
  <c r="O7" i="40"/>
  <c r="R6" i="40"/>
  <c r="P88" i="40"/>
  <c r="F11" i="40"/>
  <c r="L12" i="40"/>
  <c r="K70" i="40"/>
  <c r="M70" i="40"/>
  <c r="J9" i="40"/>
  <c r="J130" i="40"/>
  <c r="P6" i="40"/>
  <c r="G56" i="2"/>
  <c r="F56" i="2"/>
  <c r="F55" i="2"/>
  <c r="F54" i="2"/>
  <c r="D53" i="2"/>
  <c r="F53" i="2" s="1"/>
  <c r="D50" i="2"/>
  <c r="E52" i="2"/>
  <c r="F52" i="2" s="1"/>
  <c r="D9" i="40" l="1"/>
  <c r="O20" i="40"/>
  <c r="G52" i="2"/>
  <c r="E50" i="2"/>
  <c r="T11" i="41"/>
  <c r="K10" i="41"/>
  <c r="G56" i="41"/>
  <c r="R57" i="41"/>
  <c r="Q57" i="41"/>
  <c r="Q12" i="41"/>
  <c r="R12" i="41"/>
  <c r="G11" i="41"/>
  <c r="H10" i="41"/>
  <c r="S11" i="41"/>
  <c r="Q37" i="41"/>
  <c r="R37" i="41"/>
  <c r="F101" i="40"/>
  <c r="H100" i="40"/>
  <c r="H9" i="40" s="1"/>
  <c r="E101" i="40"/>
  <c r="Q88" i="40"/>
  <c r="P90" i="40" s="1"/>
  <c r="P93" i="40" s="1"/>
  <c r="S6" i="40"/>
  <c r="L11" i="40"/>
  <c r="F10" i="40"/>
  <c r="M10" i="40"/>
  <c r="E10" i="40"/>
  <c r="Q9" i="40"/>
  <c r="Q10" i="40" s="1"/>
  <c r="Q14" i="40" s="1"/>
  <c r="K11" i="40"/>
  <c r="M11" i="40"/>
  <c r="P22" i="40"/>
  <c r="N6" i="40"/>
  <c r="V13" i="38"/>
  <c r="V13" i="39"/>
  <c r="T30" i="39"/>
  <c r="T31" i="39"/>
  <c r="T32" i="39"/>
  <c r="T33" i="39"/>
  <c r="T34" i="39"/>
  <c r="T35" i="39"/>
  <c r="T36" i="39"/>
  <c r="T37" i="39"/>
  <c r="T38" i="39"/>
  <c r="T56" i="39"/>
  <c r="S30" i="39"/>
  <c r="S31" i="39"/>
  <c r="S32" i="39"/>
  <c r="S33" i="39"/>
  <c r="S34" i="39"/>
  <c r="S35" i="39"/>
  <c r="S36" i="39"/>
  <c r="S37" i="39"/>
  <c r="S38" i="39"/>
  <c r="S44" i="39"/>
  <c r="S55" i="39"/>
  <c r="S56" i="39"/>
  <c r="E69" i="39"/>
  <c r="E70" i="39"/>
  <c r="E71" i="39"/>
  <c r="E73" i="39"/>
  <c r="E74" i="39"/>
  <c r="E75" i="39"/>
  <c r="E76" i="39"/>
  <c r="E77" i="39"/>
  <c r="E78" i="39"/>
  <c r="E68" i="39"/>
  <c r="E67" i="39"/>
  <c r="E66" i="39"/>
  <c r="E59" i="39"/>
  <c r="F13" i="39"/>
  <c r="F12" i="39" s="1"/>
  <c r="F11" i="39" s="1"/>
  <c r="E13" i="39"/>
  <c r="E12" i="39" s="1"/>
  <c r="H81" i="39"/>
  <c r="H40" i="39"/>
  <c r="K81" i="39"/>
  <c r="G55" i="39"/>
  <c r="Q55" i="39" s="1"/>
  <c r="G29" i="39"/>
  <c r="G28" i="39"/>
  <c r="G27" i="39"/>
  <c r="K68" i="39"/>
  <c r="K67" i="39"/>
  <c r="K66" i="39"/>
  <c r="K65" i="39"/>
  <c r="K62" i="39"/>
  <c r="K53" i="39"/>
  <c r="K49" i="39"/>
  <c r="G49" i="39" s="1"/>
  <c r="K48" i="39"/>
  <c r="K47" i="39"/>
  <c r="K46" i="39"/>
  <c r="K45" i="39"/>
  <c r="K44" i="39"/>
  <c r="G44" i="39" s="1"/>
  <c r="R44" i="39" s="1"/>
  <c r="K43" i="39"/>
  <c r="T43" i="39" s="1"/>
  <c r="K41" i="39"/>
  <c r="K40" i="39"/>
  <c r="K26" i="39"/>
  <c r="K23" i="39"/>
  <c r="K22" i="39"/>
  <c r="G22" i="39" s="1"/>
  <c r="K21" i="39"/>
  <c r="G21" i="39" s="1"/>
  <c r="K19" i="39"/>
  <c r="G19" i="39" s="1"/>
  <c r="K18" i="39"/>
  <c r="G18" i="39" s="1"/>
  <c r="K16" i="39"/>
  <c r="G16" i="39" s="1"/>
  <c r="K15" i="39"/>
  <c r="G15" i="39" s="1"/>
  <c r="T94" i="39"/>
  <c r="G87" i="39"/>
  <c r="N86" i="39"/>
  <c r="N84" i="39" s="1"/>
  <c r="K86" i="39"/>
  <c r="H86" i="39"/>
  <c r="D86" i="39"/>
  <c r="D84" i="39" s="1"/>
  <c r="C86" i="39"/>
  <c r="C84" i="39" s="1"/>
  <c r="G85" i="39"/>
  <c r="O84" i="39"/>
  <c r="M84" i="39"/>
  <c r="M90" i="39" s="1"/>
  <c r="L84" i="39"/>
  <c r="L90" i="39" s="1"/>
  <c r="J84" i="39"/>
  <c r="J90" i="39" s="1"/>
  <c r="I84" i="39"/>
  <c r="I90" i="39" s="1"/>
  <c r="G80" i="39"/>
  <c r="D80" i="39"/>
  <c r="C80" i="39"/>
  <c r="C79" i="39" s="1"/>
  <c r="N79" i="39"/>
  <c r="M79" i="39"/>
  <c r="J79" i="39"/>
  <c r="J64" i="39" s="1"/>
  <c r="I79" i="39"/>
  <c r="I64" i="39" s="1"/>
  <c r="D79" i="39"/>
  <c r="E79" i="39" s="1"/>
  <c r="N78" i="39"/>
  <c r="K78" i="39"/>
  <c r="H78" i="39"/>
  <c r="S78" i="39" s="1"/>
  <c r="N77" i="39"/>
  <c r="K77" i="39"/>
  <c r="H77" i="39"/>
  <c r="S77" i="39" s="1"/>
  <c r="N76" i="39"/>
  <c r="K76" i="39"/>
  <c r="H76" i="39"/>
  <c r="S76" i="39" s="1"/>
  <c r="N75" i="39"/>
  <c r="K75" i="39"/>
  <c r="H75" i="39"/>
  <c r="S75" i="39" s="1"/>
  <c r="N74" i="39"/>
  <c r="K74" i="39"/>
  <c r="H74" i="39"/>
  <c r="S74" i="39" s="1"/>
  <c r="N73" i="39"/>
  <c r="K73" i="39"/>
  <c r="H73" i="39"/>
  <c r="N72" i="39"/>
  <c r="K72" i="39"/>
  <c r="H72" i="39"/>
  <c r="D72" i="39"/>
  <c r="D64" i="39" s="1"/>
  <c r="C72" i="39"/>
  <c r="N71" i="39"/>
  <c r="K71" i="39"/>
  <c r="H71" i="39"/>
  <c r="G71" i="39" s="1"/>
  <c r="N70" i="39"/>
  <c r="K70" i="39"/>
  <c r="H70" i="39"/>
  <c r="S70" i="39" s="1"/>
  <c r="N69" i="39"/>
  <c r="K69" i="39"/>
  <c r="H69" i="39"/>
  <c r="G69" i="39" s="1"/>
  <c r="N68" i="39"/>
  <c r="H68" i="39"/>
  <c r="G68" i="39" s="1"/>
  <c r="N67" i="39"/>
  <c r="H67" i="39"/>
  <c r="S67" i="39" s="1"/>
  <c r="N66" i="39"/>
  <c r="H66" i="39"/>
  <c r="G66" i="39" s="1"/>
  <c r="N65" i="39"/>
  <c r="H65" i="39"/>
  <c r="G65" i="39" s="1"/>
  <c r="P64" i="39"/>
  <c r="O64" i="39"/>
  <c r="L64" i="39"/>
  <c r="N63" i="39"/>
  <c r="K63" i="39" s="1"/>
  <c r="G63" i="39" s="1"/>
  <c r="H63" i="39"/>
  <c r="N62" i="39"/>
  <c r="H62" i="39"/>
  <c r="G62" i="39" s="1"/>
  <c r="N61" i="39"/>
  <c r="K61" i="39" s="1"/>
  <c r="H61" i="39"/>
  <c r="S61" i="39" s="1"/>
  <c r="N60" i="39"/>
  <c r="K60" i="39" s="1"/>
  <c r="H60" i="39"/>
  <c r="P59" i="39"/>
  <c r="O59" i="39"/>
  <c r="M59" i="39"/>
  <c r="L59" i="39"/>
  <c r="L58" i="39" s="1"/>
  <c r="J59" i="39"/>
  <c r="I59" i="39"/>
  <c r="D59" i="39"/>
  <c r="C59" i="39"/>
  <c r="R56" i="39"/>
  <c r="Q56" i="39"/>
  <c r="H54" i="39"/>
  <c r="G54" i="39" s="1"/>
  <c r="D54" i="39"/>
  <c r="H53" i="39"/>
  <c r="P52" i="39"/>
  <c r="N52" i="39" s="1"/>
  <c r="K52" i="39" s="1"/>
  <c r="H52" i="39"/>
  <c r="N51" i="39"/>
  <c r="K51" i="39" s="1"/>
  <c r="H51" i="39"/>
  <c r="N50" i="39"/>
  <c r="K50" i="39" s="1"/>
  <c r="H50" i="39"/>
  <c r="H48" i="39"/>
  <c r="G48" i="39" s="1"/>
  <c r="H47" i="39"/>
  <c r="J46" i="39"/>
  <c r="H46" i="39" s="1"/>
  <c r="G46" i="39" s="1"/>
  <c r="H45" i="39"/>
  <c r="G45" i="39" s="1"/>
  <c r="H43" i="39"/>
  <c r="G43" i="39" s="1"/>
  <c r="J41" i="39"/>
  <c r="H41" i="39" s="1"/>
  <c r="O39" i="39"/>
  <c r="M39" i="39"/>
  <c r="L39" i="39"/>
  <c r="I39" i="39"/>
  <c r="D39" i="39"/>
  <c r="D12" i="39" s="1"/>
  <c r="C39" i="39"/>
  <c r="G38" i="39"/>
  <c r="G37" i="39"/>
  <c r="R37" i="39" s="1"/>
  <c r="G36" i="39"/>
  <c r="Q36" i="39" s="1"/>
  <c r="G35" i="39"/>
  <c r="G34" i="39"/>
  <c r="R34" i="39" s="1"/>
  <c r="L33" i="39"/>
  <c r="G33" i="39"/>
  <c r="Q33" i="39" s="1"/>
  <c r="R32" i="39"/>
  <c r="Q32" i="39"/>
  <c r="R31" i="39"/>
  <c r="Q31" i="39"/>
  <c r="H26" i="39"/>
  <c r="G26" i="39" s="1"/>
  <c r="N25" i="39"/>
  <c r="K25" i="39" s="1"/>
  <c r="H25" i="39"/>
  <c r="N24" i="39"/>
  <c r="K24" i="39" s="1"/>
  <c r="I24" i="39"/>
  <c r="H24" i="39" s="1"/>
  <c r="H23" i="39"/>
  <c r="G23" i="39" s="1"/>
  <c r="N20" i="39"/>
  <c r="K20" i="39" s="1"/>
  <c r="G20" i="39" s="1"/>
  <c r="N17" i="39"/>
  <c r="K17" i="39" s="1"/>
  <c r="H17" i="39"/>
  <c r="P14" i="39"/>
  <c r="O14" i="39"/>
  <c r="M14" i="39"/>
  <c r="L14" i="39"/>
  <c r="J14" i="39"/>
  <c r="C13" i="39"/>
  <c r="G81" i="39" l="1"/>
  <c r="D58" i="39"/>
  <c r="G73" i="39"/>
  <c r="K79" i="39"/>
  <c r="S73" i="39"/>
  <c r="S71" i="39"/>
  <c r="S69" i="39"/>
  <c r="T44" i="39"/>
  <c r="G24" i="39"/>
  <c r="G25" i="39"/>
  <c r="G60" i="39"/>
  <c r="G61" i="39"/>
  <c r="S68" i="39"/>
  <c r="S66" i="39"/>
  <c r="S60" i="39"/>
  <c r="S54" i="39"/>
  <c r="S43" i="39"/>
  <c r="R11" i="41"/>
  <c r="Q11" i="41"/>
  <c r="G10" i="41"/>
  <c r="R56" i="41"/>
  <c r="Q56" i="41"/>
  <c r="K9" i="41"/>
  <c r="T9" i="41" s="1"/>
  <c r="T10" i="41"/>
  <c r="K88" i="41"/>
  <c r="K94" i="41" s="1"/>
  <c r="H9" i="41"/>
  <c r="S9" i="41" s="1"/>
  <c r="H88" i="41"/>
  <c r="S10" i="41"/>
  <c r="L10" i="40"/>
  <c r="F9" i="40"/>
  <c r="L9" i="40" s="1"/>
  <c r="Q6" i="40"/>
  <c r="O4" i="40"/>
  <c r="O88" i="40"/>
  <c r="N89" i="40" s="1"/>
  <c r="Q1" i="40"/>
  <c r="S14" i="40"/>
  <c r="E9" i="40"/>
  <c r="E130" i="40"/>
  <c r="K10" i="40"/>
  <c r="H39" i="39"/>
  <c r="K39" i="39"/>
  <c r="T39" i="39" s="1"/>
  <c r="G70" i="39"/>
  <c r="G72" i="39"/>
  <c r="Q72" i="39" s="1"/>
  <c r="G76" i="39"/>
  <c r="Q76" i="39" s="1"/>
  <c r="G40" i="39"/>
  <c r="R40" i="39" s="1"/>
  <c r="G67" i="39"/>
  <c r="H79" i="39"/>
  <c r="E72" i="39"/>
  <c r="E64" i="39" s="1"/>
  <c r="E58" i="39" s="1"/>
  <c r="P58" i="39"/>
  <c r="N39" i="39"/>
  <c r="D90" i="39"/>
  <c r="C12" i="39"/>
  <c r="C90" i="39" s="1"/>
  <c r="J39" i="39"/>
  <c r="G47" i="39"/>
  <c r="R47" i="39" s="1"/>
  <c r="G51" i="39"/>
  <c r="R51" i="39" s="1"/>
  <c r="G74" i="39"/>
  <c r="R74" i="39" s="1"/>
  <c r="G75" i="39"/>
  <c r="R75" i="39" s="1"/>
  <c r="G78" i="39"/>
  <c r="R78" i="39" s="1"/>
  <c r="K64" i="39"/>
  <c r="G77" i="39"/>
  <c r="R77" i="39" s="1"/>
  <c r="Q37" i="39"/>
  <c r="R54" i="39"/>
  <c r="H14" i="39"/>
  <c r="S14" i="39" s="1"/>
  <c r="Q34" i="39"/>
  <c r="G50" i="39"/>
  <c r="R50" i="39" s="1"/>
  <c r="G52" i="39"/>
  <c r="R52" i="39" s="1"/>
  <c r="G53" i="39"/>
  <c r="R53" i="39" s="1"/>
  <c r="G41" i="39"/>
  <c r="R41" i="39" s="1"/>
  <c r="G17" i="39"/>
  <c r="R66" i="39"/>
  <c r="I14" i="39"/>
  <c r="P39" i="39"/>
  <c r="I58" i="39"/>
  <c r="O58" i="39"/>
  <c r="J58" i="39"/>
  <c r="G59" i="39"/>
  <c r="R59" i="39" s="1"/>
  <c r="R45" i="39"/>
  <c r="R48" i="39"/>
  <c r="N64" i="39"/>
  <c r="C64" i="39"/>
  <c r="Q74" i="39"/>
  <c r="G86" i="39"/>
  <c r="R43" i="39"/>
  <c r="R71" i="39"/>
  <c r="R55" i="39"/>
  <c r="N59" i="39"/>
  <c r="R72" i="39"/>
  <c r="K59" i="39"/>
  <c r="R33" i="39"/>
  <c r="C58" i="39"/>
  <c r="D11" i="39"/>
  <c r="Q44" i="39"/>
  <c r="Q54" i="39"/>
  <c r="K14" i="39"/>
  <c r="R36" i="39"/>
  <c r="R38" i="39"/>
  <c r="Q38" i="39"/>
  <c r="R49" i="39"/>
  <c r="Q49" i="39"/>
  <c r="H59" i="39"/>
  <c r="S59" i="39" s="1"/>
  <c r="R69" i="39"/>
  <c r="Q69" i="39"/>
  <c r="Q73" i="39"/>
  <c r="R73" i="39"/>
  <c r="Q70" i="39"/>
  <c r="R70" i="39"/>
  <c r="Q35" i="39"/>
  <c r="N14" i="39"/>
  <c r="N13" i="39" s="1"/>
  <c r="R35" i="39"/>
  <c r="Q43" i="39"/>
  <c r="R67" i="39"/>
  <c r="Q67" i="39"/>
  <c r="Q75" i="39"/>
  <c r="R46" i="39"/>
  <c r="Q68" i="39"/>
  <c r="R68" i="39"/>
  <c r="M64" i="39"/>
  <c r="M58" i="39" s="1"/>
  <c r="Q66" i="39"/>
  <c r="Q12" i="38"/>
  <c r="Q37" i="38"/>
  <c r="Q42" i="38"/>
  <c r="Q48" i="38"/>
  <c r="Q49" i="38"/>
  <c r="Q51" i="38"/>
  <c r="Q52" i="38"/>
  <c r="Q53" i="38"/>
  <c r="P12" i="38"/>
  <c r="P16" i="38"/>
  <c r="P17" i="38"/>
  <c r="P20" i="38"/>
  <c r="P21" i="38"/>
  <c r="P22" i="38"/>
  <c r="P23" i="38"/>
  <c r="P24" i="38"/>
  <c r="P29" i="38"/>
  <c r="P30" i="38"/>
  <c r="P31" i="38"/>
  <c r="P37" i="38"/>
  <c r="P42" i="38"/>
  <c r="P48" i="38"/>
  <c r="P49" i="38"/>
  <c r="P50" i="38"/>
  <c r="P51" i="38"/>
  <c r="P52" i="38"/>
  <c r="P53" i="38"/>
  <c r="P56" i="38"/>
  <c r="P58" i="38"/>
  <c r="P60" i="38"/>
  <c r="P61" i="38"/>
  <c r="P62" i="38"/>
  <c r="D32" i="38"/>
  <c r="D14" i="38"/>
  <c r="F25" i="38"/>
  <c r="P25" i="38" s="1"/>
  <c r="F19" i="38"/>
  <c r="P19" i="38" s="1"/>
  <c r="K13" i="39" l="1"/>
  <c r="T14" i="39"/>
  <c r="N58" i="39"/>
  <c r="S72" i="39"/>
  <c r="R10" i="41"/>
  <c r="Q10" i="41"/>
  <c r="G9" i="41"/>
  <c r="H94" i="41"/>
  <c r="G88" i="41"/>
  <c r="O21" i="40"/>
  <c r="O23" i="40" s="1"/>
  <c r="K9" i="40"/>
  <c r="N2" i="40"/>
  <c r="G79" i="39"/>
  <c r="G64" i="39" s="1"/>
  <c r="S79" i="39"/>
  <c r="G39" i="39"/>
  <c r="S39" i="39"/>
  <c r="E11" i="39"/>
  <c r="C11" i="39"/>
  <c r="H13" i="39"/>
  <c r="G14" i="39"/>
  <c r="R76" i="39"/>
  <c r="Q77" i="39"/>
  <c r="H64" i="39"/>
  <c r="S64" i="39" s="1"/>
  <c r="K58" i="39"/>
  <c r="R61" i="39"/>
  <c r="Q78" i="39"/>
  <c r="R39" i="39"/>
  <c r="Q71" i="39"/>
  <c r="N12" i="39"/>
  <c r="N90" i="39" s="1"/>
  <c r="N97" i="39" s="1"/>
  <c r="R60" i="39"/>
  <c r="Q60" i="39"/>
  <c r="Q61" i="39"/>
  <c r="H58" i="39"/>
  <c r="S58" i="39" s="1"/>
  <c r="R79" i="39"/>
  <c r="H32" i="38"/>
  <c r="G15" i="38"/>
  <c r="S67" i="38"/>
  <c r="E60" i="38"/>
  <c r="L59" i="38"/>
  <c r="L57" i="38" s="1"/>
  <c r="I59" i="38"/>
  <c r="I57" i="38" s="1"/>
  <c r="F59" i="38"/>
  <c r="D59" i="38"/>
  <c r="C59" i="38"/>
  <c r="C57" i="38" s="1"/>
  <c r="E58" i="38"/>
  <c r="R58" i="38" s="1"/>
  <c r="M57" i="38"/>
  <c r="K57" i="38"/>
  <c r="K63" i="38" s="1"/>
  <c r="J57" i="38"/>
  <c r="J63" i="38" s="1"/>
  <c r="H57" i="38"/>
  <c r="H63" i="38" s="1"/>
  <c r="G57" i="38"/>
  <c r="G63" i="38" s="1"/>
  <c r="D57" i="38"/>
  <c r="F55" i="38"/>
  <c r="P55" i="38" s="1"/>
  <c r="F54" i="38"/>
  <c r="R52" i="38"/>
  <c r="R51" i="38"/>
  <c r="O49" i="38"/>
  <c r="E48" i="38"/>
  <c r="O48" i="38" s="1"/>
  <c r="F47" i="38"/>
  <c r="D47" i="38"/>
  <c r="D13" i="38" s="1"/>
  <c r="D11" i="38" s="1"/>
  <c r="F46" i="38"/>
  <c r="N45" i="38"/>
  <c r="N32" i="38" s="1"/>
  <c r="I45" i="38"/>
  <c r="F45" i="38"/>
  <c r="L44" i="38"/>
  <c r="I44" i="38"/>
  <c r="F44" i="38"/>
  <c r="L43" i="38"/>
  <c r="I43" i="38"/>
  <c r="F43" i="38"/>
  <c r="E42" i="38"/>
  <c r="F41" i="38"/>
  <c r="F40" i="38"/>
  <c r="F39" i="38"/>
  <c r="I38" i="38"/>
  <c r="F38" i="38"/>
  <c r="E37" i="38"/>
  <c r="I36" i="38"/>
  <c r="F36" i="38"/>
  <c r="I34" i="38"/>
  <c r="F34" i="38"/>
  <c r="F33" i="38"/>
  <c r="M32" i="38"/>
  <c r="K32" i="38"/>
  <c r="J32" i="38"/>
  <c r="G32" i="38"/>
  <c r="C32" i="38"/>
  <c r="E31" i="38"/>
  <c r="E30" i="38"/>
  <c r="E29" i="38"/>
  <c r="F28" i="38"/>
  <c r="L27" i="38"/>
  <c r="I27" i="38"/>
  <c r="F27" i="38"/>
  <c r="P27" i="38" s="1"/>
  <c r="L26" i="38"/>
  <c r="I26" i="38"/>
  <c r="F26" i="38"/>
  <c r="P26" i="38" s="1"/>
  <c r="E25" i="38"/>
  <c r="E24" i="38"/>
  <c r="E23" i="38"/>
  <c r="L22" i="38"/>
  <c r="I22" i="38"/>
  <c r="E21" i="38"/>
  <c r="E20" i="38"/>
  <c r="L19" i="38"/>
  <c r="I19" i="38"/>
  <c r="E17" i="38"/>
  <c r="E16" i="38"/>
  <c r="N15" i="38"/>
  <c r="M15" i="38"/>
  <c r="K15" i="38"/>
  <c r="J15" i="38"/>
  <c r="H15" i="38"/>
  <c r="C14" i="38"/>
  <c r="S18" i="35"/>
  <c r="F79" i="36"/>
  <c r="E79" i="36" s="1"/>
  <c r="E14" i="36"/>
  <c r="C12" i="36"/>
  <c r="C8" i="29"/>
  <c r="D79" i="36"/>
  <c r="G58" i="39" l="1"/>
  <c r="R64" i="39"/>
  <c r="K12" i="39"/>
  <c r="T13" i="39"/>
  <c r="Q79" i="39"/>
  <c r="H12" i="39"/>
  <c r="S12" i="39" s="1"/>
  <c r="S13" i="39"/>
  <c r="E33" i="38"/>
  <c r="Q33" i="38"/>
  <c r="P33" i="38"/>
  <c r="Q38" i="38"/>
  <c r="P38" i="38"/>
  <c r="E39" i="38"/>
  <c r="Q39" i="38"/>
  <c r="P39" i="38"/>
  <c r="E41" i="38"/>
  <c r="Q41" i="38"/>
  <c r="P41" i="38"/>
  <c r="Q43" i="38"/>
  <c r="P43" i="38"/>
  <c r="Q45" i="38"/>
  <c r="P45" i="38"/>
  <c r="E54" i="38"/>
  <c r="P54" i="38"/>
  <c r="E28" i="38"/>
  <c r="P28" i="38"/>
  <c r="Q34" i="38"/>
  <c r="P34" i="38"/>
  <c r="Q36" i="38"/>
  <c r="P36" i="38"/>
  <c r="E40" i="38"/>
  <c r="Q40" i="38"/>
  <c r="P40" i="38"/>
  <c r="Q44" i="38"/>
  <c r="P44" i="38"/>
  <c r="E46" i="38"/>
  <c r="Q46" i="38"/>
  <c r="P46" i="38"/>
  <c r="E47" i="38"/>
  <c r="Q47" i="38"/>
  <c r="P47" i="38"/>
  <c r="F57" i="38"/>
  <c r="P57" i="38" s="1"/>
  <c r="P59" i="38"/>
  <c r="T93" i="41"/>
  <c r="R88" i="41"/>
  <c r="G94" i="41"/>
  <c r="Q88" i="41"/>
  <c r="R9" i="41"/>
  <c r="V10" i="41"/>
  <c r="G13" i="39"/>
  <c r="G12" i="39" s="1"/>
  <c r="R14" i="39"/>
  <c r="Q39" i="39"/>
  <c r="Q59" i="39"/>
  <c r="Q14" i="39"/>
  <c r="C13" i="38"/>
  <c r="C63" i="38" s="1"/>
  <c r="F15" i="38"/>
  <c r="F14" i="38" s="1"/>
  <c r="F32" i="38"/>
  <c r="E19" i="38"/>
  <c r="E22" i="38"/>
  <c r="E36" i="38"/>
  <c r="L15" i="38"/>
  <c r="L14" i="38" s="1"/>
  <c r="E34" i="38"/>
  <c r="C11" i="38"/>
  <c r="E27" i="38"/>
  <c r="E38" i="38"/>
  <c r="D63" i="38"/>
  <c r="E44" i="38"/>
  <c r="I32" i="38"/>
  <c r="O37" i="38"/>
  <c r="L45" i="38"/>
  <c r="E45" i="38" s="1"/>
  <c r="E59" i="38"/>
  <c r="E57" i="38"/>
  <c r="R57" i="38" s="1"/>
  <c r="E43" i="38"/>
  <c r="E26" i="38"/>
  <c r="O36" i="38"/>
  <c r="O47" i="38"/>
  <c r="O42" i="38"/>
  <c r="I15" i="38"/>
  <c r="I14" i="38" s="1"/>
  <c r="H11" i="39" l="1"/>
  <c r="S11" i="39" s="1"/>
  <c r="H90" i="39"/>
  <c r="K11" i="39"/>
  <c r="T11" i="39" s="1"/>
  <c r="T12" i="39"/>
  <c r="K90" i="39"/>
  <c r="K96" i="39" s="1"/>
  <c r="F13" i="38"/>
  <c r="P14" i="38"/>
  <c r="Q14" i="38"/>
  <c r="Q15" i="38"/>
  <c r="P15" i="38"/>
  <c r="Q32" i="38"/>
  <c r="P32" i="38"/>
  <c r="R13" i="39"/>
  <c r="H96" i="39"/>
  <c r="Q13" i="39"/>
  <c r="R58" i="39"/>
  <c r="Q58" i="39"/>
  <c r="E15" i="38"/>
  <c r="E14" i="38" s="1"/>
  <c r="L32" i="38"/>
  <c r="L13" i="38" s="1"/>
  <c r="L63" i="38" s="1"/>
  <c r="L70" i="38" s="1"/>
  <c r="I13" i="38"/>
  <c r="I63" i="38" s="1"/>
  <c r="I69" i="38" s="1"/>
  <c r="C87" i="36"/>
  <c r="N92" i="36"/>
  <c r="M92" i="36"/>
  <c r="J92" i="36"/>
  <c r="N87" i="36"/>
  <c r="D87" i="36"/>
  <c r="M87" i="36"/>
  <c r="M86" i="36" s="1"/>
  <c r="K87" i="36"/>
  <c r="J87" i="36"/>
  <c r="J86" i="36" s="1"/>
  <c r="H87" i="36"/>
  <c r="G87" i="36"/>
  <c r="G90" i="39" l="1"/>
  <c r="R90" i="39" s="1"/>
  <c r="F11" i="38"/>
  <c r="Q13" i="38"/>
  <c r="P13" i="38"/>
  <c r="N86" i="36"/>
  <c r="R12" i="39"/>
  <c r="G11" i="39"/>
  <c r="Q12" i="39"/>
  <c r="T95" i="39"/>
  <c r="Q90" i="39"/>
  <c r="E32" i="38"/>
  <c r="E13" i="38" s="1"/>
  <c r="F63" i="38"/>
  <c r="T15" i="38"/>
  <c r="S15" i="38"/>
  <c r="O15" i="38"/>
  <c r="S16" i="38"/>
  <c r="S17" i="38" s="1"/>
  <c r="R122" i="36"/>
  <c r="F110" i="36"/>
  <c r="E115" i="36"/>
  <c r="L114" i="36"/>
  <c r="L112" i="36" s="1"/>
  <c r="I114" i="36"/>
  <c r="F114" i="36"/>
  <c r="D114" i="36"/>
  <c r="D112" i="36" s="1"/>
  <c r="C114" i="36"/>
  <c r="C112" i="36" s="1"/>
  <c r="E113" i="36"/>
  <c r="Q113" i="36" s="1"/>
  <c r="M112" i="36"/>
  <c r="K112" i="36"/>
  <c r="K118" i="36" s="1"/>
  <c r="J112" i="36"/>
  <c r="J118" i="36" s="1"/>
  <c r="I112" i="36"/>
  <c r="H112" i="36"/>
  <c r="H118" i="36" s="1"/>
  <c r="G112" i="36"/>
  <c r="G118" i="36" s="1"/>
  <c r="F112" i="36"/>
  <c r="E108" i="36"/>
  <c r="D108" i="36"/>
  <c r="C108" i="36"/>
  <c r="C107" i="36" s="1"/>
  <c r="L107" i="36"/>
  <c r="K107" i="36"/>
  <c r="K92" i="36" s="1"/>
  <c r="K86" i="36" s="1"/>
  <c r="H107" i="36"/>
  <c r="G107" i="36"/>
  <c r="G92" i="36" s="1"/>
  <c r="G86" i="36" s="1"/>
  <c r="D107" i="36"/>
  <c r="L106" i="36"/>
  <c r="I106" i="36"/>
  <c r="F106" i="36"/>
  <c r="L105" i="36"/>
  <c r="I105" i="36"/>
  <c r="F105" i="36"/>
  <c r="L104" i="36"/>
  <c r="I104" i="36"/>
  <c r="F104" i="36"/>
  <c r="L103" i="36"/>
  <c r="I103" i="36"/>
  <c r="F103" i="36"/>
  <c r="L102" i="36"/>
  <c r="I102" i="36"/>
  <c r="F102" i="36"/>
  <c r="L101" i="36"/>
  <c r="I101" i="36"/>
  <c r="F101" i="36"/>
  <c r="L100" i="36"/>
  <c r="I100" i="36"/>
  <c r="F100" i="36"/>
  <c r="D100" i="36"/>
  <c r="C100" i="36"/>
  <c r="L99" i="36"/>
  <c r="I99" i="36"/>
  <c r="F99" i="36"/>
  <c r="L98" i="36"/>
  <c r="I98" i="36"/>
  <c r="F98" i="36"/>
  <c r="E98" i="36" s="1"/>
  <c r="L97" i="36"/>
  <c r="I97" i="36"/>
  <c r="F97" i="36"/>
  <c r="L96" i="36"/>
  <c r="I96" i="36"/>
  <c r="F96" i="36"/>
  <c r="L95" i="36"/>
  <c r="I95" i="36"/>
  <c r="F95" i="36"/>
  <c r="L94" i="36"/>
  <c r="I94" i="36"/>
  <c r="F94" i="36"/>
  <c r="L93" i="36"/>
  <c r="I93" i="36"/>
  <c r="F93" i="36"/>
  <c r="L91" i="36"/>
  <c r="I91" i="36"/>
  <c r="F91" i="36"/>
  <c r="R90" i="36"/>
  <c r="L90" i="36"/>
  <c r="I90" i="36"/>
  <c r="F90" i="36"/>
  <c r="L89" i="36"/>
  <c r="I89" i="36"/>
  <c r="I87" i="36" s="1"/>
  <c r="F89" i="36"/>
  <c r="L88" i="36"/>
  <c r="I88" i="36"/>
  <c r="F88" i="36"/>
  <c r="E88" i="36" s="1"/>
  <c r="Q84" i="36"/>
  <c r="Q83" i="36"/>
  <c r="F109" i="36"/>
  <c r="E109" i="36" s="1"/>
  <c r="P81" i="36"/>
  <c r="O81" i="36"/>
  <c r="E80" i="36"/>
  <c r="E78" i="36"/>
  <c r="O78" i="36" s="1"/>
  <c r="E77" i="36"/>
  <c r="O77" i="36" s="1"/>
  <c r="E76" i="36"/>
  <c r="O76" i="36" s="1"/>
  <c r="E75" i="36"/>
  <c r="O75" i="36" s="1"/>
  <c r="E74" i="36"/>
  <c r="P74" i="36" s="1"/>
  <c r="E73" i="36"/>
  <c r="P73" i="36" s="1"/>
  <c r="E72" i="36"/>
  <c r="P72" i="36" s="1"/>
  <c r="M71" i="36"/>
  <c r="L71" i="36"/>
  <c r="J71" i="36"/>
  <c r="I71" i="36"/>
  <c r="H71" i="36"/>
  <c r="G71" i="36"/>
  <c r="F71" i="36"/>
  <c r="E70" i="36"/>
  <c r="P70" i="36" s="1"/>
  <c r="E69" i="36"/>
  <c r="P69" i="36" s="1"/>
  <c r="E68" i="36"/>
  <c r="O68" i="36" s="1"/>
  <c r="E67" i="36"/>
  <c r="P67" i="36" s="1"/>
  <c r="E66" i="36"/>
  <c r="P66" i="36" s="1"/>
  <c r="E65" i="36"/>
  <c r="P65" i="36" s="1"/>
  <c r="E64" i="36"/>
  <c r="O64" i="36" s="1"/>
  <c r="E63" i="36"/>
  <c r="P63" i="36" s="1"/>
  <c r="E62" i="36"/>
  <c r="P62" i="36" s="1"/>
  <c r="E61" i="36"/>
  <c r="P61" i="36" s="1"/>
  <c r="M60" i="36"/>
  <c r="L60" i="36"/>
  <c r="K60" i="36"/>
  <c r="J60" i="36"/>
  <c r="I60" i="36"/>
  <c r="H60" i="36"/>
  <c r="G60" i="36"/>
  <c r="F60" i="36"/>
  <c r="E60" i="36" s="1"/>
  <c r="E59" i="36"/>
  <c r="P59" i="36" s="1"/>
  <c r="E58" i="36"/>
  <c r="P58" i="36" s="1"/>
  <c r="E57" i="36"/>
  <c r="P57" i="36" s="1"/>
  <c r="N56" i="36"/>
  <c r="M56" i="36"/>
  <c r="L56" i="36"/>
  <c r="K56" i="36"/>
  <c r="J56" i="36"/>
  <c r="I56" i="36"/>
  <c r="H56" i="36"/>
  <c r="G56" i="36"/>
  <c r="F56" i="36"/>
  <c r="E55" i="36"/>
  <c r="O55" i="36" s="1"/>
  <c r="P54" i="36"/>
  <c r="O54" i="36"/>
  <c r="P53" i="36"/>
  <c r="O53" i="36"/>
  <c r="F52" i="36"/>
  <c r="E52" i="36" s="1"/>
  <c r="P52" i="36" s="1"/>
  <c r="N51" i="36"/>
  <c r="N38" i="36" s="1"/>
  <c r="I51" i="36"/>
  <c r="F51" i="36"/>
  <c r="L50" i="36"/>
  <c r="I50" i="36"/>
  <c r="F50" i="36"/>
  <c r="L49" i="36"/>
  <c r="I49" i="36"/>
  <c r="F49" i="36"/>
  <c r="E48" i="36"/>
  <c r="P48" i="36" s="1"/>
  <c r="F47" i="36"/>
  <c r="E47" i="36" s="1"/>
  <c r="P47" i="36" s="1"/>
  <c r="F46" i="36"/>
  <c r="E46" i="36" s="1"/>
  <c r="P46" i="36" s="1"/>
  <c r="H45" i="36"/>
  <c r="F45" i="36" s="1"/>
  <c r="E45" i="36" s="1"/>
  <c r="P45" i="36" s="1"/>
  <c r="I44" i="36"/>
  <c r="I38" i="36" s="1"/>
  <c r="F44" i="36"/>
  <c r="E43" i="36"/>
  <c r="O43" i="36" s="1"/>
  <c r="I42" i="36"/>
  <c r="F42" i="36"/>
  <c r="E42" i="36" s="1"/>
  <c r="I40" i="36"/>
  <c r="H40" i="36"/>
  <c r="F40" i="36" s="1"/>
  <c r="F39" i="36"/>
  <c r="E39" i="36" s="1"/>
  <c r="P39" i="36" s="1"/>
  <c r="M38" i="36"/>
  <c r="K38" i="36"/>
  <c r="J38" i="36"/>
  <c r="G38" i="36"/>
  <c r="D38" i="36"/>
  <c r="D11" i="36" s="1"/>
  <c r="C38" i="36"/>
  <c r="C11" i="36" s="1"/>
  <c r="E37" i="36"/>
  <c r="P37" i="36" s="1"/>
  <c r="E36" i="36"/>
  <c r="P36" i="36" s="1"/>
  <c r="O35" i="36"/>
  <c r="E35" i="36"/>
  <c r="P35" i="36" s="1"/>
  <c r="E34" i="36"/>
  <c r="P34" i="36" s="1"/>
  <c r="E33" i="36"/>
  <c r="O33" i="36" s="1"/>
  <c r="J32" i="36"/>
  <c r="E32" i="36"/>
  <c r="P32" i="36" s="1"/>
  <c r="P31" i="36"/>
  <c r="O31" i="36"/>
  <c r="P30" i="36"/>
  <c r="O30" i="36"/>
  <c r="E28" i="36"/>
  <c r="E27" i="36"/>
  <c r="E26" i="36"/>
  <c r="F25" i="36"/>
  <c r="E25" i="36" s="1"/>
  <c r="L24" i="36"/>
  <c r="I24" i="36"/>
  <c r="F24" i="36"/>
  <c r="E24" i="36" s="1"/>
  <c r="L23" i="36"/>
  <c r="I23" i="36"/>
  <c r="G23" i="36"/>
  <c r="G13" i="36" s="1"/>
  <c r="F22" i="36"/>
  <c r="E22" i="36" s="1"/>
  <c r="E21" i="36"/>
  <c r="E20" i="36"/>
  <c r="L19" i="36"/>
  <c r="I19" i="36"/>
  <c r="E18" i="36"/>
  <c r="E17" i="36"/>
  <c r="L16" i="36"/>
  <c r="L13" i="36" s="1"/>
  <c r="L12" i="36" s="1"/>
  <c r="I16" i="36"/>
  <c r="F16" i="36"/>
  <c r="E15" i="36"/>
  <c r="N13" i="36"/>
  <c r="M13" i="36"/>
  <c r="K13" i="36"/>
  <c r="J13" i="36"/>
  <c r="I13" i="36"/>
  <c r="I12" i="36" s="1"/>
  <c r="H13" i="36"/>
  <c r="K79" i="35"/>
  <c r="D41" i="35"/>
  <c r="D65" i="35"/>
  <c r="D66" i="35"/>
  <c r="D67" i="35"/>
  <c r="D68" i="35"/>
  <c r="D69" i="35"/>
  <c r="D70" i="35"/>
  <c r="D71" i="35"/>
  <c r="D72" i="35"/>
  <c r="D73" i="35"/>
  <c r="D74" i="35"/>
  <c r="D75" i="35"/>
  <c r="D76" i="35"/>
  <c r="D77" i="35"/>
  <c r="D78" i="35"/>
  <c r="D79" i="35"/>
  <c r="D64" i="35"/>
  <c r="D56" i="35"/>
  <c r="D55" i="35"/>
  <c r="D54" i="35"/>
  <c r="D52" i="35" s="1"/>
  <c r="D48" i="35"/>
  <c r="D49" i="35"/>
  <c r="D50" i="35"/>
  <c r="D47" i="35"/>
  <c r="D42" i="35"/>
  <c r="D43" i="35"/>
  <c r="D44" i="35"/>
  <c r="C40" i="35"/>
  <c r="P36" i="35"/>
  <c r="P42" i="35"/>
  <c r="P41" i="35"/>
  <c r="D33" i="35"/>
  <c r="D34" i="35"/>
  <c r="D35" i="35"/>
  <c r="D36" i="35"/>
  <c r="D37" i="35"/>
  <c r="D38" i="35"/>
  <c r="D39" i="35"/>
  <c r="D24" i="35"/>
  <c r="D25" i="35"/>
  <c r="D26" i="35"/>
  <c r="D27" i="35"/>
  <c r="D28" i="35"/>
  <c r="D29" i="35"/>
  <c r="D30" i="35"/>
  <c r="D31" i="35"/>
  <c r="D15" i="35"/>
  <c r="D16" i="35"/>
  <c r="D17" i="35"/>
  <c r="D18" i="35"/>
  <c r="D19" i="35"/>
  <c r="D20" i="35"/>
  <c r="D21" i="35"/>
  <c r="D22" i="35"/>
  <c r="E16" i="35"/>
  <c r="K16" i="35" s="1"/>
  <c r="F16" i="35"/>
  <c r="L16" i="35" s="1"/>
  <c r="F15" i="35"/>
  <c r="L15" i="35" s="1"/>
  <c r="F110" i="35"/>
  <c r="F109" i="35"/>
  <c r="F108" i="35"/>
  <c r="F104" i="35"/>
  <c r="F107" i="35"/>
  <c r="F82" i="35"/>
  <c r="F83" i="35"/>
  <c r="F84" i="35"/>
  <c r="F85" i="35"/>
  <c r="F86" i="35"/>
  <c r="F87" i="35"/>
  <c r="F88" i="35"/>
  <c r="F90" i="35"/>
  <c r="F91" i="35"/>
  <c r="F93" i="35"/>
  <c r="F94" i="35"/>
  <c r="F97" i="35"/>
  <c r="F98" i="35"/>
  <c r="F100" i="35"/>
  <c r="F101" i="35"/>
  <c r="F17" i="35"/>
  <c r="F18" i="35"/>
  <c r="F19" i="35"/>
  <c r="L19" i="35" s="1"/>
  <c r="F20" i="35"/>
  <c r="F21" i="35"/>
  <c r="F22" i="35"/>
  <c r="F24" i="35"/>
  <c r="L24" i="35" s="1"/>
  <c r="F25" i="35"/>
  <c r="L25" i="35" s="1"/>
  <c r="F26" i="35"/>
  <c r="L26" i="35" s="1"/>
  <c r="F27" i="35"/>
  <c r="F28" i="35"/>
  <c r="L28" i="35" s="1"/>
  <c r="F29" i="35"/>
  <c r="F30" i="35"/>
  <c r="F31" i="35"/>
  <c r="F33" i="35"/>
  <c r="L33" i="35" s="1"/>
  <c r="F34" i="35"/>
  <c r="L34" i="35" s="1"/>
  <c r="F35" i="35"/>
  <c r="F36" i="35"/>
  <c r="F37" i="35"/>
  <c r="L37" i="35" s="1"/>
  <c r="F38" i="35"/>
  <c r="F39" i="35"/>
  <c r="F41" i="35"/>
  <c r="L41" i="35" s="1"/>
  <c r="F42" i="35"/>
  <c r="L42" i="35" s="1"/>
  <c r="F43" i="35"/>
  <c r="L43" i="35" s="1"/>
  <c r="F44" i="35"/>
  <c r="L44" i="35" s="1"/>
  <c r="F45" i="35"/>
  <c r="F46" i="35"/>
  <c r="F47" i="35"/>
  <c r="L47" i="35" s="1"/>
  <c r="F48" i="35"/>
  <c r="L48" i="35" s="1"/>
  <c r="F49" i="35"/>
  <c r="L49" i="35" s="1"/>
  <c r="F50" i="35"/>
  <c r="L50" i="35" s="1"/>
  <c r="F51" i="35"/>
  <c r="L51" i="35" s="1"/>
  <c r="F53" i="35"/>
  <c r="F55" i="35"/>
  <c r="L55" i="35" s="1"/>
  <c r="F56" i="35"/>
  <c r="L56" i="35" s="1"/>
  <c r="F57" i="35"/>
  <c r="F58" i="35"/>
  <c r="F59" i="35"/>
  <c r="F60" i="35"/>
  <c r="F61" i="35"/>
  <c r="L61" i="35" s="1"/>
  <c r="F62" i="35"/>
  <c r="F63" i="35"/>
  <c r="F64" i="35"/>
  <c r="L64" i="35" s="1"/>
  <c r="F65" i="35"/>
  <c r="L65" i="35" s="1"/>
  <c r="F67" i="35"/>
  <c r="L67" i="35" s="1"/>
  <c r="F68" i="35"/>
  <c r="L68" i="35" s="1"/>
  <c r="F69" i="35"/>
  <c r="L69" i="35" s="1"/>
  <c r="F70" i="35"/>
  <c r="L70" i="35" s="1"/>
  <c r="F71" i="35"/>
  <c r="L71" i="35" s="1"/>
  <c r="F73" i="35"/>
  <c r="L73" i="35" s="1"/>
  <c r="F74" i="35"/>
  <c r="L74" i="35" s="1"/>
  <c r="F75" i="35"/>
  <c r="L75" i="35" s="1"/>
  <c r="F76" i="35"/>
  <c r="L76" i="35" s="1"/>
  <c r="F77" i="35"/>
  <c r="L77" i="35" s="1"/>
  <c r="F78" i="35"/>
  <c r="L78" i="35" s="1"/>
  <c r="F79" i="35"/>
  <c r="L79" i="35" s="1"/>
  <c r="E133" i="35"/>
  <c r="E131" i="35"/>
  <c r="M131" i="35" s="1"/>
  <c r="E130" i="35"/>
  <c r="M129" i="35"/>
  <c r="E129" i="35"/>
  <c r="H128" i="35"/>
  <c r="E128" i="35" s="1"/>
  <c r="M128" i="35" s="1"/>
  <c r="J127" i="35"/>
  <c r="J125" i="35" s="1"/>
  <c r="I127" i="35"/>
  <c r="G127" i="35"/>
  <c r="C127" i="35"/>
  <c r="C125" i="35" s="1"/>
  <c r="B127" i="35"/>
  <c r="B125" i="35" s="1"/>
  <c r="E126" i="35"/>
  <c r="M126" i="35" s="1"/>
  <c r="I125" i="35"/>
  <c r="G125" i="35"/>
  <c r="E124" i="35"/>
  <c r="E123" i="35"/>
  <c r="M123" i="35" s="1"/>
  <c r="E122" i="35"/>
  <c r="M122" i="35" s="1"/>
  <c r="E121" i="35"/>
  <c r="M121" i="35" s="1"/>
  <c r="E120" i="35"/>
  <c r="M120" i="35" s="1"/>
  <c r="J119" i="35"/>
  <c r="I119" i="35"/>
  <c r="I115" i="35" s="1"/>
  <c r="H119" i="35"/>
  <c r="G119" i="35"/>
  <c r="G115" i="35" s="1"/>
  <c r="E118" i="35"/>
  <c r="M118" i="35" s="1"/>
  <c r="E117" i="35"/>
  <c r="J115" i="35"/>
  <c r="H115" i="35"/>
  <c r="C115" i="35"/>
  <c r="B115" i="35"/>
  <c r="M114" i="35"/>
  <c r="E114" i="35"/>
  <c r="M113" i="35"/>
  <c r="E113" i="35"/>
  <c r="M112" i="35"/>
  <c r="E112" i="35"/>
  <c r="E111" i="35"/>
  <c r="E110" i="35"/>
  <c r="E109" i="35"/>
  <c r="O109" i="35" s="1"/>
  <c r="E108" i="35"/>
  <c r="E107" i="35"/>
  <c r="H106" i="35"/>
  <c r="E106" i="35" s="1"/>
  <c r="J105" i="35"/>
  <c r="J103" i="35" s="1"/>
  <c r="J102" i="35" s="1"/>
  <c r="I105" i="35"/>
  <c r="I103" i="35" s="1"/>
  <c r="I102" i="35" s="1"/>
  <c r="H105" i="35"/>
  <c r="H103" i="35" s="1"/>
  <c r="G105" i="35"/>
  <c r="G103" i="35" s="1"/>
  <c r="G102" i="35" s="1"/>
  <c r="C105" i="35"/>
  <c r="C103" i="35" s="1"/>
  <c r="C102" i="35" s="1"/>
  <c r="B105" i="35"/>
  <c r="E104" i="35"/>
  <c r="B103" i="35"/>
  <c r="B102" i="35" s="1"/>
  <c r="N101" i="35"/>
  <c r="E101" i="35"/>
  <c r="E100" i="35"/>
  <c r="J99" i="35"/>
  <c r="I99" i="35"/>
  <c r="H99" i="35"/>
  <c r="G99" i="35"/>
  <c r="C99" i="35"/>
  <c r="B99" i="35"/>
  <c r="E98" i="35"/>
  <c r="E97" i="35"/>
  <c r="J96" i="35"/>
  <c r="I96" i="35"/>
  <c r="H96" i="35"/>
  <c r="G96" i="35"/>
  <c r="C96" i="35"/>
  <c r="B96" i="35"/>
  <c r="B95" i="35" s="1"/>
  <c r="J95" i="35"/>
  <c r="E94" i="35"/>
  <c r="E93" i="35"/>
  <c r="J92" i="35"/>
  <c r="I92" i="35"/>
  <c r="H92" i="35"/>
  <c r="G92" i="35"/>
  <c r="C92" i="35"/>
  <c r="B92" i="35"/>
  <c r="E91" i="35"/>
  <c r="E90" i="35"/>
  <c r="J89" i="35"/>
  <c r="I89" i="35"/>
  <c r="H89" i="35"/>
  <c r="G89" i="35"/>
  <c r="C89" i="35"/>
  <c r="B89" i="35"/>
  <c r="E88" i="35"/>
  <c r="E87" i="35"/>
  <c r="N86" i="35"/>
  <c r="E86" i="35"/>
  <c r="M86" i="35" s="1"/>
  <c r="E85" i="35"/>
  <c r="M85" i="35" s="1"/>
  <c r="E84" i="35"/>
  <c r="E83" i="35"/>
  <c r="M83" i="35" s="1"/>
  <c r="E82" i="35"/>
  <c r="M82" i="35" s="1"/>
  <c r="J81" i="35"/>
  <c r="I81" i="35"/>
  <c r="H81" i="35"/>
  <c r="G81" i="35"/>
  <c r="B81" i="35"/>
  <c r="E78" i="35"/>
  <c r="M78" i="35" s="1"/>
  <c r="E77" i="35"/>
  <c r="M77" i="35" s="1"/>
  <c r="E76" i="35"/>
  <c r="K76" i="35" s="1"/>
  <c r="E75" i="35"/>
  <c r="K75" i="35" s="1"/>
  <c r="E74" i="35"/>
  <c r="M74" i="35" s="1"/>
  <c r="E73" i="35"/>
  <c r="K73" i="35" s="1"/>
  <c r="J72" i="35"/>
  <c r="I72" i="35"/>
  <c r="H72" i="35"/>
  <c r="F72" i="35" s="1"/>
  <c r="L72" i="35" s="1"/>
  <c r="G72" i="35"/>
  <c r="E71" i="35"/>
  <c r="M71" i="35" s="1"/>
  <c r="E70" i="35"/>
  <c r="K70" i="35" s="1"/>
  <c r="E69" i="35"/>
  <c r="K69" i="35" s="1"/>
  <c r="E68" i="35"/>
  <c r="M68" i="35" s="1"/>
  <c r="M67" i="35"/>
  <c r="E67" i="35"/>
  <c r="K67" i="35" s="1"/>
  <c r="J66" i="35"/>
  <c r="I66" i="35"/>
  <c r="H66" i="35"/>
  <c r="F66" i="35" s="1"/>
  <c r="L66" i="35" s="1"/>
  <c r="G66" i="35"/>
  <c r="B66" i="35"/>
  <c r="E65" i="35"/>
  <c r="K65" i="35" s="1"/>
  <c r="E64" i="35"/>
  <c r="K64" i="35" s="1"/>
  <c r="E63" i="35"/>
  <c r="E62" i="35"/>
  <c r="E61" i="35"/>
  <c r="C61" i="35"/>
  <c r="E60" i="35"/>
  <c r="E59" i="35"/>
  <c r="E58" i="35"/>
  <c r="E57" i="35"/>
  <c r="E56" i="35"/>
  <c r="K56" i="35" s="1"/>
  <c r="E55" i="35"/>
  <c r="K55" i="35" s="1"/>
  <c r="J54" i="35"/>
  <c r="E54" i="35" s="1"/>
  <c r="K54" i="35" s="1"/>
  <c r="E53" i="35"/>
  <c r="M53" i="35" s="1"/>
  <c r="I52" i="35"/>
  <c r="H52" i="35"/>
  <c r="G52" i="35"/>
  <c r="B52" i="35"/>
  <c r="E51" i="35"/>
  <c r="K51" i="35" s="1"/>
  <c r="E50" i="35"/>
  <c r="K50" i="35" s="1"/>
  <c r="E49" i="35"/>
  <c r="K49" i="35" s="1"/>
  <c r="E48" i="35"/>
  <c r="O48" i="35" s="1"/>
  <c r="E47" i="35"/>
  <c r="K47" i="35" s="1"/>
  <c r="E46" i="35"/>
  <c r="K46" i="35" s="1"/>
  <c r="E45" i="35"/>
  <c r="M45" i="35" s="1"/>
  <c r="E44" i="35"/>
  <c r="K44" i="35" s="1"/>
  <c r="E43" i="35"/>
  <c r="M43" i="35" s="1"/>
  <c r="E42" i="35"/>
  <c r="M42" i="35" s="1"/>
  <c r="E41" i="35"/>
  <c r="K41" i="35" s="1"/>
  <c r="J40" i="35"/>
  <c r="I40" i="35"/>
  <c r="H40" i="35"/>
  <c r="F40" i="35" s="1"/>
  <c r="G40" i="35"/>
  <c r="B40" i="35"/>
  <c r="E39" i="35"/>
  <c r="M39" i="35" s="1"/>
  <c r="E38" i="35"/>
  <c r="E37" i="35"/>
  <c r="K37" i="35" s="1"/>
  <c r="E36" i="35"/>
  <c r="M36" i="35" s="1"/>
  <c r="E34" i="35"/>
  <c r="M34" i="35" s="1"/>
  <c r="E33" i="35"/>
  <c r="M33" i="35" s="1"/>
  <c r="J32" i="35"/>
  <c r="I32" i="35"/>
  <c r="H32" i="35"/>
  <c r="G32" i="35"/>
  <c r="E32" i="35" s="1"/>
  <c r="M32" i="35" s="1"/>
  <c r="C32" i="35"/>
  <c r="D32" i="35" s="1"/>
  <c r="B32" i="35"/>
  <c r="E31" i="35"/>
  <c r="M31" i="35" s="1"/>
  <c r="E30" i="35"/>
  <c r="M30" i="35" s="1"/>
  <c r="E29" i="35"/>
  <c r="M29" i="35" s="1"/>
  <c r="E28" i="35"/>
  <c r="M28" i="35" s="1"/>
  <c r="E27" i="35"/>
  <c r="E26" i="35"/>
  <c r="K26" i="35" s="1"/>
  <c r="E25" i="35"/>
  <c r="K25" i="35" s="1"/>
  <c r="E24" i="35"/>
  <c r="K24" i="35" s="1"/>
  <c r="J23" i="35"/>
  <c r="I23" i="35"/>
  <c r="H23" i="35"/>
  <c r="G23" i="35"/>
  <c r="C23" i="35"/>
  <c r="D23" i="35" s="1"/>
  <c r="B23" i="35"/>
  <c r="E22" i="35"/>
  <c r="M22" i="35" s="1"/>
  <c r="E21" i="35"/>
  <c r="Q20" i="35"/>
  <c r="E20" i="35"/>
  <c r="M20" i="35" s="1"/>
  <c r="E19" i="35"/>
  <c r="K19" i="35" s="1"/>
  <c r="E18" i="35"/>
  <c r="R17" i="35"/>
  <c r="E17" i="35"/>
  <c r="M17" i="35" s="1"/>
  <c r="E15" i="35"/>
  <c r="M15" i="35" s="1"/>
  <c r="J14" i="35"/>
  <c r="I14" i="35"/>
  <c r="H14" i="35"/>
  <c r="H13" i="35" s="1"/>
  <c r="G14" i="35"/>
  <c r="E14" i="35"/>
  <c r="K14" i="35" s="1"/>
  <c r="C14" i="35"/>
  <c r="D14" i="35" s="1"/>
  <c r="B14" i="35"/>
  <c r="B13" i="35" s="1"/>
  <c r="B12" i="35" s="1"/>
  <c r="Q13" i="35"/>
  <c r="Q17" i="35" s="1"/>
  <c r="I13" i="35"/>
  <c r="G13" i="35"/>
  <c r="G12" i="35" s="1"/>
  <c r="O8" i="35"/>
  <c r="P7" i="35"/>
  <c r="G96" i="39" l="1"/>
  <c r="R11" i="39"/>
  <c r="V12" i="39"/>
  <c r="E63" i="38"/>
  <c r="Q63" i="38" s="1"/>
  <c r="P63" i="38"/>
  <c r="V12" i="38"/>
  <c r="P11" i="38"/>
  <c r="Q11" i="38"/>
  <c r="Q34" i="36"/>
  <c r="C92" i="36"/>
  <c r="C86" i="36" s="1"/>
  <c r="O34" i="36"/>
  <c r="O37" i="36"/>
  <c r="H38" i="36"/>
  <c r="E49" i="36"/>
  <c r="P49" i="36" s="1"/>
  <c r="E16" i="36"/>
  <c r="P33" i="36"/>
  <c r="E102" i="36"/>
  <c r="E106" i="36"/>
  <c r="E19" i="36"/>
  <c r="O32" i="36"/>
  <c r="C10" i="36"/>
  <c r="E44" i="36"/>
  <c r="P44" i="36" s="1"/>
  <c r="P55" i="36"/>
  <c r="D92" i="36"/>
  <c r="D86" i="36" s="1"/>
  <c r="D10" i="36" s="1"/>
  <c r="I107" i="36"/>
  <c r="F23" i="35"/>
  <c r="M24" i="35"/>
  <c r="F32" i="35"/>
  <c r="L32" i="35" s="1"/>
  <c r="E40" i="35"/>
  <c r="K40" i="35" s="1"/>
  <c r="K61" i="35"/>
  <c r="F81" i="35"/>
  <c r="D40" i="35"/>
  <c r="L40" i="35"/>
  <c r="H127" i="35"/>
  <c r="E127" i="35" s="1"/>
  <c r="M127" i="35" s="1"/>
  <c r="L23" i="35"/>
  <c r="D13" i="35"/>
  <c r="D12" i="35" s="1"/>
  <c r="O22" i="35" s="1"/>
  <c r="E23" i="35"/>
  <c r="K23" i="35" s="1"/>
  <c r="M41" i="35"/>
  <c r="E66" i="35"/>
  <c r="M69" i="35"/>
  <c r="F96" i="35"/>
  <c r="F99" i="35"/>
  <c r="N117" i="35"/>
  <c r="F106" i="35"/>
  <c r="K78" i="35"/>
  <c r="K74" i="35"/>
  <c r="K68" i="35"/>
  <c r="K48" i="35"/>
  <c r="K43" i="35"/>
  <c r="K33" i="35"/>
  <c r="K28" i="35"/>
  <c r="M14" i="35"/>
  <c r="F14" i="35"/>
  <c r="L14" i="35" s="1"/>
  <c r="F54" i="35"/>
  <c r="L54" i="35" s="1"/>
  <c r="C13" i="35"/>
  <c r="C12" i="35" s="1"/>
  <c r="K15" i="35"/>
  <c r="K77" i="35"/>
  <c r="K71" i="35"/>
  <c r="K53" i="35"/>
  <c r="K42" i="35"/>
  <c r="K34" i="35"/>
  <c r="K32" i="35"/>
  <c r="R32" i="38"/>
  <c r="O32" i="38"/>
  <c r="F69" i="38"/>
  <c r="O14" i="38"/>
  <c r="R14" i="38"/>
  <c r="S68" i="38"/>
  <c r="E114" i="36"/>
  <c r="E112" i="36"/>
  <c r="Q112" i="36" s="1"/>
  <c r="P80" i="36"/>
  <c r="E91" i="36"/>
  <c r="Q75" i="36"/>
  <c r="P75" i="36"/>
  <c r="P77" i="36"/>
  <c r="O74" i="36"/>
  <c r="P64" i="36"/>
  <c r="P43" i="36"/>
  <c r="O48" i="36"/>
  <c r="O66" i="36"/>
  <c r="F107" i="36"/>
  <c r="E107" i="36" s="1"/>
  <c r="P107" i="36" s="1"/>
  <c r="H92" i="36"/>
  <c r="H86" i="36" s="1"/>
  <c r="L92" i="36"/>
  <c r="L87" i="36"/>
  <c r="O59" i="36"/>
  <c r="O62" i="36"/>
  <c r="O70" i="36"/>
  <c r="P68" i="36"/>
  <c r="F87" i="36"/>
  <c r="I92" i="36"/>
  <c r="I86" i="36" s="1"/>
  <c r="E103" i="36"/>
  <c r="E50" i="36"/>
  <c r="P50" i="36" s="1"/>
  <c r="D118" i="36"/>
  <c r="E56" i="36"/>
  <c r="O56" i="36" s="1"/>
  <c r="O58" i="36"/>
  <c r="O63" i="36"/>
  <c r="O67" i="36"/>
  <c r="O73" i="36"/>
  <c r="P76" i="36"/>
  <c r="Q77" i="36"/>
  <c r="E95" i="36"/>
  <c r="P95" i="36" s="1"/>
  <c r="E99" i="36"/>
  <c r="Q76" i="36"/>
  <c r="E89" i="36"/>
  <c r="P89" i="36" s="1"/>
  <c r="E93" i="36"/>
  <c r="E96" i="36"/>
  <c r="O96" i="36" s="1"/>
  <c r="E100" i="36"/>
  <c r="O100" i="36" s="1"/>
  <c r="E104" i="36"/>
  <c r="O104" i="36" s="1"/>
  <c r="P78" i="36"/>
  <c r="E90" i="36"/>
  <c r="E94" i="36"/>
  <c r="P94" i="36" s="1"/>
  <c r="E97" i="36"/>
  <c r="P97" i="36" s="1"/>
  <c r="E101" i="36"/>
  <c r="O101" i="36" s="1"/>
  <c r="E105" i="36"/>
  <c r="O105" i="36" s="1"/>
  <c r="F38" i="36"/>
  <c r="E40" i="36"/>
  <c r="P40" i="36" s="1"/>
  <c r="C118" i="36"/>
  <c r="P79" i="36"/>
  <c r="O79" i="36"/>
  <c r="P42" i="36"/>
  <c r="O42" i="36"/>
  <c r="P98" i="36"/>
  <c r="O98" i="36"/>
  <c r="P106" i="36"/>
  <c r="O106" i="36"/>
  <c r="O60" i="36"/>
  <c r="P60" i="36"/>
  <c r="O88" i="36"/>
  <c r="Q88" i="36"/>
  <c r="P88" i="36"/>
  <c r="P99" i="36"/>
  <c r="O99" i="36"/>
  <c r="P103" i="36"/>
  <c r="O103" i="36"/>
  <c r="O89" i="36"/>
  <c r="P100" i="36"/>
  <c r="O97" i="36"/>
  <c r="P102" i="36"/>
  <c r="O102" i="36"/>
  <c r="O107" i="36"/>
  <c r="F23" i="36"/>
  <c r="F13" i="36" s="1"/>
  <c r="E13" i="36" s="1"/>
  <c r="L51" i="36"/>
  <c r="O36" i="36"/>
  <c r="O57" i="36"/>
  <c r="O61" i="36"/>
  <c r="O65" i="36"/>
  <c r="O69" i="36"/>
  <c r="O72" i="36"/>
  <c r="O80" i="36"/>
  <c r="E71" i="36"/>
  <c r="E81" i="35"/>
  <c r="D11" i="35"/>
  <c r="M46" i="35"/>
  <c r="M25" i="35"/>
  <c r="E72" i="35"/>
  <c r="M76" i="35"/>
  <c r="M26" i="35"/>
  <c r="M48" i="35"/>
  <c r="M50" i="35"/>
  <c r="E105" i="35"/>
  <c r="F89" i="35"/>
  <c r="E92" i="35"/>
  <c r="B11" i="35"/>
  <c r="B132" i="35" s="1"/>
  <c r="E96" i="35"/>
  <c r="E89" i="35"/>
  <c r="F92" i="35"/>
  <c r="E103" i="35"/>
  <c r="F103" i="35"/>
  <c r="F105" i="35"/>
  <c r="E99" i="35"/>
  <c r="I95" i="35"/>
  <c r="H95" i="35"/>
  <c r="C95" i="35"/>
  <c r="C11" i="35" s="1"/>
  <c r="O9" i="35" s="1"/>
  <c r="M23" i="35"/>
  <c r="G132" i="35"/>
  <c r="M54" i="35"/>
  <c r="C132" i="35"/>
  <c r="Q15" i="35"/>
  <c r="H12" i="35"/>
  <c r="N41" i="35"/>
  <c r="M40" i="35"/>
  <c r="I12" i="35"/>
  <c r="M37" i="35"/>
  <c r="M73" i="35"/>
  <c r="G95" i="35"/>
  <c r="G11" i="35" s="1"/>
  <c r="H102" i="35"/>
  <c r="N106" i="35"/>
  <c r="O107" i="35" s="1"/>
  <c r="M117" i="35"/>
  <c r="E119" i="35"/>
  <c r="H125" i="35"/>
  <c r="E125" i="35" s="1"/>
  <c r="N82" i="35"/>
  <c r="J52" i="35"/>
  <c r="J13" i="35" s="1"/>
  <c r="O63" i="38" l="1"/>
  <c r="E69" i="38"/>
  <c r="P13" i="36"/>
  <c r="E12" i="36"/>
  <c r="P105" i="36"/>
  <c r="E92" i="36"/>
  <c r="E87" i="36"/>
  <c r="M72" i="35"/>
  <c r="K72" i="35"/>
  <c r="M66" i="35"/>
  <c r="K66" i="35"/>
  <c r="F13" i="35"/>
  <c r="F52" i="35"/>
  <c r="L52" i="35" s="1"/>
  <c r="O13" i="38"/>
  <c r="E11" i="38"/>
  <c r="R13" i="38"/>
  <c r="P104" i="36"/>
  <c r="I11" i="36"/>
  <c r="I118" i="36" s="1"/>
  <c r="I124" i="36" s="1"/>
  <c r="P101" i="36"/>
  <c r="R93" i="36"/>
  <c r="L86" i="36"/>
  <c r="Q107" i="36"/>
  <c r="F92" i="36"/>
  <c r="F86" i="36" s="1"/>
  <c r="P96" i="36"/>
  <c r="O94" i="36"/>
  <c r="P56" i="36"/>
  <c r="O95" i="36"/>
  <c r="E51" i="36"/>
  <c r="P51" i="36" s="1"/>
  <c r="L38" i="36"/>
  <c r="L11" i="36" s="1"/>
  <c r="L118" i="36" s="1"/>
  <c r="L125" i="36" s="1"/>
  <c r="O71" i="36"/>
  <c r="P71" i="36"/>
  <c r="E23" i="36"/>
  <c r="O87" i="36"/>
  <c r="M81" i="35"/>
  <c r="K81" i="35"/>
  <c r="E95" i="35"/>
  <c r="F95" i="35"/>
  <c r="M125" i="35"/>
  <c r="N125" i="35"/>
  <c r="J12" i="35"/>
  <c r="Q18" i="35"/>
  <c r="Q19" i="35" s="1"/>
  <c r="M119" i="35"/>
  <c r="L119" i="35"/>
  <c r="E115" i="35"/>
  <c r="H132" i="35"/>
  <c r="L132" i="35" s="1"/>
  <c r="H11" i="35"/>
  <c r="E52" i="35"/>
  <c r="I11" i="35"/>
  <c r="I132" i="35"/>
  <c r="P9" i="35"/>
  <c r="P12" i="36" l="1"/>
  <c r="E86" i="36"/>
  <c r="K52" i="35"/>
  <c r="E13" i="35"/>
  <c r="L13" i="35"/>
  <c r="F12" i="35"/>
  <c r="P87" i="36"/>
  <c r="E38" i="36"/>
  <c r="E11" i="36" s="1"/>
  <c r="F12" i="36"/>
  <c r="F11" i="36" s="1"/>
  <c r="P86" i="36"/>
  <c r="Q86" i="36"/>
  <c r="M115" i="35"/>
  <c r="L115" i="35"/>
  <c r="O90" i="35"/>
  <c r="Q9" i="35"/>
  <c r="O7" i="35"/>
  <c r="P90" i="35"/>
  <c r="R9" i="35"/>
  <c r="J132" i="35"/>
  <c r="J11" i="35"/>
  <c r="N53" i="35"/>
  <c r="M52" i="35"/>
  <c r="P11" i="36" l="1"/>
  <c r="E10" i="36"/>
  <c r="P10" i="36" s="1"/>
  <c r="F11" i="35"/>
  <c r="L11" i="35" s="1"/>
  <c r="L12" i="35"/>
  <c r="E12" i="35"/>
  <c r="K13" i="35"/>
  <c r="O86" i="36"/>
  <c r="O38" i="36"/>
  <c r="Q38" i="36"/>
  <c r="P38" i="36"/>
  <c r="R14" i="36"/>
  <c r="R15" i="36" s="1"/>
  <c r="O13" i="36"/>
  <c r="S13" i="36"/>
  <c r="R13" i="36"/>
  <c r="M13" i="35"/>
  <c r="Q11" i="35"/>
  <c r="Q12" i="35" s="1"/>
  <c r="Q16" i="35" s="1"/>
  <c r="N9" i="35"/>
  <c r="M12" i="35"/>
  <c r="S9" i="35"/>
  <c r="Q90" i="35"/>
  <c r="N91" i="35" s="1"/>
  <c r="S16" i="35" l="1"/>
  <c r="K12" i="35"/>
  <c r="P24" i="35"/>
  <c r="E11" i="35"/>
  <c r="Q12" i="36"/>
  <c r="O12" i="36"/>
  <c r="F118" i="36"/>
  <c r="E118" i="36" s="1"/>
  <c r="E132" i="35"/>
  <c r="P92" i="35"/>
  <c r="P95" i="35" s="1"/>
  <c r="O23" i="35" l="1"/>
  <c r="O25" i="35" s="1"/>
  <c r="K11" i="35"/>
  <c r="F124" i="36"/>
  <c r="Q11" i="36"/>
  <c r="O11" i="36"/>
  <c r="R123" i="36" l="1"/>
  <c r="P118" i="36"/>
  <c r="E124" i="36"/>
  <c r="O118" i="36"/>
  <c r="H12" i="9" l="1"/>
  <c r="E14" i="9"/>
  <c r="C14" i="9" s="1"/>
  <c r="E12" i="9"/>
  <c r="C12" i="9" s="1"/>
  <c r="F13" i="7"/>
  <c r="E13" i="7"/>
  <c r="D13" i="7"/>
  <c r="C15" i="7"/>
  <c r="C16" i="7"/>
  <c r="C17" i="7"/>
  <c r="C18" i="7"/>
  <c r="C19" i="7"/>
  <c r="C20" i="7"/>
  <c r="C21" i="7"/>
  <c r="C22" i="7"/>
  <c r="C14" i="7"/>
  <c r="H13" i="9" l="1"/>
  <c r="C13" i="7"/>
  <c r="I15" i="7"/>
  <c r="L22" i="7"/>
  <c r="L19" i="7"/>
  <c r="L16" i="7"/>
  <c r="L17" i="7"/>
  <c r="L21" i="7"/>
  <c r="L20" i="7"/>
  <c r="L15" i="7"/>
  <c r="L14" i="7"/>
  <c r="K22" i="7" l="1"/>
  <c r="U22" i="7" s="1"/>
  <c r="K21" i="7"/>
  <c r="U21" i="7" s="1"/>
  <c r="K20" i="7"/>
  <c r="U20" i="7" s="1"/>
  <c r="K19" i="7"/>
  <c r="U19" i="7" s="1"/>
  <c r="K18" i="7"/>
  <c r="U18" i="7" s="1"/>
  <c r="K17" i="7"/>
  <c r="U17" i="7" s="1"/>
  <c r="K16" i="7"/>
  <c r="U16" i="7" s="1"/>
  <c r="K15" i="7"/>
  <c r="U15" i="7" s="1"/>
  <c r="K14" i="7"/>
  <c r="U14" i="7" s="1"/>
  <c r="H22" i="7"/>
  <c r="T22" i="7" s="1"/>
  <c r="H21" i="7"/>
  <c r="T21" i="7" s="1"/>
  <c r="H20" i="7"/>
  <c r="T20" i="7" s="1"/>
  <c r="H19" i="7"/>
  <c r="T19" i="7" s="1"/>
  <c r="H18" i="7"/>
  <c r="T18" i="7" s="1"/>
  <c r="H17" i="7"/>
  <c r="T17" i="7" s="1"/>
  <c r="H16" i="7"/>
  <c r="T16" i="7" s="1"/>
  <c r="H15" i="7"/>
  <c r="T15" i="7" s="1"/>
  <c r="H14" i="7"/>
  <c r="T14" i="7" s="1"/>
  <c r="I16" i="7"/>
  <c r="H13" i="7" l="1"/>
  <c r="T13" i="7" s="1"/>
  <c r="I13" i="7"/>
  <c r="J13" i="7"/>
  <c r="K13" i="7"/>
  <c r="U13" i="7" s="1"/>
  <c r="L13" i="7"/>
  <c r="M13" i="7"/>
  <c r="O13" i="7"/>
  <c r="P13" i="7"/>
  <c r="Q13" i="7"/>
  <c r="R13" i="7"/>
  <c r="N14" i="7"/>
  <c r="G14" i="7" s="1"/>
  <c r="S14" i="7" s="1"/>
  <c r="N15" i="7"/>
  <c r="G15" i="7" s="1"/>
  <c r="S15" i="7" s="1"/>
  <c r="N16" i="7"/>
  <c r="G16" i="7" s="1"/>
  <c r="S16" i="7" s="1"/>
  <c r="N17" i="7"/>
  <c r="G17" i="7" s="1"/>
  <c r="S17" i="7" s="1"/>
  <c r="N18" i="7"/>
  <c r="G18" i="7" s="1"/>
  <c r="S18" i="7" s="1"/>
  <c r="N19" i="7"/>
  <c r="G19" i="7" s="1"/>
  <c r="S19" i="7" s="1"/>
  <c r="N20" i="7"/>
  <c r="G20" i="7" s="1"/>
  <c r="S20" i="7" s="1"/>
  <c r="N21" i="7"/>
  <c r="G21" i="7" s="1"/>
  <c r="S21" i="7" s="1"/>
  <c r="N22" i="7"/>
  <c r="G22" i="7" s="1"/>
  <c r="S22" i="7" s="1"/>
  <c r="N13" i="7" l="1"/>
  <c r="V17" i="7"/>
  <c r="G13" i="7" l="1"/>
  <c r="R86" i="5"/>
  <c r="R84" i="5"/>
  <c r="B24" i="7" l="1"/>
  <c r="S13" i="7"/>
  <c r="X36" i="22"/>
  <c r="AB33" i="22"/>
  <c r="AA33" i="22" s="1"/>
  <c r="AB34" i="22"/>
  <c r="AA34" i="22" s="1"/>
  <c r="AB35" i="22"/>
  <c r="AA35" i="22" s="1"/>
  <c r="AB36" i="22"/>
  <c r="AA36" i="22" s="1"/>
  <c r="AB37" i="22"/>
  <c r="AA37" i="22" s="1"/>
  <c r="AB38" i="22"/>
  <c r="AA38" i="22" s="1"/>
  <c r="AB39" i="22"/>
  <c r="AB40" i="22"/>
  <c r="AA40" i="22" s="1"/>
  <c r="AB32" i="22"/>
  <c r="AA39" i="22"/>
  <c r="T37" i="22"/>
  <c r="T38" i="22"/>
  <c r="T39" i="22"/>
  <c r="T40" i="22"/>
  <c r="T36" i="22"/>
  <c r="E40" i="22" l="1"/>
  <c r="C40" i="22" s="1"/>
  <c r="E39" i="22"/>
  <c r="C39" i="22" s="1"/>
  <c r="E38" i="22"/>
  <c r="C38" i="22" s="1"/>
  <c r="E37" i="22"/>
  <c r="C37" i="22" s="1"/>
  <c r="E36" i="22"/>
  <c r="C36" i="22" s="1"/>
  <c r="E35" i="22"/>
  <c r="C35" i="22" s="1"/>
  <c r="E34" i="22"/>
  <c r="C34" i="22" s="1"/>
  <c r="E33" i="22"/>
  <c r="C33" i="22" s="1"/>
  <c r="E32" i="22"/>
  <c r="I14" i="22"/>
  <c r="R14" i="22"/>
  <c r="G201" i="23" l="1"/>
  <c r="T206" i="23" s="1"/>
  <c r="H164" i="23"/>
  <c r="F239" i="23"/>
  <c r="H241" i="23"/>
  <c r="F241" i="23" s="1"/>
  <c r="H72" i="23" l="1"/>
  <c r="H76" i="23"/>
  <c r="H204" i="23"/>
  <c r="H207" i="23"/>
  <c r="H100" i="5"/>
  <c r="H80" i="5" l="1"/>
  <c r="F195" i="23"/>
  <c r="G193" i="23" l="1"/>
  <c r="G20" i="5"/>
  <c r="F20" i="5"/>
  <c r="F201" i="23"/>
  <c r="V15" i="23"/>
  <c r="M203" i="23"/>
  <c r="N240" i="23"/>
  <c r="N194" i="23"/>
  <c r="F194" i="23" s="1"/>
  <c r="F100" i="5"/>
  <c r="G100" i="5"/>
  <c r="M13" i="23"/>
  <c r="T20" i="23" s="1"/>
  <c r="K15" i="23"/>
  <c r="K16" i="23"/>
  <c r="K17" i="23"/>
  <c r="F17" i="23" s="1"/>
  <c r="K18" i="23"/>
  <c r="K19" i="23"/>
  <c r="K20" i="23"/>
  <c r="K21" i="23"/>
  <c r="K22" i="23"/>
  <c r="K23" i="23"/>
  <c r="K24" i="23"/>
  <c r="K25" i="23"/>
  <c r="K26" i="23"/>
  <c r="K27" i="23"/>
  <c r="K28" i="23"/>
  <c r="K29" i="23"/>
  <c r="F29" i="23" s="1"/>
  <c r="K30" i="23"/>
  <c r="K31" i="23"/>
  <c r="K32" i="23"/>
  <c r="K33" i="23"/>
  <c r="K34" i="23"/>
  <c r="K35" i="23"/>
  <c r="K36" i="23"/>
  <c r="K37" i="23"/>
  <c r="K38" i="23"/>
  <c r="K39" i="23"/>
  <c r="K40" i="23"/>
  <c r="K41" i="23"/>
  <c r="K42" i="23"/>
  <c r="K43" i="23"/>
  <c r="K44" i="23"/>
  <c r="K45" i="23"/>
  <c r="K46" i="23"/>
  <c r="K47" i="23"/>
  <c r="K48" i="23"/>
  <c r="K49" i="23"/>
  <c r="K50" i="23"/>
  <c r="K51" i="23"/>
  <c r="F51" i="23" s="1"/>
  <c r="K52" i="23"/>
  <c r="K53" i="23"/>
  <c r="K54" i="23"/>
  <c r="K55" i="23"/>
  <c r="F55" i="23" s="1"/>
  <c r="K56" i="23"/>
  <c r="F56" i="23" s="1"/>
  <c r="K57" i="23"/>
  <c r="K58" i="23"/>
  <c r="F58" i="23" s="1"/>
  <c r="K59" i="23"/>
  <c r="F59" i="23" s="1"/>
  <c r="K60" i="23"/>
  <c r="K61" i="23"/>
  <c r="K62" i="23"/>
  <c r="K63" i="23"/>
  <c r="K64" i="23"/>
  <c r="K65" i="23"/>
  <c r="K66" i="23"/>
  <c r="K67" i="23"/>
  <c r="K68" i="23"/>
  <c r="K69" i="23"/>
  <c r="K70" i="23"/>
  <c r="K71" i="23"/>
  <c r="K72" i="23"/>
  <c r="K73" i="23"/>
  <c r="K74" i="23"/>
  <c r="K75" i="23"/>
  <c r="K76" i="23"/>
  <c r="K77" i="23"/>
  <c r="K78" i="23"/>
  <c r="K79" i="23"/>
  <c r="K80" i="23"/>
  <c r="K81" i="23"/>
  <c r="K82" i="23"/>
  <c r="K83" i="23"/>
  <c r="K84" i="23"/>
  <c r="F84" i="23" s="1"/>
  <c r="K85" i="23"/>
  <c r="K86" i="23"/>
  <c r="K87" i="23"/>
  <c r="K88" i="23"/>
  <c r="K89" i="23"/>
  <c r="K90" i="23"/>
  <c r="K91" i="23"/>
  <c r="K92" i="23"/>
  <c r="K93" i="23"/>
  <c r="K94" i="23"/>
  <c r="K95" i="23"/>
  <c r="K96" i="23"/>
  <c r="K97" i="23"/>
  <c r="F97" i="23" s="1"/>
  <c r="K98" i="23"/>
  <c r="K99" i="23"/>
  <c r="K100" i="23"/>
  <c r="F100" i="23" s="1"/>
  <c r="K101" i="23"/>
  <c r="K102" i="23"/>
  <c r="K103" i="23"/>
  <c r="K104" i="23"/>
  <c r="K105" i="23"/>
  <c r="K106" i="23"/>
  <c r="K107" i="23"/>
  <c r="K108" i="23"/>
  <c r="K109" i="23"/>
  <c r="K110" i="23"/>
  <c r="K111" i="23"/>
  <c r="K112" i="23"/>
  <c r="K113" i="23"/>
  <c r="K114" i="23"/>
  <c r="F114" i="23" s="1"/>
  <c r="K115" i="23"/>
  <c r="K116" i="23"/>
  <c r="K117" i="23"/>
  <c r="K118" i="23"/>
  <c r="K119" i="23"/>
  <c r="K120" i="23"/>
  <c r="F120" i="23" s="1"/>
  <c r="K121" i="23"/>
  <c r="K122" i="23"/>
  <c r="K123" i="23"/>
  <c r="K124" i="23"/>
  <c r="K125" i="23"/>
  <c r="K126" i="23"/>
  <c r="K127" i="23"/>
  <c r="K128" i="23"/>
  <c r="K129" i="23"/>
  <c r="K130" i="23"/>
  <c r="K131" i="23"/>
  <c r="K132" i="23"/>
  <c r="K133" i="23"/>
  <c r="K134" i="23"/>
  <c r="K135" i="23"/>
  <c r="K136" i="23"/>
  <c r="K137" i="23"/>
  <c r="K138" i="23"/>
  <c r="K139" i="23"/>
  <c r="K140" i="23"/>
  <c r="K141" i="23"/>
  <c r="K142" i="23"/>
  <c r="K143" i="23"/>
  <c r="K144" i="23"/>
  <c r="K145" i="23"/>
  <c r="K146" i="23"/>
  <c r="K147" i="23"/>
  <c r="K148" i="23"/>
  <c r="K149" i="23"/>
  <c r="K150" i="23"/>
  <c r="K151" i="23"/>
  <c r="K152" i="23"/>
  <c r="K153" i="23"/>
  <c r="K154" i="23"/>
  <c r="K155" i="23"/>
  <c r="K156" i="23"/>
  <c r="K157" i="23"/>
  <c r="K158" i="23"/>
  <c r="K159" i="23"/>
  <c r="K160" i="23"/>
  <c r="K161" i="23"/>
  <c r="F161" i="23" s="1"/>
  <c r="K162" i="23"/>
  <c r="K163" i="23"/>
  <c r="K164" i="23"/>
  <c r="F164" i="23" s="1"/>
  <c r="K165" i="23"/>
  <c r="K166" i="23"/>
  <c r="K167" i="23"/>
  <c r="K168" i="23"/>
  <c r="K169" i="23"/>
  <c r="K170" i="23"/>
  <c r="K171" i="23"/>
  <c r="F171" i="23" s="1"/>
  <c r="K172" i="23"/>
  <c r="K173" i="23"/>
  <c r="K174" i="23"/>
  <c r="K175" i="23"/>
  <c r="K176" i="23"/>
  <c r="K177" i="23"/>
  <c r="K178" i="23"/>
  <c r="F178" i="23" s="1"/>
  <c r="K179" i="23"/>
  <c r="K180" i="23"/>
  <c r="K181" i="23"/>
  <c r="K182" i="23"/>
  <c r="K183" i="23"/>
  <c r="F183" i="23" s="1"/>
  <c r="K184" i="23"/>
  <c r="K185" i="23"/>
  <c r="K186" i="23"/>
  <c r="K187" i="23"/>
  <c r="K188" i="23"/>
  <c r="K189" i="23"/>
  <c r="F189" i="23" s="1"/>
  <c r="K190" i="23"/>
  <c r="K191" i="23"/>
  <c r="K14" i="23"/>
  <c r="K194" i="23"/>
  <c r="K195" i="23"/>
  <c r="K196" i="23"/>
  <c r="F196" i="23" s="1"/>
  <c r="K197" i="23"/>
  <c r="F197" i="23" s="1"/>
  <c r="K198" i="23"/>
  <c r="F198" i="23" s="1"/>
  <c r="K199" i="23"/>
  <c r="F199" i="23" s="1"/>
  <c r="K200" i="23"/>
  <c r="F200" i="23" s="1"/>
  <c r="K201" i="23"/>
  <c r="K202" i="23"/>
  <c r="K193" i="23"/>
  <c r="L13" i="23"/>
  <c r="H192" i="23"/>
  <c r="I192" i="23"/>
  <c r="J192" i="23"/>
  <c r="L192" i="23"/>
  <c r="M192" i="23"/>
  <c r="O192" i="23"/>
  <c r="Q33" i="22"/>
  <c r="Q34" i="22"/>
  <c r="Q35" i="22"/>
  <c r="Q36" i="22"/>
  <c r="L36" i="22" s="1"/>
  <c r="Q37" i="22"/>
  <c r="L37" i="22" s="1"/>
  <c r="Q38" i="22"/>
  <c r="Q39" i="22"/>
  <c r="L39" i="22" s="1"/>
  <c r="Q40" i="22"/>
  <c r="L40" i="22" s="1"/>
  <c r="Q41" i="22"/>
  <c r="Q32" i="22"/>
  <c r="N35" i="22"/>
  <c r="M35" i="22" s="1"/>
  <c r="N36" i="22"/>
  <c r="M36" i="22" s="1"/>
  <c r="N37" i="22"/>
  <c r="K37" i="22" s="1"/>
  <c r="N38" i="22"/>
  <c r="K38" i="22" s="1"/>
  <c r="N39" i="22"/>
  <c r="N40" i="22"/>
  <c r="M40" i="22" s="1"/>
  <c r="N41" i="22"/>
  <c r="N33" i="22"/>
  <c r="K33" i="22" s="1"/>
  <c r="N34" i="22"/>
  <c r="K34" i="22" s="1"/>
  <c r="N32" i="22"/>
  <c r="M32" i="22" l="1"/>
  <c r="M39" i="22"/>
  <c r="K40" i="22"/>
  <c r="J40" i="22" s="1"/>
  <c r="K36" i="22"/>
  <c r="J36" i="22" s="1"/>
  <c r="M38" i="22"/>
  <c r="K39" i="22"/>
  <c r="K35" i="22"/>
  <c r="M37" i="22"/>
  <c r="J37" i="22"/>
  <c r="L38" i="22"/>
  <c r="J38" i="22" s="1"/>
  <c r="M33" i="22"/>
  <c r="M41" i="22"/>
  <c r="N203" i="23"/>
  <c r="F240" i="23"/>
  <c r="F193" i="23"/>
  <c r="N192" i="23"/>
  <c r="K192" i="23"/>
  <c r="K13" i="23"/>
  <c r="J39" i="22"/>
  <c r="M34" i="22"/>
  <c r="U191" i="23" l="1"/>
  <c r="N12" i="23"/>
  <c r="F238" i="23"/>
  <c r="H208" i="23"/>
  <c r="H203" i="23" s="1"/>
  <c r="F191" i="23"/>
  <c r="F237" i="23"/>
  <c r="F236" i="23"/>
  <c r="F235" i="23"/>
  <c r="F202" i="23" l="1"/>
  <c r="F192" i="23" s="1"/>
  <c r="G192" i="23"/>
  <c r="G12" i="23" s="1"/>
  <c r="F229" i="23"/>
  <c r="F230" i="23"/>
  <c r="F231" i="23"/>
  <c r="F232" i="23"/>
  <c r="F233" i="23"/>
  <c r="F234" i="23"/>
  <c r="F228" i="23"/>
  <c r="T198" i="23" l="1"/>
  <c r="U192" i="23"/>
  <c r="I242" i="23"/>
  <c r="F243" i="23"/>
  <c r="O244" i="23"/>
  <c r="F244" i="23" s="1"/>
  <c r="J245" i="23"/>
  <c r="F245" i="23" s="1"/>
  <c r="F246" i="23"/>
  <c r="F247" i="23"/>
  <c r="F190" i="23" l="1"/>
  <c r="F188" i="23"/>
  <c r="H13" i="23"/>
  <c r="F14" i="23"/>
  <c r="Y51" i="22" l="1"/>
  <c r="Y48" i="22"/>
  <c r="Y45" i="22"/>
  <c r="Y46" i="22"/>
  <c r="Y50" i="22"/>
  <c r="Y49" i="22"/>
  <c r="Y47" i="22"/>
  <c r="Y44" i="22"/>
  <c r="V48" i="22"/>
  <c r="V44" i="22"/>
  <c r="U32" i="22" l="1"/>
  <c r="X35" i="22"/>
  <c r="L35" i="22" s="1"/>
  <c r="J35" i="22" s="1"/>
  <c r="X34" i="22"/>
  <c r="L34" i="22" s="1"/>
  <c r="J34" i="22" s="1"/>
  <c r="X33" i="22"/>
  <c r="L33" i="22" s="1"/>
  <c r="T35" i="22" l="1"/>
  <c r="T33" i="22"/>
  <c r="J33" i="22"/>
  <c r="T34" i="22"/>
  <c r="F116" i="29"/>
  <c r="F117" i="29" s="1"/>
  <c r="D39" i="31" l="1"/>
  <c r="D16" i="16" l="1"/>
  <c r="H69" i="34"/>
  <c r="H68" i="34"/>
  <c r="H67" i="34" s="1"/>
  <c r="F68" i="34"/>
  <c r="D68" i="34"/>
  <c r="F67" i="34"/>
  <c r="F63" i="34" s="1"/>
  <c r="F58" i="34" s="1"/>
  <c r="D67" i="34"/>
  <c r="D66" i="34"/>
  <c r="H66" i="34" s="1"/>
  <c r="H65" i="34"/>
  <c r="H64" i="34" s="1"/>
  <c r="F64" i="34"/>
  <c r="D64" i="34"/>
  <c r="D63" i="34" s="1"/>
  <c r="D58" i="34" s="1"/>
  <c r="H59" i="34"/>
  <c r="H57" i="34"/>
  <c r="H56" i="34"/>
  <c r="F56" i="34"/>
  <c r="D56" i="34"/>
  <c r="H55" i="34"/>
  <c r="H54" i="34"/>
  <c r="H53" i="34" s="1"/>
  <c r="H52" i="34" s="1"/>
  <c r="F54" i="34"/>
  <c r="F53" i="34"/>
  <c r="F52" i="34" s="1"/>
  <c r="D53" i="34"/>
  <c r="D52" i="34" s="1"/>
  <c r="H51" i="34"/>
  <c r="F50" i="34"/>
  <c r="D50" i="34"/>
  <c r="H50" i="34" s="1"/>
  <c r="H49" i="34"/>
  <c r="F48" i="34"/>
  <c r="D48" i="34"/>
  <c r="H48" i="34" s="1"/>
  <c r="H47" i="34" s="1"/>
  <c r="F47" i="34"/>
  <c r="H46" i="34"/>
  <c r="H45" i="34"/>
  <c r="D45" i="34"/>
  <c r="F44" i="34"/>
  <c r="D44" i="34"/>
  <c r="H44" i="34" s="1"/>
  <c r="H43" i="34"/>
  <c r="H42" i="34" s="1"/>
  <c r="H41" i="34" s="1"/>
  <c r="D42" i="34"/>
  <c r="D41" i="34" s="1"/>
  <c r="F39" i="34"/>
  <c r="F38" i="34" s="1"/>
  <c r="F34" i="34" s="1"/>
  <c r="H34" i="34" s="1"/>
  <c r="D38" i="34"/>
  <c r="H36" i="34"/>
  <c r="H35" i="34"/>
  <c r="F35" i="34"/>
  <c r="D35" i="34"/>
  <c r="D34" i="34"/>
  <c r="F33" i="34"/>
  <c r="H33" i="34" s="1"/>
  <c r="H32" i="34"/>
  <c r="F32" i="34"/>
  <c r="D32" i="34"/>
  <c r="F31" i="34"/>
  <c r="D31" i="34"/>
  <c r="F30" i="34"/>
  <c r="H30" i="34" s="1"/>
  <c r="H29" i="34"/>
  <c r="H28" i="34" s="1"/>
  <c r="F29" i="34"/>
  <c r="F28" i="34"/>
  <c r="F27" i="34" s="1"/>
  <c r="F19" i="34" s="1"/>
  <c r="D28" i="34"/>
  <c r="D27" i="34" s="1"/>
  <c r="G25" i="34"/>
  <c r="G24" i="34" s="1"/>
  <c r="E24" i="34"/>
  <c r="C24" i="34"/>
  <c r="G22" i="34"/>
  <c r="G21" i="34" s="1"/>
  <c r="E21" i="34"/>
  <c r="C21" i="34"/>
  <c r="C20" i="34" s="1"/>
  <c r="E20" i="34"/>
  <c r="E19" i="34" s="1"/>
  <c r="H18" i="34"/>
  <c r="H17" i="34"/>
  <c r="H16" i="34"/>
  <c r="H15" i="34"/>
  <c r="H14" i="34" s="1"/>
  <c r="F14" i="34"/>
  <c r="D14" i="34"/>
  <c r="H12" i="34"/>
  <c r="F11" i="34"/>
  <c r="D11" i="34"/>
  <c r="H11" i="34" s="1"/>
  <c r="H9" i="34" s="1"/>
  <c r="G10" i="34"/>
  <c r="G9" i="34" s="1"/>
  <c r="F9" i="34"/>
  <c r="F8" i="34" s="1"/>
  <c r="E9" i="34"/>
  <c r="E8" i="34" s="1"/>
  <c r="C9" i="34"/>
  <c r="C19" i="34" l="1"/>
  <c r="C8" i="34"/>
  <c r="G20" i="34"/>
  <c r="G19" i="34" s="1"/>
  <c r="G8" i="34" s="1"/>
  <c r="H63" i="34"/>
  <c r="H58" i="34" s="1"/>
  <c r="H31" i="34"/>
  <c r="H27" i="34" s="1"/>
  <c r="H19" i="34" s="1"/>
  <c r="H8" i="34" s="1"/>
  <c r="H39" i="34"/>
  <c r="H38" i="34" s="1"/>
  <c r="D47" i="34"/>
  <c r="D19" i="34" s="1"/>
  <c r="D9" i="34"/>
  <c r="F32" i="31"/>
  <c r="D8" i="34" l="1"/>
  <c r="R12" i="5"/>
  <c r="S10" i="5"/>
  <c r="R11" i="5"/>
  <c r="E10" i="5"/>
  <c r="F10" i="5"/>
  <c r="L10" i="5"/>
  <c r="I10" i="5"/>
  <c r="R10" i="5"/>
  <c r="P10" i="5"/>
  <c r="O10" i="5"/>
  <c r="O9" i="5"/>
  <c r="C9" i="5"/>
  <c r="C8" i="5" s="1"/>
  <c r="S10" i="29"/>
  <c r="R10" i="29"/>
  <c r="R25" i="29"/>
  <c r="P10" i="29"/>
  <c r="O10" i="29"/>
  <c r="D8" i="29"/>
  <c r="J52" i="4" l="1"/>
  <c r="J53" i="4"/>
  <c r="J58" i="4"/>
  <c r="J49" i="4"/>
  <c r="J22" i="4" l="1"/>
  <c r="J13" i="4"/>
  <c r="J12" i="4"/>
  <c r="I13" i="4"/>
  <c r="I12" i="4"/>
  <c r="F38" i="5"/>
  <c r="F13" i="5"/>
  <c r="R24" i="29"/>
  <c r="F13" i="29"/>
  <c r="F38" i="29"/>
  <c r="V940" i="33" l="1"/>
  <c r="V926" i="33" s="1"/>
  <c r="W939" i="33"/>
  <c r="W938" i="33"/>
  <c r="W937" i="33"/>
  <c r="W936" i="33"/>
  <c r="W935" i="33"/>
  <c r="W934" i="33"/>
  <c r="W933" i="33"/>
  <c r="W932" i="33"/>
  <c r="W931" i="33"/>
  <c r="W930" i="33"/>
  <c r="W929" i="33"/>
  <c r="W928" i="33"/>
  <c r="W927" i="33"/>
  <c r="W926" i="33" s="1"/>
  <c r="X926" i="33"/>
  <c r="I926" i="33"/>
  <c r="G926" i="33"/>
  <c r="F926" i="33"/>
  <c r="X925" i="33"/>
  <c r="X924" i="33" s="1"/>
  <c r="X923" i="33" s="1"/>
  <c r="X922" i="33" s="1"/>
  <c r="W925" i="33"/>
  <c r="W924" i="33" s="1"/>
  <c r="W923" i="33" s="1"/>
  <c r="W922" i="33" s="1"/>
  <c r="V925" i="33"/>
  <c r="V924" i="33" s="1"/>
  <c r="V923" i="33" s="1"/>
  <c r="V922" i="33" s="1"/>
  <c r="U924" i="33"/>
  <c r="T924" i="33"/>
  <c r="S924" i="33"/>
  <c r="S923" i="33" s="1"/>
  <c r="S922" i="33" s="1"/>
  <c r="R924" i="33"/>
  <c r="R923" i="33" s="1"/>
  <c r="R922" i="33" s="1"/>
  <c r="Q924" i="33"/>
  <c r="Q923" i="33" s="1"/>
  <c r="Q922" i="33" s="1"/>
  <c r="P924" i="33"/>
  <c r="P923" i="33" s="1"/>
  <c r="P922" i="33" s="1"/>
  <c r="O924" i="33"/>
  <c r="O923" i="33" s="1"/>
  <c r="O922" i="33" s="1"/>
  <c r="N924" i="33"/>
  <c r="N923" i="33" s="1"/>
  <c r="N922" i="33" s="1"/>
  <c r="M924" i="33"/>
  <c r="L924" i="33"/>
  <c r="K924" i="33"/>
  <c r="K923" i="33" s="1"/>
  <c r="K922" i="33" s="1"/>
  <c r="J924" i="33"/>
  <c r="J923" i="33" s="1"/>
  <c r="J922" i="33" s="1"/>
  <c r="I924" i="33"/>
  <c r="I923" i="33" s="1"/>
  <c r="I922" i="33" s="1"/>
  <c r="H924" i="33"/>
  <c r="H923" i="33" s="1"/>
  <c r="H922" i="33" s="1"/>
  <c r="G924" i="33"/>
  <c r="G923" i="33" s="1"/>
  <c r="G922" i="33" s="1"/>
  <c r="F924" i="33"/>
  <c r="F923" i="33" s="1"/>
  <c r="F922" i="33" s="1"/>
  <c r="U923" i="33"/>
  <c r="U922" i="33" s="1"/>
  <c r="T923" i="33"/>
  <c r="T922" i="33" s="1"/>
  <c r="M923" i="33"/>
  <c r="M922" i="33" s="1"/>
  <c r="L923" i="33"/>
  <c r="L922" i="33"/>
  <c r="X921" i="33"/>
  <c r="V921" i="33"/>
  <c r="X920" i="33"/>
  <c r="W920" i="33"/>
  <c r="X919" i="33"/>
  <c r="W919" i="33"/>
  <c r="V919" i="33"/>
  <c r="X918" i="33"/>
  <c r="W918" i="33"/>
  <c r="V918" i="33"/>
  <c r="X917" i="33"/>
  <c r="W917" i="33"/>
  <c r="V917" i="33"/>
  <c r="X916" i="33"/>
  <c r="W916" i="33"/>
  <c r="X915" i="33"/>
  <c r="W915" i="33"/>
  <c r="V915" i="33"/>
  <c r="U914" i="33"/>
  <c r="T914" i="33"/>
  <c r="S914" i="33"/>
  <c r="R914" i="33"/>
  <c r="Q914" i="33"/>
  <c r="P914" i="33"/>
  <c r="O914" i="33"/>
  <c r="N914" i="33"/>
  <c r="M914" i="33"/>
  <c r="L914" i="33"/>
  <c r="K914" i="33"/>
  <c r="J914" i="33"/>
  <c r="I914" i="33"/>
  <c r="H914" i="33"/>
  <c r="G914" i="33"/>
  <c r="F914" i="33"/>
  <c r="X913" i="33"/>
  <c r="W913" i="33"/>
  <c r="V913" i="33"/>
  <c r="X912" i="33"/>
  <c r="W912" i="33"/>
  <c r="W910" i="33" s="1"/>
  <c r="X911" i="33"/>
  <c r="W911" i="33"/>
  <c r="V910" i="33"/>
  <c r="U910" i="33"/>
  <c r="T910" i="33"/>
  <c r="S910" i="33"/>
  <c r="R910" i="33"/>
  <c r="Q910" i="33"/>
  <c r="P910" i="33"/>
  <c r="O910" i="33"/>
  <c r="N910" i="33"/>
  <c r="M910" i="33"/>
  <c r="L910" i="33"/>
  <c r="K910" i="33"/>
  <c r="J910" i="33"/>
  <c r="I910" i="33"/>
  <c r="H910" i="33"/>
  <c r="G910" i="33"/>
  <c r="F910" i="33"/>
  <c r="X909" i="33"/>
  <c r="X908" i="33"/>
  <c r="W908" i="33"/>
  <c r="X907" i="33"/>
  <c r="W907" i="33"/>
  <c r="X906" i="33"/>
  <c r="V906" i="33"/>
  <c r="X905" i="33"/>
  <c r="X904" i="33"/>
  <c r="W904" i="33"/>
  <c r="X903" i="33"/>
  <c r="W903" i="33"/>
  <c r="V903" i="33"/>
  <c r="X902" i="33"/>
  <c r="W902" i="33"/>
  <c r="X901" i="33"/>
  <c r="X900" i="33"/>
  <c r="W900" i="33"/>
  <c r="X899" i="33"/>
  <c r="W899" i="33"/>
  <c r="X898" i="33"/>
  <c r="W898" i="33"/>
  <c r="X897" i="33"/>
  <c r="W897" i="33"/>
  <c r="V897" i="33"/>
  <c r="X896" i="33"/>
  <c r="W896" i="33"/>
  <c r="V896" i="33"/>
  <c r="X895" i="33"/>
  <c r="W895" i="33"/>
  <c r="U894" i="33"/>
  <c r="T894" i="33"/>
  <c r="S894" i="33"/>
  <c r="S893" i="33" s="1"/>
  <c r="R894" i="33"/>
  <c r="R893" i="33" s="1"/>
  <c r="Q894" i="33"/>
  <c r="P894" i="33"/>
  <c r="O894" i="33"/>
  <c r="N894" i="33"/>
  <c r="M894" i="33"/>
  <c r="L894" i="33"/>
  <c r="K894" i="33"/>
  <c r="J894" i="33"/>
  <c r="I894" i="33"/>
  <c r="H894" i="33"/>
  <c r="G894" i="33"/>
  <c r="F894" i="33"/>
  <c r="K893" i="33"/>
  <c r="J893" i="33"/>
  <c r="X892" i="33"/>
  <c r="W892" i="33"/>
  <c r="V892" i="33"/>
  <c r="X891" i="33"/>
  <c r="V891" i="33"/>
  <c r="X890" i="33"/>
  <c r="W890" i="33"/>
  <c r="V890" i="33"/>
  <c r="X889" i="33"/>
  <c r="X888" i="33"/>
  <c r="W888" i="33"/>
  <c r="X887" i="33"/>
  <c r="W887" i="33"/>
  <c r="X886" i="33"/>
  <c r="W886" i="33"/>
  <c r="X885" i="33"/>
  <c r="W885" i="33"/>
  <c r="X884" i="33"/>
  <c r="W884" i="33"/>
  <c r="X883" i="33"/>
  <c r="W883" i="33"/>
  <c r="V883" i="33"/>
  <c r="X882" i="33"/>
  <c r="W882" i="33"/>
  <c r="X881" i="33"/>
  <c r="W881" i="33"/>
  <c r="X880" i="33"/>
  <c r="X879" i="33"/>
  <c r="W879" i="33"/>
  <c r="X878" i="33"/>
  <c r="W878" i="33"/>
  <c r="X877" i="33"/>
  <c r="W877" i="33"/>
  <c r="X876" i="33"/>
  <c r="W876" i="33"/>
  <c r="X875" i="33"/>
  <c r="W875" i="33"/>
  <c r="X874" i="33"/>
  <c r="W874" i="33"/>
  <c r="X873" i="33"/>
  <c r="W873" i="33"/>
  <c r="X872" i="33"/>
  <c r="W872" i="33"/>
  <c r="X871" i="33"/>
  <c r="W871" i="33"/>
  <c r="X870" i="33"/>
  <c r="W870" i="33"/>
  <c r="X869" i="33"/>
  <c r="W869" i="33"/>
  <c r="X868" i="33"/>
  <c r="W868" i="33"/>
  <c r="X867" i="33"/>
  <c r="W867" i="33"/>
  <c r="X866" i="33"/>
  <c r="W866" i="33"/>
  <c r="X865" i="33"/>
  <c r="W865" i="33"/>
  <c r="X864" i="33"/>
  <c r="W864" i="33"/>
  <c r="X863" i="33"/>
  <c r="W863" i="33"/>
  <c r="X862" i="33"/>
  <c r="W862" i="33"/>
  <c r="U861" i="33"/>
  <c r="T861" i="33"/>
  <c r="S861" i="33"/>
  <c r="R861" i="33"/>
  <c r="Q861" i="33"/>
  <c r="P861" i="33"/>
  <c r="O861" i="33"/>
  <c r="N861" i="33"/>
  <c r="M861" i="33"/>
  <c r="L861" i="33"/>
  <c r="K861" i="33"/>
  <c r="J861" i="33"/>
  <c r="I861" i="33"/>
  <c r="H861" i="33"/>
  <c r="G861" i="33"/>
  <c r="F861" i="33"/>
  <c r="X859" i="33"/>
  <c r="W859" i="33"/>
  <c r="V859" i="33"/>
  <c r="X858" i="33"/>
  <c r="V858" i="33"/>
  <c r="X857" i="33"/>
  <c r="W857" i="33"/>
  <c r="X856" i="33"/>
  <c r="V856" i="33"/>
  <c r="X855" i="33"/>
  <c r="W855" i="33"/>
  <c r="X854" i="33"/>
  <c r="V854" i="33"/>
  <c r="X853" i="33"/>
  <c r="V853" i="33"/>
  <c r="X852" i="33"/>
  <c r="W852" i="33"/>
  <c r="X851" i="33"/>
  <c r="V851" i="33"/>
  <c r="X850" i="33"/>
  <c r="V850" i="33"/>
  <c r="X849" i="33"/>
  <c r="V849" i="33"/>
  <c r="X848" i="33"/>
  <c r="V848" i="33"/>
  <c r="X847" i="33"/>
  <c r="W847" i="33"/>
  <c r="X846" i="33"/>
  <c r="W846" i="33"/>
  <c r="V846" i="33"/>
  <c r="X845" i="33"/>
  <c r="V845" i="33"/>
  <c r="X844" i="33"/>
  <c r="V844" i="33"/>
  <c r="X843" i="33"/>
  <c r="V843" i="33"/>
  <c r="X842" i="33"/>
  <c r="V842" i="33"/>
  <c r="X841" i="33"/>
  <c r="V841" i="33"/>
  <c r="X840" i="33"/>
  <c r="V840" i="33"/>
  <c r="X839" i="33"/>
  <c r="V839" i="33"/>
  <c r="X838" i="33"/>
  <c r="W838" i="33"/>
  <c r="X837" i="33"/>
  <c r="W837" i="33"/>
  <c r="X836" i="33"/>
  <c r="W836" i="33"/>
  <c r="X835" i="33"/>
  <c r="X834" i="33"/>
  <c r="W834" i="33"/>
  <c r="X833" i="33"/>
  <c r="W833" i="33"/>
  <c r="X832" i="33"/>
  <c r="W832" i="33"/>
  <c r="X831" i="33"/>
  <c r="W831" i="33"/>
  <c r="X830" i="33"/>
  <c r="W830" i="33"/>
  <c r="X829" i="33"/>
  <c r="W829" i="33"/>
  <c r="X828" i="33"/>
  <c r="W828" i="33"/>
  <c r="X827" i="33"/>
  <c r="W827" i="33"/>
  <c r="X826" i="33"/>
  <c r="W826" i="33"/>
  <c r="X825" i="33"/>
  <c r="W825" i="33"/>
  <c r="X824" i="33"/>
  <c r="W824" i="33"/>
  <c r="X823" i="33"/>
  <c r="V823" i="33"/>
  <c r="X822" i="33"/>
  <c r="W822" i="33"/>
  <c r="X821" i="33"/>
  <c r="W821" i="33"/>
  <c r="X820" i="33"/>
  <c r="W820" i="33"/>
  <c r="X819" i="33"/>
  <c r="W819" i="33"/>
  <c r="X818" i="33"/>
  <c r="W818" i="33"/>
  <c r="X817" i="33"/>
  <c r="V817" i="33"/>
  <c r="X816" i="33"/>
  <c r="V816" i="33"/>
  <c r="X815" i="33"/>
  <c r="V815" i="33"/>
  <c r="X814" i="33"/>
  <c r="W814" i="33"/>
  <c r="X813" i="33"/>
  <c r="W813" i="33"/>
  <c r="X812" i="33"/>
  <c r="W812" i="33"/>
  <c r="X811" i="33"/>
  <c r="W811" i="33"/>
  <c r="X810" i="33"/>
  <c r="W810" i="33"/>
  <c r="X809" i="33"/>
  <c r="W809" i="33"/>
  <c r="X808" i="33"/>
  <c r="W808" i="33"/>
  <c r="X807" i="33"/>
  <c r="W807" i="33"/>
  <c r="X806" i="33"/>
  <c r="W806" i="33"/>
  <c r="X805" i="33"/>
  <c r="W805" i="33"/>
  <c r="X804" i="33"/>
  <c r="W804" i="33"/>
  <c r="X803" i="33"/>
  <c r="W803" i="33"/>
  <c r="X802" i="33"/>
  <c r="W802" i="33"/>
  <c r="X801" i="33"/>
  <c r="W801" i="33"/>
  <c r="X800" i="33"/>
  <c r="W800" i="33"/>
  <c r="X799" i="33"/>
  <c r="W799" i="33"/>
  <c r="X798" i="33"/>
  <c r="W798" i="33"/>
  <c r="X797" i="33"/>
  <c r="W797" i="33"/>
  <c r="X796" i="33"/>
  <c r="W796" i="33"/>
  <c r="X795" i="33"/>
  <c r="W795" i="33"/>
  <c r="X794" i="33"/>
  <c r="W794" i="33"/>
  <c r="X793" i="33"/>
  <c r="W793" i="33"/>
  <c r="X792" i="33"/>
  <c r="V792" i="33"/>
  <c r="X791" i="33"/>
  <c r="W791" i="33"/>
  <c r="X790" i="33"/>
  <c r="W790" i="33"/>
  <c r="X789" i="33"/>
  <c r="W789" i="33"/>
  <c r="X788" i="33"/>
  <c r="W788" i="33"/>
  <c r="X787" i="33"/>
  <c r="W787" i="33"/>
  <c r="X786" i="33"/>
  <c r="V786" i="33"/>
  <c r="X785" i="33"/>
  <c r="W785" i="33"/>
  <c r="X784" i="33"/>
  <c r="W784" i="33"/>
  <c r="X783" i="33"/>
  <c r="X782" i="33"/>
  <c r="W782" i="33"/>
  <c r="X781" i="33"/>
  <c r="W781" i="33"/>
  <c r="X780" i="33"/>
  <c r="W780" i="33"/>
  <c r="X779" i="33"/>
  <c r="W779" i="33"/>
  <c r="X778" i="33"/>
  <c r="W778" i="33"/>
  <c r="X777" i="33"/>
  <c r="W777" i="33"/>
  <c r="X776" i="33"/>
  <c r="V776" i="33"/>
  <c r="X775" i="33"/>
  <c r="W775" i="33"/>
  <c r="X774" i="33"/>
  <c r="V774" i="33"/>
  <c r="X773" i="33"/>
  <c r="W773" i="33"/>
  <c r="X772" i="33"/>
  <c r="W772" i="33"/>
  <c r="V772" i="33"/>
  <c r="V771" i="33" s="1"/>
  <c r="V770" i="33" s="1"/>
  <c r="U771" i="33"/>
  <c r="T771" i="33"/>
  <c r="T770" i="33" s="1"/>
  <c r="S771" i="33"/>
  <c r="R771" i="33"/>
  <c r="Q771" i="33"/>
  <c r="Q770" i="33" s="1"/>
  <c r="P771" i="33"/>
  <c r="P770" i="33" s="1"/>
  <c r="O771" i="33"/>
  <c r="O770" i="33" s="1"/>
  <c r="N771" i="33"/>
  <c r="N770" i="33" s="1"/>
  <c r="M771" i="33"/>
  <c r="L771" i="33"/>
  <c r="L770" i="33" s="1"/>
  <c r="K771" i="33"/>
  <c r="K770" i="33" s="1"/>
  <c r="J771" i="33"/>
  <c r="J770" i="33" s="1"/>
  <c r="I771" i="33"/>
  <c r="H771" i="33"/>
  <c r="H770" i="33" s="1"/>
  <c r="G771" i="33"/>
  <c r="F771" i="33"/>
  <c r="F770" i="33" s="1"/>
  <c r="U770" i="33"/>
  <c r="S770" i="33"/>
  <c r="R770" i="33"/>
  <c r="M770" i="33"/>
  <c r="I770" i="33"/>
  <c r="G770" i="33"/>
  <c r="W768" i="33"/>
  <c r="V768" i="33"/>
  <c r="Q768" i="33"/>
  <c r="W765" i="33"/>
  <c r="V765" i="33"/>
  <c r="Q765" i="33"/>
  <c r="K765" i="33"/>
  <c r="K760" i="33" s="1"/>
  <c r="W764" i="33"/>
  <c r="V764" i="33"/>
  <c r="Q764" i="33"/>
  <c r="X764" i="33" s="1"/>
  <c r="U760" i="33"/>
  <c r="T760" i="33"/>
  <c r="S760" i="33"/>
  <c r="R760" i="33"/>
  <c r="P760" i="33"/>
  <c r="N760" i="33"/>
  <c r="M760" i="33"/>
  <c r="L760" i="33"/>
  <c r="J760" i="33"/>
  <c r="I760" i="33"/>
  <c r="H760" i="33"/>
  <c r="G760" i="33"/>
  <c r="F760" i="33"/>
  <c r="E760" i="33"/>
  <c r="X759" i="33"/>
  <c r="X756" i="33" s="1"/>
  <c r="W756" i="33"/>
  <c r="V756" i="33"/>
  <c r="U756" i="33"/>
  <c r="T756" i="33"/>
  <c r="S756" i="33"/>
  <c r="R756" i="33"/>
  <c r="Q756" i="33"/>
  <c r="P756" i="33"/>
  <c r="O756" i="33"/>
  <c r="N756" i="33"/>
  <c r="M756" i="33"/>
  <c r="M747" i="33" s="1"/>
  <c r="M746" i="33" s="1"/>
  <c r="L756" i="33"/>
  <c r="K756" i="33"/>
  <c r="J756" i="33"/>
  <c r="I756" i="33"/>
  <c r="H756" i="33"/>
  <c r="G756" i="33"/>
  <c r="F756" i="33"/>
  <c r="E756" i="33"/>
  <c r="X755" i="33"/>
  <c r="X752" i="33"/>
  <c r="W752" i="33"/>
  <c r="V752" i="33"/>
  <c r="U752" i="33"/>
  <c r="T752" i="33"/>
  <c r="S752" i="33"/>
  <c r="R752" i="33"/>
  <c r="Q752" i="33"/>
  <c r="P752" i="33"/>
  <c r="O752" i="33"/>
  <c r="O747" i="33" s="1"/>
  <c r="N752" i="33"/>
  <c r="M752" i="33"/>
  <c r="L752" i="33"/>
  <c r="K752" i="33"/>
  <c r="K747" i="33" s="1"/>
  <c r="J752" i="33"/>
  <c r="J747" i="33" s="1"/>
  <c r="J746" i="33" s="1"/>
  <c r="I752" i="33"/>
  <c r="H752" i="33"/>
  <c r="H747" i="33" s="1"/>
  <c r="H746" i="33" s="1"/>
  <c r="G752" i="33"/>
  <c r="G747" i="33" s="1"/>
  <c r="G746" i="33" s="1"/>
  <c r="F752" i="33"/>
  <c r="E752" i="33"/>
  <c r="U751" i="33"/>
  <c r="P751" i="33"/>
  <c r="W748" i="33"/>
  <c r="V748" i="33"/>
  <c r="U748" i="33"/>
  <c r="T748" i="33"/>
  <c r="T747" i="33" s="1"/>
  <c r="T746" i="33" s="1"/>
  <c r="S748" i="33"/>
  <c r="Q748" i="33" s="1"/>
  <c r="Q747" i="33" s="1"/>
  <c r="R748" i="33"/>
  <c r="P748" i="33"/>
  <c r="P747" i="33"/>
  <c r="P746" i="33" s="1"/>
  <c r="L747" i="33"/>
  <c r="E747" i="33"/>
  <c r="E746" i="33" s="1"/>
  <c r="L746" i="33"/>
  <c r="W745" i="33"/>
  <c r="V745" i="33"/>
  <c r="Q745" i="33"/>
  <c r="X745" i="33" s="1"/>
  <c r="W744" i="33"/>
  <c r="V744" i="33"/>
  <c r="V743" i="33" s="1"/>
  <c r="Q744" i="33"/>
  <c r="X744" i="33" s="1"/>
  <c r="W743" i="33"/>
  <c r="U743" i="33"/>
  <c r="T743" i="33"/>
  <c r="S743" i="33"/>
  <c r="R743" i="33"/>
  <c r="P743" i="33"/>
  <c r="O743" i="33"/>
  <c r="N743" i="33"/>
  <c r="M743" i="33"/>
  <c r="L743" i="33"/>
  <c r="K743" i="33"/>
  <c r="J743" i="33"/>
  <c r="I743" i="33"/>
  <c r="H743" i="33"/>
  <c r="G743" i="33"/>
  <c r="F743" i="33"/>
  <c r="E743" i="33"/>
  <c r="V742" i="33"/>
  <c r="Q742" i="33"/>
  <c r="Q740" i="33" s="1"/>
  <c r="V741" i="33"/>
  <c r="Q741" i="33"/>
  <c r="X741" i="33" s="1"/>
  <c r="W740" i="33"/>
  <c r="U740" i="33"/>
  <c r="T740" i="33"/>
  <c r="S740" i="33"/>
  <c r="R740" i="33"/>
  <c r="P740" i="33"/>
  <c r="V739" i="33"/>
  <c r="V738" i="33" s="1"/>
  <c r="Q739" i="33"/>
  <c r="X739" i="33" s="1"/>
  <c r="X738" i="33" s="1"/>
  <c r="W738" i="33"/>
  <c r="U738" i="33"/>
  <c r="T738" i="33"/>
  <c r="S738" i="33"/>
  <c r="R738" i="33"/>
  <c r="P738" i="33"/>
  <c r="W737" i="33"/>
  <c r="V737" i="33"/>
  <c r="Q737" i="33"/>
  <c r="X737" i="33" s="1"/>
  <c r="W736" i="33"/>
  <c r="V736" i="33"/>
  <c r="V735" i="33" s="1"/>
  <c r="Q736" i="33"/>
  <c r="X736" i="33" s="1"/>
  <c r="U735" i="33"/>
  <c r="T735" i="33"/>
  <c r="S735" i="33"/>
  <c r="R735" i="33"/>
  <c r="P735" i="33"/>
  <c r="X734" i="33"/>
  <c r="V734" i="33"/>
  <c r="Q734" i="33"/>
  <c r="W733" i="33"/>
  <c r="W732" i="33" s="1"/>
  <c r="V733" i="33"/>
  <c r="V732" i="33" s="1"/>
  <c r="Q733" i="33"/>
  <c r="X733" i="33" s="1"/>
  <c r="O733" i="33"/>
  <c r="O732" i="33" s="1"/>
  <c r="U732" i="33"/>
  <c r="T732" i="33"/>
  <c r="S732" i="33"/>
  <c r="R732" i="33"/>
  <c r="P732" i="33"/>
  <c r="N732" i="33"/>
  <c r="M732" i="33"/>
  <c r="L732" i="33"/>
  <c r="K732" i="33"/>
  <c r="J732" i="33"/>
  <c r="I732" i="33"/>
  <c r="H732" i="33"/>
  <c r="G732" i="33"/>
  <c r="F732" i="33"/>
  <c r="E732" i="33"/>
  <c r="X731" i="33"/>
  <c r="W731" i="33"/>
  <c r="W728" i="33" s="1"/>
  <c r="V731" i="33"/>
  <c r="Q731" i="33"/>
  <c r="V730" i="33"/>
  <c r="Q730" i="33"/>
  <c r="Q728" i="33" s="1"/>
  <c r="V729" i="33"/>
  <c r="V728" i="33" s="1"/>
  <c r="Q729" i="33"/>
  <c r="X729" i="33" s="1"/>
  <c r="U728" i="33"/>
  <c r="T728" i="33"/>
  <c r="T723" i="33" s="1"/>
  <c r="S728" i="33"/>
  <c r="R728" i="33"/>
  <c r="P728" i="33"/>
  <c r="O728" i="33"/>
  <c r="N728" i="33"/>
  <c r="M728" i="33"/>
  <c r="L728" i="33"/>
  <c r="K728" i="33"/>
  <c r="J728" i="33"/>
  <c r="I728" i="33"/>
  <c r="H728" i="33"/>
  <c r="G728" i="33"/>
  <c r="F728" i="33"/>
  <c r="E728" i="33"/>
  <c r="V727" i="33"/>
  <c r="Q727" i="33"/>
  <c r="X727" i="33" s="1"/>
  <c r="V726" i="33"/>
  <c r="Q726" i="33"/>
  <c r="X726" i="33" s="1"/>
  <c r="W725" i="33"/>
  <c r="U725" i="33"/>
  <c r="T725" i="33"/>
  <c r="S725" i="33"/>
  <c r="R725" i="33"/>
  <c r="R723" i="33" s="1"/>
  <c r="V723" i="33" s="1"/>
  <c r="P725" i="33"/>
  <c r="P723" i="33" s="1"/>
  <c r="P718" i="33" s="1"/>
  <c r="O725" i="33"/>
  <c r="N725" i="33"/>
  <c r="M725" i="33"/>
  <c r="L725" i="33"/>
  <c r="K725" i="33"/>
  <c r="J725" i="33"/>
  <c r="I725" i="33"/>
  <c r="H725" i="33"/>
  <c r="G725" i="33"/>
  <c r="F725" i="33"/>
  <c r="E725" i="33"/>
  <c r="Q724" i="33"/>
  <c r="W722" i="33"/>
  <c r="W719" i="33" s="1"/>
  <c r="V722" i="33"/>
  <c r="V719" i="33" s="1"/>
  <c r="Q722" i="33"/>
  <c r="Q719" i="33" s="1"/>
  <c r="K722" i="33"/>
  <c r="X722" i="33" s="1"/>
  <c r="X719" i="33" s="1"/>
  <c r="Q721" i="33"/>
  <c r="K721" i="33"/>
  <c r="Q720" i="33"/>
  <c r="K720" i="33"/>
  <c r="U719" i="33"/>
  <c r="U718" i="33" s="1"/>
  <c r="T719" i="33"/>
  <c r="S719" i="33"/>
  <c r="R719" i="33"/>
  <c r="P719" i="33"/>
  <c r="O719" i="33"/>
  <c r="O718" i="33" s="1"/>
  <c r="N719" i="33"/>
  <c r="N718" i="33" s="1"/>
  <c r="M719" i="33"/>
  <c r="M718" i="33" s="1"/>
  <c r="L719" i="33"/>
  <c r="J719" i="33"/>
  <c r="J718" i="33" s="1"/>
  <c r="I719" i="33"/>
  <c r="I718" i="33" s="1"/>
  <c r="H719" i="33"/>
  <c r="G719" i="33"/>
  <c r="G718" i="33" s="1"/>
  <c r="F719" i="33"/>
  <c r="F718" i="33" s="1"/>
  <c r="E719" i="33"/>
  <c r="E718" i="33" s="1"/>
  <c r="L718" i="33"/>
  <c r="H718" i="33"/>
  <c r="W717" i="33"/>
  <c r="V717" i="33"/>
  <c r="Q717" i="33"/>
  <c r="K717" i="33"/>
  <c r="K711" i="33" s="1"/>
  <c r="K716" i="33"/>
  <c r="K715" i="33"/>
  <c r="W714" i="33"/>
  <c r="V714" i="33"/>
  <c r="Q714" i="33"/>
  <c r="Q711" i="33" s="1"/>
  <c r="K714" i="33"/>
  <c r="K713" i="33"/>
  <c r="K712" i="33"/>
  <c r="V711" i="33"/>
  <c r="U711" i="33"/>
  <c r="T711" i="33"/>
  <c r="S711" i="33"/>
  <c r="R711" i="33"/>
  <c r="P711" i="33"/>
  <c r="O711" i="33"/>
  <c r="N711" i="33"/>
  <c r="M711" i="33"/>
  <c r="L711" i="33"/>
  <c r="J711" i="33"/>
  <c r="I711" i="33"/>
  <c r="H711" i="33"/>
  <c r="G711" i="33"/>
  <c r="F711" i="33"/>
  <c r="E711" i="33"/>
  <c r="X710" i="33"/>
  <c r="V710" i="33"/>
  <c r="Q710" i="33"/>
  <c r="X709" i="33"/>
  <c r="V709" i="33"/>
  <c r="Q709" i="33"/>
  <c r="X707" i="33"/>
  <c r="W707" i="33"/>
  <c r="V707" i="33"/>
  <c r="Q707" i="33"/>
  <c r="W706" i="33"/>
  <c r="V706" i="33"/>
  <c r="Q706" i="33"/>
  <c r="U706" i="33" s="1"/>
  <c r="U702" i="33" s="1"/>
  <c r="W705" i="33"/>
  <c r="V705" i="33"/>
  <c r="Q705" i="33"/>
  <c r="X705" i="33" s="1"/>
  <c r="W702" i="33"/>
  <c r="T702" i="33"/>
  <c r="S702" i="33"/>
  <c r="R702" i="33"/>
  <c r="Q702" i="33"/>
  <c r="P702" i="33"/>
  <c r="O702" i="33"/>
  <c r="N702" i="33"/>
  <c r="M702" i="33"/>
  <c r="L702" i="33"/>
  <c r="K702" i="33"/>
  <c r="J702" i="33"/>
  <c r="I702" i="33"/>
  <c r="H702" i="33"/>
  <c r="G702" i="33"/>
  <c r="F702" i="33"/>
  <c r="E702" i="33"/>
  <c r="X698" i="33"/>
  <c r="W698" i="33"/>
  <c r="V698" i="33"/>
  <c r="U698" i="33"/>
  <c r="T698" i="33"/>
  <c r="S698" i="33"/>
  <c r="R698" i="33"/>
  <c r="Q698" i="33"/>
  <c r="P698" i="33"/>
  <c r="O698" i="33"/>
  <c r="N698" i="33"/>
  <c r="M698" i="33"/>
  <c r="L698" i="33"/>
  <c r="K698" i="33"/>
  <c r="J698" i="33"/>
  <c r="I698" i="33"/>
  <c r="H698" i="33"/>
  <c r="G698" i="33"/>
  <c r="F698" i="33"/>
  <c r="E698" i="33"/>
  <c r="W697" i="33"/>
  <c r="W694" i="33" s="1"/>
  <c r="V697" i="33"/>
  <c r="V694" i="33" s="1"/>
  <c r="Q697" i="33"/>
  <c r="X697" i="33" s="1"/>
  <c r="X694" i="33" s="1"/>
  <c r="T694" i="33"/>
  <c r="S694" i="33"/>
  <c r="R694" i="33"/>
  <c r="P694" i="33"/>
  <c r="O694" i="33"/>
  <c r="N694" i="33"/>
  <c r="M694" i="33"/>
  <c r="L694" i="33"/>
  <c r="K694" i="33"/>
  <c r="J694" i="33"/>
  <c r="I694" i="33"/>
  <c r="H694" i="33"/>
  <c r="G694" i="33"/>
  <c r="F694" i="33"/>
  <c r="E694" i="33"/>
  <c r="X693" i="33"/>
  <c r="X691" i="33" s="1"/>
  <c r="W693" i="33"/>
  <c r="V693" i="33"/>
  <c r="V691" i="33" s="1"/>
  <c r="Q693" i="33"/>
  <c r="Q691" i="33" s="1"/>
  <c r="Q692" i="33"/>
  <c r="W691" i="33"/>
  <c r="U691" i="33"/>
  <c r="T691" i="33"/>
  <c r="S691" i="33"/>
  <c r="R691" i="33"/>
  <c r="P691" i="33"/>
  <c r="O691" i="33"/>
  <c r="N691" i="33"/>
  <c r="M691" i="33"/>
  <c r="L691" i="33"/>
  <c r="K691" i="33"/>
  <c r="J691" i="33"/>
  <c r="I691" i="33"/>
  <c r="H691" i="33"/>
  <c r="G691" i="33"/>
  <c r="F691" i="33"/>
  <c r="E691" i="33"/>
  <c r="W690" i="33"/>
  <c r="V690" i="33"/>
  <c r="Q690" i="33"/>
  <c r="X690" i="33" s="1"/>
  <c r="W689" i="33"/>
  <c r="V689" i="33"/>
  <c r="Q689" i="33"/>
  <c r="X689" i="33" s="1"/>
  <c r="Q688" i="33"/>
  <c r="Q687" i="33"/>
  <c r="W686" i="33"/>
  <c r="V686" i="33"/>
  <c r="Q686" i="33"/>
  <c r="X686" i="33" s="1"/>
  <c r="X683" i="33" s="1"/>
  <c r="Q685" i="33"/>
  <c r="Q684" i="33"/>
  <c r="V683" i="33"/>
  <c r="U683" i="33"/>
  <c r="T683" i="33"/>
  <c r="S683" i="33"/>
  <c r="R683" i="33"/>
  <c r="P683" i="33"/>
  <c r="O683" i="33"/>
  <c r="N683" i="33"/>
  <c r="M683" i="33"/>
  <c r="L683" i="33"/>
  <c r="K683" i="33"/>
  <c r="J683" i="33"/>
  <c r="I683" i="33"/>
  <c r="H683" i="33"/>
  <c r="G683" i="33"/>
  <c r="F683" i="33"/>
  <c r="E683" i="33"/>
  <c r="Q682" i="33"/>
  <c r="V681" i="33"/>
  <c r="Q681" i="33"/>
  <c r="X681" i="33" s="1"/>
  <c r="W680" i="33"/>
  <c r="V680" i="33"/>
  <c r="Q680" i="33"/>
  <c r="X680" i="33" s="1"/>
  <c r="W679" i="33"/>
  <c r="V679" i="33"/>
  <c r="Q679" i="33"/>
  <c r="W676" i="33"/>
  <c r="V676" i="33"/>
  <c r="Q676" i="33"/>
  <c r="X676" i="33" s="1"/>
  <c r="V675" i="33"/>
  <c r="Q675" i="33"/>
  <c r="U675" i="33" s="1"/>
  <c r="V674" i="33"/>
  <c r="Q674" i="33"/>
  <c r="X674" i="33" s="1"/>
  <c r="W672" i="33"/>
  <c r="V672" i="33"/>
  <c r="Q672" i="33"/>
  <c r="U672" i="33" s="1"/>
  <c r="W671" i="33"/>
  <c r="V671" i="33"/>
  <c r="Q671" i="33"/>
  <c r="X671" i="33" s="1"/>
  <c r="T668" i="33"/>
  <c r="S668" i="33"/>
  <c r="R668" i="33"/>
  <c r="P668" i="33"/>
  <c r="O668" i="33"/>
  <c r="N668" i="33"/>
  <c r="M668" i="33"/>
  <c r="L668" i="33"/>
  <c r="K668" i="33"/>
  <c r="J668" i="33"/>
  <c r="I668" i="33"/>
  <c r="H668" i="33"/>
  <c r="G668" i="33"/>
  <c r="F668" i="33"/>
  <c r="E668" i="33"/>
  <c r="W667" i="33"/>
  <c r="V667" i="33"/>
  <c r="Q667" i="33"/>
  <c r="X667" i="33" s="1"/>
  <c r="W666" i="33"/>
  <c r="W663" i="33" s="1"/>
  <c r="V666" i="33"/>
  <c r="V663" i="33" s="1"/>
  <c r="Q666" i="33"/>
  <c r="X666" i="33" s="1"/>
  <c r="U663" i="33"/>
  <c r="T663" i="33"/>
  <c r="S663" i="33"/>
  <c r="R663" i="33"/>
  <c r="R637" i="33" s="1"/>
  <c r="R635" i="33" s="1"/>
  <c r="Q663" i="33"/>
  <c r="P663" i="33"/>
  <c r="O663" i="33"/>
  <c r="N663" i="33"/>
  <c r="N637" i="33" s="1"/>
  <c r="N635" i="33" s="1"/>
  <c r="M663" i="33"/>
  <c r="L663" i="33"/>
  <c r="K663" i="33"/>
  <c r="J663" i="33"/>
  <c r="J637" i="33" s="1"/>
  <c r="J635" i="33" s="1"/>
  <c r="I663" i="33"/>
  <c r="H663" i="33"/>
  <c r="G663" i="33"/>
  <c r="F663" i="33"/>
  <c r="F637" i="33" s="1"/>
  <c r="F635" i="33" s="1"/>
  <c r="E663" i="33"/>
  <c r="W662" i="33"/>
  <c r="V662" i="33"/>
  <c r="Q662" i="33"/>
  <c r="X662" i="33" s="1"/>
  <c r="W661" i="33"/>
  <c r="V661" i="33"/>
  <c r="Q661" i="33"/>
  <c r="X661" i="33" s="1"/>
  <c r="W660" i="33"/>
  <c r="V660" i="33"/>
  <c r="Q660" i="33"/>
  <c r="X660" i="33" s="1"/>
  <c r="Q659" i="33"/>
  <c r="X658" i="33"/>
  <c r="W658" i="33"/>
  <c r="V658" i="33"/>
  <c r="Q658" i="33"/>
  <c r="U658" i="33" s="1"/>
  <c r="U638" i="33" s="1"/>
  <c r="Q657" i="33"/>
  <c r="Q656" i="33"/>
  <c r="V655" i="33"/>
  <c r="Q655" i="33"/>
  <c r="X655" i="33" s="1"/>
  <c r="V654" i="33"/>
  <c r="Q654" i="33"/>
  <c r="X654" i="33" s="1"/>
  <c r="V653" i="33"/>
  <c r="Q653" i="33"/>
  <c r="X653" i="33" s="1"/>
  <c r="W652" i="33"/>
  <c r="V652" i="33"/>
  <c r="Q652" i="33"/>
  <c r="X652" i="33" s="1"/>
  <c r="V651" i="33"/>
  <c r="Q651" i="33"/>
  <c r="X651" i="33" s="1"/>
  <c r="V650" i="33"/>
  <c r="Q650" i="33"/>
  <c r="X650" i="33" s="1"/>
  <c r="V649" i="33"/>
  <c r="Q649" i="33"/>
  <c r="X649" i="33" s="1"/>
  <c r="X648" i="33"/>
  <c r="V648" i="33"/>
  <c r="Q648" i="33"/>
  <c r="W647" i="33"/>
  <c r="V647" i="33"/>
  <c r="Q647" i="33"/>
  <c r="X647" i="33" s="1"/>
  <c r="V646" i="33"/>
  <c r="Q646" i="33"/>
  <c r="X646" i="33" s="1"/>
  <c r="V645" i="33"/>
  <c r="Q645" i="33"/>
  <c r="X645" i="33" s="1"/>
  <c r="Q644" i="33"/>
  <c r="Q643" i="33"/>
  <c r="Q642" i="33"/>
  <c r="Q641" i="33"/>
  <c r="Q640" i="33"/>
  <c r="Q639" i="33"/>
  <c r="T638" i="33"/>
  <c r="S638" i="33"/>
  <c r="R638" i="33"/>
  <c r="P638" i="33"/>
  <c r="P637" i="33" s="1"/>
  <c r="P635" i="33" s="1"/>
  <c r="O638" i="33"/>
  <c r="N638" i="33"/>
  <c r="M638" i="33"/>
  <c r="L638" i="33"/>
  <c r="L637" i="33" s="1"/>
  <c r="L635" i="33" s="1"/>
  <c r="K638" i="33"/>
  <c r="J638" i="33"/>
  <c r="I638" i="33"/>
  <c r="I637" i="33" s="1"/>
  <c r="I635" i="33" s="1"/>
  <c r="H638" i="33"/>
  <c r="G638" i="33"/>
  <c r="F638" i="33"/>
  <c r="E638" i="33"/>
  <c r="T637" i="33"/>
  <c r="T635" i="33" s="1"/>
  <c r="O637" i="33"/>
  <c r="O635" i="33" s="1"/>
  <c r="V634" i="33"/>
  <c r="Q634" i="33"/>
  <c r="K634" i="33"/>
  <c r="W633" i="33"/>
  <c r="W632" i="33" s="1"/>
  <c r="V633" i="33"/>
  <c r="Q633" i="33"/>
  <c r="Q632" i="33" s="1"/>
  <c r="K633" i="33"/>
  <c r="K632" i="33" s="1"/>
  <c r="U632" i="33"/>
  <c r="T632" i="33"/>
  <c r="S632" i="33"/>
  <c r="R632" i="33"/>
  <c r="P632" i="33"/>
  <c r="O632" i="33"/>
  <c r="N632" i="33"/>
  <c r="M632" i="33"/>
  <c r="M622" i="33" s="1"/>
  <c r="L632" i="33"/>
  <c r="J632" i="33"/>
  <c r="I632" i="33"/>
  <c r="H632" i="33"/>
  <c r="G632" i="33"/>
  <c r="F632" i="33"/>
  <c r="E632" i="33"/>
  <c r="V631" i="33"/>
  <c r="Q631" i="33"/>
  <c r="K631" i="33"/>
  <c r="V630" i="33"/>
  <c r="Q630" i="33"/>
  <c r="K630" i="33"/>
  <c r="V629" i="33"/>
  <c r="Q629" i="33"/>
  <c r="K629" i="33"/>
  <c r="V628" i="33"/>
  <c r="Q628" i="33"/>
  <c r="K628" i="33"/>
  <c r="V627" i="33"/>
  <c r="Q627" i="33"/>
  <c r="K627" i="33"/>
  <c r="V626" i="33"/>
  <c r="Q626" i="33"/>
  <c r="K626" i="33"/>
  <c r="Q625" i="33"/>
  <c r="K625" i="33"/>
  <c r="T624" i="33"/>
  <c r="T623" i="33" s="1"/>
  <c r="T622" i="33" s="1"/>
  <c r="R624" i="33"/>
  <c r="R623" i="33" s="1"/>
  <c r="Q624" i="33"/>
  <c r="Q623" i="33" s="1"/>
  <c r="P624" i="33"/>
  <c r="P623" i="33" s="1"/>
  <c r="P622" i="33" s="1"/>
  <c r="N624" i="33"/>
  <c r="M624" i="33"/>
  <c r="L624" i="33"/>
  <c r="J624" i="33"/>
  <c r="J623" i="33" s="1"/>
  <c r="I624" i="33"/>
  <c r="H624" i="33"/>
  <c r="G624" i="33"/>
  <c r="G623" i="33" s="1"/>
  <c r="G622" i="33" s="1"/>
  <c r="F624" i="33"/>
  <c r="F623" i="33" s="1"/>
  <c r="W623" i="33"/>
  <c r="W622" i="33" s="1"/>
  <c r="U623" i="33"/>
  <c r="S623" i="33"/>
  <c r="O623" i="33"/>
  <c r="N623" i="33"/>
  <c r="M623" i="33"/>
  <c r="I623" i="33"/>
  <c r="I622" i="33" s="1"/>
  <c r="H623" i="33"/>
  <c r="H622" i="33" s="1"/>
  <c r="E623" i="33"/>
  <c r="U622" i="33"/>
  <c r="E622" i="33"/>
  <c r="V621" i="33"/>
  <c r="Q621" i="33"/>
  <c r="U621" i="33" s="1"/>
  <c r="K621" i="33"/>
  <c r="V620" i="33"/>
  <c r="Q620" i="33"/>
  <c r="U620" i="33" s="1"/>
  <c r="K620" i="33"/>
  <c r="V619" i="33"/>
  <c r="Q619" i="33"/>
  <c r="U619" i="33" s="1"/>
  <c r="K619" i="33"/>
  <c r="V618" i="33"/>
  <c r="Q618" i="33"/>
  <c r="U618" i="33" s="1"/>
  <c r="K618" i="33"/>
  <c r="X618" i="33" s="1"/>
  <c r="W617" i="33"/>
  <c r="V617" i="33"/>
  <c r="Q617" i="33"/>
  <c r="U617" i="33" s="1"/>
  <c r="K617" i="33"/>
  <c r="W616" i="33"/>
  <c r="V616" i="33"/>
  <c r="Q616" i="33"/>
  <c r="U616" i="33" s="1"/>
  <c r="K616" i="33"/>
  <c r="V615" i="33"/>
  <c r="Q615" i="33"/>
  <c r="U615" i="33" s="1"/>
  <c r="K615" i="33"/>
  <c r="X615" i="33" s="1"/>
  <c r="V614" i="33"/>
  <c r="Q614" i="33"/>
  <c r="U614" i="33" s="1"/>
  <c r="K614" i="33"/>
  <c r="V613" i="33"/>
  <c r="U613" i="33"/>
  <c r="Q613" i="33"/>
  <c r="K613" i="33"/>
  <c r="V612" i="33"/>
  <c r="U612" i="33"/>
  <c r="Q612" i="33"/>
  <c r="K612" i="33"/>
  <c r="V611" i="33"/>
  <c r="Q611" i="33"/>
  <c r="U611" i="33" s="1"/>
  <c r="K611" i="33"/>
  <c r="V610" i="33"/>
  <c r="Q610" i="33"/>
  <c r="U610" i="33" s="1"/>
  <c r="K610" i="33"/>
  <c r="V609" i="33"/>
  <c r="Q609" i="33"/>
  <c r="U609" i="33" s="1"/>
  <c r="K609" i="33"/>
  <c r="V608" i="33"/>
  <c r="Q608" i="33"/>
  <c r="U608" i="33" s="1"/>
  <c r="K608" i="33"/>
  <c r="W607" i="33"/>
  <c r="V607" i="33"/>
  <c r="Q607" i="33"/>
  <c r="X607" i="33" s="1"/>
  <c r="K607" i="33"/>
  <c r="V606" i="33"/>
  <c r="Q606" i="33"/>
  <c r="U606" i="33" s="1"/>
  <c r="K606" i="33"/>
  <c r="V605" i="33"/>
  <c r="Q605" i="33"/>
  <c r="U605" i="33" s="1"/>
  <c r="K605" i="33"/>
  <c r="V604" i="33"/>
  <c r="Q604" i="33"/>
  <c r="U604" i="33" s="1"/>
  <c r="K604" i="33"/>
  <c r="O604" i="33" s="1"/>
  <c r="W603" i="33"/>
  <c r="V603" i="33"/>
  <c r="Q603" i="33"/>
  <c r="U603" i="33" s="1"/>
  <c r="K603" i="33"/>
  <c r="W602" i="33"/>
  <c r="V602" i="33"/>
  <c r="U602" i="33"/>
  <c r="Q602" i="33"/>
  <c r="K602" i="33"/>
  <c r="V601" i="33"/>
  <c r="Q601" i="33"/>
  <c r="U601" i="33" s="1"/>
  <c r="K601" i="33"/>
  <c r="O601" i="33" s="1"/>
  <c r="V600" i="33"/>
  <c r="Q600" i="33"/>
  <c r="U600" i="33" s="1"/>
  <c r="K600" i="33"/>
  <c r="V599" i="33"/>
  <c r="Q599" i="33"/>
  <c r="U599" i="33" s="1"/>
  <c r="K599" i="33"/>
  <c r="O599" i="33" s="1"/>
  <c r="V598" i="33"/>
  <c r="Q598" i="33"/>
  <c r="U598" i="33" s="1"/>
  <c r="K598" i="33"/>
  <c r="V597" i="33"/>
  <c r="Q597" i="33"/>
  <c r="U597" i="33" s="1"/>
  <c r="K597" i="33"/>
  <c r="O597" i="33" s="1"/>
  <c r="V596" i="33"/>
  <c r="Q596" i="33"/>
  <c r="U596" i="33" s="1"/>
  <c r="K596" i="33"/>
  <c r="V595" i="33"/>
  <c r="Q595" i="33"/>
  <c r="U595" i="33" s="1"/>
  <c r="O595" i="33"/>
  <c r="K595" i="33"/>
  <c r="Q594" i="33"/>
  <c r="U594" i="33" s="1"/>
  <c r="K594" i="33"/>
  <c r="O594" i="33" s="1"/>
  <c r="Q593" i="33"/>
  <c r="U593" i="33" s="1"/>
  <c r="K593" i="33"/>
  <c r="O593" i="33" s="1"/>
  <c r="V592" i="33"/>
  <c r="U592" i="33"/>
  <c r="Q592" i="33"/>
  <c r="K592" i="33"/>
  <c r="V591" i="33"/>
  <c r="Q591" i="33"/>
  <c r="X591" i="33" s="1"/>
  <c r="K591" i="33"/>
  <c r="O591" i="33" s="1"/>
  <c r="T590" i="33"/>
  <c r="S590" i="33"/>
  <c r="R590" i="33"/>
  <c r="P590" i="33"/>
  <c r="N590" i="33"/>
  <c r="M590" i="33"/>
  <c r="L590" i="33"/>
  <c r="J590" i="33"/>
  <c r="I590" i="33"/>
  <c r="H590" i="33"/>
  <c r="G590" i="33"/>
  <c r="F590" i="33"/>
  <c r="E590" i="33"/>
  <c r="W589" i="33"/>
  <c r="W588" i="33" s="1"/>
  <c r="V589" i="33"/>
  <c r="Q589" i="33"/>
  <c r="U589" i="33" s="1"/>
  <c r="U588" i="33" s="1"/>
  <c r="K589" i="33"/>
  <c r="O589" i="33" s="1"/>
  <c r="O588" i="33" s="1"/>
  <c r="V588" i="33"/>
  <c r="T588" i="33"/>
  <c r="S588" i="33"/>
  <c r="R588" i="33"/>
  <c r="R587" i="33" s="1"/>
  <c r="P588" i="33"/>
  <c r="N588" i="33"/>
  <c r="M588" i="33"/>
  <c r="L588" i="33"/>
  <c r="J588" i="33"/>
  <c r="I588" i="33"/>
  <c r="I587" i="33" s="1"/>
  <c r="I586" i="33" s="1"/>
  <c r="H588" i="33"/>
  <c r="G588" i="33"/>
  <c r="F588" i="33"/>
  <c r="E588" i="33"/>
  <c r="T587" i="33"/>
  <c r="W585" i="33"/>
  <c r="V585" i="33"/>
  <c r="V584" i="33" s="1"/>
  <c r="Q585" i="33"/>
  <c r="K585" i="33"/>
  <c r="O585" i="33" s="1"/>
  <c r="W584" i="33"/>
  <c r="T584" i="33"/>
  <c r="S584" i="33"/>
  <c r="R584" i="33"/>
  <c r="P584" i="33"/>
  <c r="O584" i="33"/>
  <c r="N584" i="33"/>
  <c r="M584" i="33"/>
  <c r="L584" i="33"/>
  <c r="K584" i="33"/>
  <c r="J584" i="33"/>
  <c r="I584" i="33"/>
  <c r="H584" i="33"/>
  <c r="G584" i="33"/>
  <c r="F584" i="33"/>
  <c r="E584" i="33"/>
  <c r="Q583" i="33"/>
  <c r="X582" i="33"/>
  <c r="V582" i="33"/>
  <c r="Q582" i="33"/>
  <c r="U582" i="33" s="1"/>
  <c r="X581" i="33"/>
  <c r="V581" i="33"/>
  <c r="Q581" i="33"/>
  <c r="U581" i="33" s="1"/>
  <c r="Q580" i="33"/>
  <c r="U580" i="33" s="1"/>
  <c r="V579" i="33"/>
  <c r="Q579" i="33"/>
  <c r="U579" i="33" s="1"/>
  <c r="Q578" i="33"/>
  <c r="U578" i="33" s="1"/>
  <c r="Q577" i="33"/>
  <c r="U577" i="33" s="1"/>
  <c r="Q576" i="33"/>
  <c r="U576" i="33" s="1"/>
  <c r="Q575" i="33"/>
  <c r="U575" i="33" s="1"/>
  <c r="Q574" i="33"/>
  <c r="U574" i="33" s="1"/>
  <c r="V573" i="33"/>
  <c r="U573" i="33"/>
  <c r="Q573" i="33"/>
  <c r="V572" i="33"/>
  <c r="Q572" i="33"/>
  <c r="U572" i="33" s="1"/>
  <c r="Q571" i="33"/>
  <c r="U571" i="33" s="1"/>
  <c r="V570" i="33"/>
  <c r="Q570" i="33"/>
  <c r="V569" i="33"/>
  <c r="Q569" i="33"/>
  <c r="U569" i="33" s="1"/>
  <c r="V568" i="33"/>
  <c r="Q568" i="33"/>
  <c r="U568" i="33" s="1"/>
  <c r="Q567" i="33"/>
  <c r="U567" i="33" s="1"/>
  <c r="V566" i="33"/>
  <c r="Q566" i="33"/>
  <c r="X566" i="33" s="1"/>
  <c r="Q565" i="33"/>
  <c r="U565" i="33" s="1"/>
  <c r="Q564" i="33"/>
  <c r="U564" i="33" s="1"/>
  <c r="Q563" i="33"/>
  <c r="U563" i="33" s="1"/>
  <c r="Q562" i="33"/>
  <c r="U562" i="33" s="1"/>
  <c r="W561" i="33"/>
  <c r="T561" i="33"/>
  <c r="S561" i="33"/>
  <c r="R561" i="33"/>
  <c r="P561" i="33"/>
  <c r="O561" i="33"/>
  <c r="N561" i="33"/>
  <c r="M561" i="33"/>
  <c r="L561" i="33"/>
  <c r="K561" i="33"/>
  <c r="J561" i="33"/>
  <c r="I561" i="33"/>
  <c r="H561" i="33"/>
  <c r="G561" i="33"/>
  <c r="F561" i="33"/>
  <c r="E561" i="33"/>
  <c r="Q560" i="33"/>
  <c r="U560" i="33" s="1"/>
  <c r="W559" i="33"/>
  <c r="V559" i="33"/>
  <c r="Q559" i="33"/>
  <c r="U559" i="33" s="1"/>
  <c r="W558" i="33"/>
  <c r="V558" i="33"/>
  <c r="U558" i="33"/>
  <c r="Q558" i="33"/>
  <c r="X558" i="33" s="1"/>
  <c r="W557" i="33"/>
  <c r="V557" i="33"/>
  <c r="Q557" i="33"/>
  <c r="U557" i="33" s="1"/>
  <c r="W556" i="33"/>
  <c r="V556" i="33"/>
  <c r="Q556" i="33"/>
  <c r="X556" i="33" s="1"/>
  <c r="W555" i="33"/>
  <c r="V555" i="33"/>
  <c r="Q555" i="33"/>
  <c r="U555" i="33" s="1"/>
  <c r="W554" i="33"/>
  <c r="V554" i="33"/>
  <c r="Q554" i="33"/>
  <c r="X554" i="33" s="1"/>
  <c r="W553" i="33"/>
  <c r="V553" i="33"/>
  <c r="Q553" i="33"/>
  <c r="U553" i="33" s="1"/>
  <c r="W552" i="33"/>
  <c r="V552" i="33"/>
  <c r="Q552" i="33"/>
  <c r="W551" i="33"/>
  <c r="V551" i="33"/>
  <c r="Q551" i="33"/>
  <c r="U551" i="33" s="1"/>
  <c r="T550" i="33"/>
  <c r="T547" i="33" s="1"/>
  <c r="T546" i="33" s="1"/>
  <c r="T545" i="33" s="1"/>
  <c r="S550" i="33"/>
  <c r="R550" i="33"/>
  <c r="R547" i="33" s="1"/>
  <c r="R546" i="33" s="1"/>
  <c r="R545" i="33" s="1"/>
  <c r="P550" i="33"/>
  <c r="P547" i="33" s="1"/>
  <c r="P546" i="33" s="1"/>
  <c r="P545" i="33" s="1"/>
  <c r="O550" i="33"/>
  <c r="O547" i="33" s="1"/>
  <c r="O546" i="33" s="1"/>
  <c r="O545" i="33" s="1"/>
  <c r="N550" i="33"/>
  <c r="N547" i="33" s="1"/>
  <c r="N546" i="33" s="1"/>
  <c r="N545" i="33" s="1"/>
  <c r="M550" i="33"/>
  <c r="M547" i="33" s="1"/>
  <c r="M546" i="33" s="1"/>
  <c r="M545" i="33" s="1"/>
  <c r="L550" i="33"/>
  <c r="L547" i="33" s="1"/>
  <c r="L546" i="33" s="1"/>
  <c r="L545" i="33" s="1"/>
  <c r="K550" i="33"/>
  <c r="J550" i="33"/>
  <c r="J547" i="33" s="1"/>
  <c r="J546" i="33" s="1"/>
  <c r="J545" i="33" s="1"/>
  <c r="I550" i="33"/>
  <c r="I547" i="33" s="1"/>
  <c r="I546" i="33" s="1"/>
  <c r="I545" i="33" s="1"/>
  <c r="H550" i="33"/>
  <c r="H547" i="33" s="1"/>
  <c r="H546" i="33" s="1"/>
  <c r="H545" i="33" s="1"/>
  <c r="G550" i="33"/>
  <c r="G547" i="33" s="1"/>
  <c r="G546" i="33" s="1"/>
  <c r="G545" i="33" s="1"/>
  <c r="F550" i="33"/>
  <c r="F547" i="33" s="1"/>
  <c r="F546" i="33" s="1"/>
  <c r="F545" i="33" s="1"/>
  <c r="E550" i="33"/>
  <c r="E547" i="33" s="1"/>
  <c r="E546" i="33" s="1"/>
  <c r="E545" i="33" s="1"/>
  <c r="X549" i="33"/>
  <c r="W549" i="33"/>
  <c r="V549" i="33"/>
  <c r="X548" i="33"/>
  <c r="W548" i="33"/>
  <c r="V548" i="33"/>
  <c r="U548" i="33"/>
  <c r="S547" i="33"/>
  <c r="S546" i="33" s="1"/>
  <c r="S545" i="33" s="1"/>
  <c r="K547" i="33"/>
  <c r="K546" i="33" s="1"/>
  <c r="K545" i="33" s="1"/>
  <c r="W544" i="33"/>
  <c r="V544" i="33"/>
  <c r="Q544" i="33"/>
  <c r="X544" i="33" s="1"/>
  <c r="W543" i="33"/>
  <c r="V543" i="33"/>
  <c r="Q543" i="33"/>
  <c r="U543" i="33" s="1"/>
  <c r="W542" i="33"/>
  <c r="V542" i="33"/>
  <c r="Q542" i="33"/>
  <c r="X542" i="33" s="1"/>
  <c r="W541" i="33"/>
  <c r="V541" i="33"/>
  <c r="Q541" i="33"/>
  <c r="X541" i="33" s="1"/>
  <c r="W540" i="33"/>
  <c r="V540" i="33"/>
  <c r="Q540" i="33"/>
  <c r="U540" i="33" s="1"/>
  <c r="W539" i="33"/>
  <c r="V539" i="33"/>
  <c r="Q539" i="33"/>
  <c r="X539" i="33" s="1"/>
  <c r="W538" i="33"/>
  <c r="V538" i="33"/>
  <c r="Q538" i="33"/>
  <c r="U538" i="33" s="1"/>
  <c r="W537" i="33"/>
  <c r="V537" i="33"/>
  <c r="U537" i="33"/>
  <c r="Q537" i="33"/>
  <c r="X537" i="33" s="1"/>
  <c r="T536" i="33"/>
  <c r="T535" i="33" s="1"/>
  <c r="S536" i="33"/>
  <c r="S535" i="33" s="1"/>
  <c r="R536" i="33"/>
  <c r="P536" i="33"/>
  <c r="O536" i="33"/>
  <c r="O535" i="33" s="1"/>
  <c r="N536" i="33"/>
  <c r="N535" i="33" s="1"/>
  <c r="M536" i="33"/>
  <c r="L536" i="33"/>
  <c r="K536" i="33"/>
  <c r="K535" i="33" s="1"/>
  <c r="J536" i="33"/>
  <c r="I536" i="33"/>
  <c r="H536" i="33"/>
  <c r="G536" i="33"/>
  <c r="G535" i="33" s="1"/>
  <c r="F536" i="33"/>
  <c r="E536" i="33"/>
  <c r="R535" i="33"/>
  <c r="P535" i="33"/>
  <c r="M535" i="33"/>
  <c r="L535" i="33"/>
  <c r="J535" i="33"/>
  <c r="I535" i="33"/>
  <c r="H535" i="33"/>
  <c r="F535" i="33"/>
  <c r="E535" i="33"/>
  <c r="W534" i="33"/>
  <c r="V534" i="33"/>
  <c r="Q534" i="33"/>
  <c r="U534" i="33" s="1"/>
  <c r="K534" i="33"/>
  <c r="O534" i="33" s="1"/>
  <c r="W533" i="33"/>
  <c r="V533" i="33"/>
  <c r="U533" i="33"/>
  <c r="Q533" i="33"/>
  <c r="K533" i="33"/>
  <c r="W532" i="33"/>
  <c r="V532" i="33"/>
  <c r="Q532" i="33"/>
  <c r="U532" i="33" s="1"/>
  <c r="K532" i="33"/>
  <c r="O532" i="33" s="1"/>
  <c r="W531" i="33"/>
  <c r="V531" i="33"/>
  <c r="U531" i="33"/>
  <c r="Q531" i="33"/>
  <c r="K531" i="33"/>
  <c r="W530" i="33"/>
  <c r="V530" i="33"/>
  <c r="Q530" i="33"/>
  <c r="U530" i="33" s="1"/>
  <c r="K530" i="33"/>
  <c r="O530" i="33" s="1"/>
  <c r="W529" i="33"/>
  <c r="V529" i="33"/>
  <c r="Q529" i="33"/>
  <c r="U529" i="33" s="1"/>
  <c r="K529" i="33"/>
  <c r="W528" i="33"/>
  <c r="V528" i="33"/>
  <c r="Q528" i="33"/>
  <c r="U528" i="33" s="1"/>
  <c r="K528" i="33"/>
  <c r="O528" i="33" s="1"/>
  <c r="W527" i="33"/>
  <c r="V527" i="33"/>
  <c r="U527" i="33"/>
  <c r="Q527" i="33"/>
  <c r="K527" i="33"/>
  <c r="W526" i="33"/>
  <c r="V526" i="33"/>
  <c r="Q526" i="33"/>
  <c r="U526" i="33" s="1"/>
  <c r="K526" i="33"/>
  <c r="O526" i="33" s="1"/>
  <c r="W525" i="33"/>
  <c r="V525" i="33"/>
  <c r="Q525" i="33"/>
  <c r="U525" i="33" s="1"/>
  <c r="O525" i="33"/>
  <c r="K525" i="33"/>
  <c r="W524" i="33"/>
  <c r="V524" i="33"/>
  <c r="Q524" i="33"/>
  <c r="U524" i="33" s="1"/>
  <c r="K524" i="33"/>
  <c r="O524" i="33" s="1"/>
  <c r="W523" i="33"/>
  <c r="V523" i="33"/>
  <c r="U523" i="33"/>
  <c r="Q523" i="33"/>
  <c r="K523" i="33"/>
  <c r="T522" i="33"/>
  <c r="S522" i="33"/>
  <c r="S521" i="33" s="1"/>
  <c r="S520" i="33" s="1"/>
  <c r="R522" i="33"/>
  <c r="R521" i="33" s="1"/>
  <c r="R520" i="33" s="1"/>
  <c r="P522" i="33"/>
  <c r="P521" i="33" s="1"/>
  <c r="N522" i="33"/>
  <c r="M522" i="33"/>
  <c r="M521" i="33" s="1"/>
  <c r="M520" i="33" s="1"/>
  <c r="L522" i="33"/>
  <c r="J522" i="33"/>
  <c r="J521" i="33" s="1"/>
  <c r="I522" i="33"/>
  <c r="H522" i="33"/>
  <c r="H521" i="33" s="1"/>
  <c r="H520" i="33" s="1"/>
  <c r="G522" i="33"/>
  <c r="G521" i="33" s="1"/>
  <c r="G520" i="33" s="1"/>
  <c r="F522" i="33"/>
  <c r="F521" i="33" s="1"/>
  <c r="E522" i="33"/>
  <c r="T521" i="33"/>
  <c r="N521" i="33"/>
  <c r="N520" i="33" s="1"/>
  <c r="L521" i="33"/>
  <c r="L520" i="33" s="1"/>
  <c r="I521" i="33"/>
  <c r="I520" i="33" s="1"/>
  <c r="E521" i="33"/>
  <c r="E520" i="33" s="1"/>
  <c r="T520" i="33"/>
  <c r="P520" i="33"/>
  <c r="J520" i="33"/>
  <c r="F520" i="33"/>
  <c r="W519" i="33"/>
  <c r="W518" i="33" s="1"/>
  <c r="V519" i="33"/>
  <c r="V518" i="33" s="1"/>
  <c r="Q519" i="33"/>
  <c r="U519" i="33" s="1"/>
  <c r="U518" i="33" s="1"/>
  <c r="K519" i="33"/>
  <c r="O519" i="33" s="1"/>
  <c r="O518" i="33" s="1"/>
  <c r="T518" i="33"/>
  <c r="S518" i="33"/>
  <c r="R518" i="33"/>
  <c r="P518" i="33"/>
  <c r="N518" i="33"/>
  <c r="M518" i="33"/>
  <c r="L518" i="33"/>
  <c r="J518" i="33"/>
  <c r="I518" i="33"/>
  <c r="H518" i="33"/>
  <c r="G518" i="33"/>
  <c r="F518" i="33"/>
  <c r="E518" i="33"/>
  <c r="W517" i="33"/>
  <c r="V517" i="33"/>
  <c r="U517" i="33"/>
  <c r="Q517" i="33"/>
  <c r="K517" i="33"/>
  <c r="O517" i="33" s="1"/>
  <c r="W516" i="33"/>
  <c r="V516" i="33"/>
  <c r="Q516" i="33"/>
  <c r="U516" i="33" s="1"/>
  <c r="O516" i="33"/>
  <c r="K516" i="33"/>
  <c r="W515" i="33"/>
  <c r="V515" i="33"/>
  <c r="U515" i="33"/>
  <c r="Q515" i="33"/>
  <c r="K515" i="33"/>
  <c r="O515" i="33" s="1"/>
  <c r="W514" i="33"/>
  <c r="V514" i="33"/>
  <c r="Q514" i="33"/>
  <c r="U514" i="33" s="1"/>
  <c r="K514" i="33"/>
  <c r="O514" i="33" s="1"/>
  <c r="W513" i="33"/>
  <c r="V513" i="33"/>
  <c r="Q513" i="33"/>
  <c r="U513" i="33" s="1"/>
  <c r="K513" i="33"/>
  <c r="O513" i="33" s="1"/>
  <c r="W512" i="33"/>
  <c r="V512" i="33"/>
  <c r="Q512" i="33"/>
  <c r="U512" i="33" s="1"/>
  <c r="O512" i="33"/>
  <c r="K512" i="33"/>
  <c r="W511" i="33"/>
  <c r="V511" i="33"/>
  <c r="U511" i="33"/>
  <c r="Q511" i="33"/>
  <c r="K511" i="33"/>
  <c r="O511" i="33" s="1"/>
  <c r="W510" i="33"/>
  <c r="V510" i="33"/>
  <c r="Q510" i="33"/>
  <c r="U510" i="33" s="1"/>
  <c r="K510" i="33"/>
  <c r="W509" i="33"/>
  <c r="V509" i="33"/>
  <c r="Q509" i="33"/>
  <c r="U509" i="33" s="1"/>
  <c r="K509" i="33"/>
  <c r="W508" i="33"/>
  <c r="V508" i="33"/>
  <c r="Q508" i="33"/>
  <c r="U508" i="33" s="1"/>
  <c r="K508" i="33"/>
  <c r="O508" i="33" s="1"/>
  <c r="W507" i="33"/>
  <c r="V507" i="33"/>
  <c r="Q507" i="33"/>
  <c r="U507" i="33" s="1"/>
  <c r="K507" i="33"/>
  <c r="O507" i="33" s="1"/>
  <c r="W506" i="33"/>
  <c r="V506" i="33"/>
  <c r="Q506" i="33"/>
  <c r="O506" i="33"/>
  <c r="K506" i="33"/>
  <c r="W505" i="33"/>
  <c r="V505" i="33"/>
  <c r="Q505" i="33"/>
  <c r="U505" i="33" s="1"/>
  <c r="K505" i="33"/>
  <c r="W504" i="33"/>
  <c r="V504" i="33"/>
  <c r="Q504" i="33"/>
  <c r="U504" i="33" s="1"/>
  <c r="K504" i="33"/>
  <c r="W503" i="33"/>
  <c r="V503" i="33"/>
  <c r="Q503" i="33"/>
  <c r="U503" i="33" s="1"/>
  <c r="K503" i="33"/>
  <c r="T502" i="33"/>
  <c r="T501" i="33" s="1"/>
  <c r="T500" i="33" s="1"/>
  <c r="S502" i="33"/>
  <c r="S501" i="33" s="1"/>
  <c r="R502" i="33"/>
  <c r="R501" i="33" s="1"/>
  <c r="R500" i="33" s="1"/>
  <c r="P502" i="33"/>
  <c r="P501" i="33" s="1"/>
  <c r="P500" i="33" s="1"/>
  <c r="N502" i="33"/>
  <c r="N501" i="33" s="1"/>
  <c r="M502" i="33"/>
  <c r="L502" i="33"/>
  <c r="K502" i="33" s="1"/>
  <c r="K501" i="33" s="1"/>
  <c r="J502" i="33"/>
  <c r="J501" i="33" s="1"/>
  <c r="I502" i="33"/>
  <c r="I501" i="33" s="1"/>
  <c r="H502" i="33"/>
  <c r="H501" i="33" s="1"/>
  <c r="H500" i="33" s="1"/>
  <c r="G502" i="33"/>
  <c r="F502" i="33"/>
  <c r="F501" i="33" s="1"/>
  <c r="F500" i="33" s="1"/>
  <c r="M501" i="33"/>
  <c r="M500" i="33" s="1"/>
  <c r="G501" i="33"/>
  <c r="G500" i="33" s="1"/>
  <c r="E501" i="33"/>
  <c r="J500" i="33"/>
  <c r="E500" i="33"/>
  <c r="W499" i="33"/>
  <c r="V499" i="33"/>
  <c r="Q499" i="33"/>
  <c r="U499" i="33" s="1"/>
  <c r="K499" i="33"/>
  <c r="W498" i="33"/>
  <c r="V498" i="33"/>
  <c r="Q498" i="33"/>
  <c r="U498" i="33" s="1"/>
  <c r="K498" i="33"/>
  <c r="O498" i="33" s="1"/>
  <c r="W497" i="33"/>
  <c r="V497" i="33"/>
  <c r="Q497" i="33"/>
  <c r="U497" i="33" s="1"/>
  <c r="K497" i="33"/>
  <c r="O497" i="33" s="1"/>
  <c r="W496" i="33"/>
  <c r="V496" i="33"/>
  <c r="Q496" i="33"/>
  <c r="U496" i="33" s="1"/>
  <c r="K496" i="33"/>
  <c r="W495" i="33"/>
  <c r="V495" i="33"/>
  <c r="Q495" i="33"/>
  <c r="U495" i="33" s="1"/>
  <c r="K495" i="33"/>
  <c r="T494" i="33"/>
  <c r="S494" i="33"/>
  <c r="R494" i="33"/>
  <c r="R487" i="33" s="1"/>
  <c r="R486" i="33" s="1"/>
  <c r="P494" i="33"/>
  <c r="N494" i="33"/>
  <c r="M494" i="33"/>
  <c r="L494" i="33"/>
  <c r="J494" i="33"/>
  <c r="I494" i="33"/>
  <c r="H494" i="33"/>
  <c r="H487" i="33" s="1"/>
  <c r="H486" i="33" s="1"/>
  <c r="G494" i="33"/>
  <c r="F494" i="33"/>
  <c r="W493" i="33"/>
  <c r="V493" i="33"/>
  <c r="Q493" i="33"/>
  <c r="U493" i="33" s="1"/>
  <c r="O493" i="33"/>
  <c r="K493" i="33"/>
  <c r="W492" i="33"/>
  <c r="V492" i="33"/>
  <c r="Q492" i="33"/>
  <c r="U492" i="33" s="1"/>
  <c r="K492" i="33"/>
  <c r="O492" i="33" s="1"/>
  <c r="W491" i="33"/>
  <c r="V491" i="33"/>
  <c r="Q491" i="33"/>
  <c r="U491" i="33" s="1"/>
  <c r="K491" i="33"/>
  <c r="T490" i="33"/>
  <c r="T487" i="33" s="1"/>
  <c r="T486" i="33" s="1"/>
  <c r="S490" i="33"/>
  <c r="R490" i="33"/>
  <c r="P490" i="33"/>
  <c r="N490" i="33"/>
  <c r="N487" i="33" s="1"/>
  <c r="N486" i="33" s="1"/>
  <c r="M490" i="33"/>
  <c r="L490" i="33"/>
  <c r="J490" i="33"/>
  <c r="I490" i="33"/>
  <c r="H490" i="33"/>
  <c r="G490" i="33"/>
  <c r="F490" i="33"/>
  <c r="W489" i="33"/>
  <c r="V489" i="33"/>
  <c r="Q489" i="33"/>
  <c r="U489" i="33" s="1"/>
  <c r="K489" i="33"/>
  <c r="W488" i="33"/>
  <c r="V488" i="33"/>
  <c r="Q488" i="33"/>
  <c r="U488" i="33" s="1"/>
  <c r="K488" i="33"/>
  <c r="P487" i="33"/>
  <c r="P486" i="33" s="1"/>
  <c r="L487" i="33"/>
  <c r="J487" i="33"/>
  <c r="E487" i="33"/>
  <c r="E486" i="33" s="1"/>
  <c r="E485" i="33" s="1"/>
  <c r="L486" i="33"/>
  <c r="J486" i="33"/>
  <c r="W484" i="33"/>
  <c r="V484" i="33"/>
  <c r="Q484" i="33"/>
  <c r="K484" i="33"/>
  <c r="O484" i="33" s="1"/>
  <c r="W483" i="33"/>
  <c r="V483" i="33"/>
  <c r="Q483" i="33"/>
  <c r="U483" i="33" s="1"/>
  <c r="O483" i="33"/>
  <c r="K483" i="33"/>
  <c r="W482" i="33"/>
  <c r="V482" i="33"/>
  <c r="Q482" i="33"/>
  <c r="U482" i="33" s="1"/>
  <c r="K482" i="33"/>
  <c r="W481" i="33"/>
  <c r="V481" i="33"/>
  <c r="Q481" i="33"/>
  <c r="U481" i="33" s="1"/>
  <c r="K481" i="33"/>
  <c r="W480" i="33"/>
  <c r="V480" i="33"/>
  <c r="Q480" i="33"/>
  <c r="X480" i="33" s="1"/>
  <c r="K480" i="33"/>
  <c r="O480" i="33" s="1"/>
  <c r="W479" i="33"/>
  <c r="V479" i="33"/>
  <c r="Q479" i="33"/>
  <c r="K479" i="33"/>
  <c r="W478" i="33"/>
  <c r="V478" i="33"/>
  <c r="Q478" i="33"/>
  <c r="X478" i="33" s="1"/>
  <c r="K478" i="33"/>
  <c r="O478" i="33" s="1"/>
  <c r="W477" i="33"/>
  <c r="V477" i="33"/>
  <c r="Q477" i="33"/>
  <c r="U477" i="33" s="1"/>
  <c r="K477" i="33"/>
  <c r="O477" i="33" s="1"/>
  <c r="W476" i="33"/>
  <c r="V476" i="33"/>
  <c r="Q476" i="33"/>
  <c r="U476" i="33" s="1"/>
  <c r="K476" i="33"/>
  <c r="W475" i="33"/>
  <c r="V475" i="33"/>
  <c r="Q475" i="33"/>
  <c r="U475" i="33" s="1"/>
  <c r="K475" i="33"/>
  <c r="T474" i="33"/>
  <c r="T473" i="33" s="1"/>
  <c r="S474" i="33"/>
  <c r="S473" i="33" s="1"/>
  <c r="R474" i="33"/>
  <c r="R473" i="33" s="1"/>
  <c r="P474" i="33"/>
  <c r="N474" i="33"/>
  <c r="M474" i="33"/>
  <c r="M473" i="33" s="1"/>
  <c r="L474" i="33"/>
  <c r="L473" i="33" s="1"/>
  <c r="J474" i="33"/>
  <c r="J473" i="33" s="1"/>
  <c r="I474" i="33"/>
  <c r="H474" i="33"/>
  <c r="H473" i="33" s="1"/>
  <c r="G474" i="33"/>
  <c r="F474" i="33"/>
  <c r="F473" i="33" s="1"/>
  <c r="E474" i="33"/>
  <c r="E473" i="33" s="1"/>
  <c r="P473" i="33"/>
  <c r="N473" i="33"/>
  <c r="I473" i="33"/>
  <c r="G473" i="33"/>
  <c r="G463" i="33" s="1"/>
  <c r="W472" i="33"/>
  <c r="V472" i="33"/>
  <c r="Q472" i="33"/>
  <c r="X472" i="33" s="1"/>
  <c r="K472" i="33"/>
  <c r="O472" i="33" s="1"/>
  <c r="W471" i="33"/>
  <c r="V471" i="33"/>
  <c r="Q471" i="33"/>
  <c r="U471" i="33" s="1"/>
  <c r="K471" i="33"/>
  <c r="O471" i="33" s="1"/>
  <c r="W470" i="33"/>
  <c r="V470" i="33"/>
  <c r="Q470" i="33"/>
  <c r="U470" i="33" s="1"/>
  <c r="K470" i="33"/>
  <c r="W469" i="33"/>
  <c r="V469" i="33"/>
  <c r="Q469" i="33"/>
  <c r="U469" i="33" s="1"/>
  <c r="K469" i="33"/>
  <c r="W468" i="33"/>
  <c r="V468" i="33"/>
  <c r="U468" i="33"/>
  <c r="Q468" i="33"/>
  <c r="X468" i="33" s="1"/>
  <c r="K468" i="33"/>
  <c r="O468" i="33" s="1"/>
  <c r="W467" i="33"/>
  <c r="V467" i="33"/>
  <c r="Q467" i="33"/>
  <c r="U467" i="33" s="1"/>
  <c r="K467" i="33"/>
  <c r="O467" i="33" s="1"/>
  <c r="W466" i="33"/>
  <c r="V466" i="33"/>
  <c r="V465" i="33" s="1"/>
  <c r="V464" i="33" s="1"/>
  <c r="Q466" i="33"/>
  <c r="U466" i="33" s="1"/>
  <c r="K466" i="33"/>
  <c r="T465" i="33"/>
  <c r="T464" i="33" s="1"/>
  <c r="S465" i="33"/>
  <c r="S464" i="33" s="1"/>
  <c r="R465" i="33"/>
  <c r="R464" i="33" s="1"/>
  <c r="P465" i="33"/>
  <c r="P464" i="33" s="1"/>
  <c r="N465" i="33"/>
  <c r="M465" i="33"/>
  <c r="L465" i="33"/>
  <c r="L464" i="33" s="1"/>
  <c r="J465" i="33"/>
  <c r="J464" i="33" s="1"/>
  <c r="I465" i="33"/>
  <c r="I464" i="33" s="1"/>
  <c r="H465" i="33"/>
  <c r="G465" i="33"/>
  <c r="G464" i="33" s="1"/>
  <c r="F465" i="33"/>
  <c r="F464" i="33" s="1"/>
  <c r="E465" i="33"/>
  <c r="N464" i="33"/>
  <c r="M464" i="33"/>
  <c r="M463" i="33" s="1"/>
  <c r="H464" i="33"/>
  <c r="E464" i="33"/>
  <c r="W461" i="33"/>
  <c r="V461" i="33"/>
  <c r="Q461" i="33"/>
  <c r="U461" i="33" s="1"/>
  <c r="K461" i="33"/>
  <c r="W460" i="33"/>
  <c r="V460" i="33"/>
  <c r="Q460" i="33"/>
  <c r="U460" i="33" s="1"/>
  <c r="K460" i="33"/>
  <c r="O460" i="33" s="1"/>
  <c r="W459" i="33"/>
  <c r="V459" i="33"/>
  <c r="Q459" i="33"/>
  <c r="U459" i="33" s="1"/>
  <c r="K459" i="33"/>
  <c r="W458" i="33"/>
  <c r="V458" i="33"/>
  <c r="Q458" i="33"/>
  <c r="U458" i="33" s="1"/>
  <c r="K458" i="33"/>
  <c r="W457" i="33"/>
  <c r="V457" i="33"/>
  <c r="Q457" i="33"/>
  <c r="U457" i="33" s="1"/>
  <c r="K457" i="33"/>
  <c r="W456" i="33"/>
  <c r="V456" i="33"/>
  <c r="Q456" i="33"/>
  <c r="K456" i="33"/>
  <c r="W455" i="33"/>
  <c r="V455" i="33"/>
  <c r="V454" i="33" s="1"/>
  <c r="V453" i="33" s="1"/>
  <c r="Q455" i="33"/>
  <c r="U455" i="33" s="1"/>
  <c r="K455" i="33"/>
  <c r="K454" i="33" s="1"/>
  <c r="K453" i="33" s="1"/>
  <c r="W454" i="33"/>
  <c r="T454" i="33"/>
  <c r="T453" i="33" s="1"/>
  <c r="S454" i="33"/>
  <c r="R454" i="33"/>
  <c r="P454" i="33"/>
  <c r="N454" i="33"/>
  <c r="N453" i="33" s="1"/>
  <c r="M454" i="33"/>
  <c r="L454" i="33"/>
  <c r="J454" i="33"/>
  <c r="J453" i="33" s="1"/>
  <c r="I454" i="33"/>
  <c r="I453" i="33" s="1"/>
  <c r="H454" i="33"/>
  <c r="G454" i="33"/>
  <c r="F454" i="33"/>
  <c r="F453" i="33" s="1"/>
  <c r="E454" i="33"/>
  <c r="E453" i="33" s="1"/>
  <c r="W453" i="33"/>
  <c r="S453" i="33"/>
  <c r="R453" i="33"/>
  <c r="P453" i="33"/>
  <c r="M453" i="33"/>
  <c r="L453" i="33"/>
  <c r="H453" i="33"/>
  <c r="G453" i="33"/>
  <c r="W452" i="33"/>
  <c r="W451" i="33" s="1"/>
  <c r="W450" i="33" s="1"/>
  <c r="W449" i="33" s="1"/>
  <c r="V452" i="33"/>
  <c r="V451" i="33" s="1"/>
  <c r="V450" i="33" s="1"/>
  <c r="Q452" i="33"/>
  <c r="K452" i="33"/>
  <c r="K451" i="33" s="1"/>
  <c r="K450" i="33" s="1"/>
  <c r="T451" i="33"/>
  <c r="T450" i="33" s="1"/>
  <c r="T449" i="33" s="1"/>
  <c r="S451" i="33"/>
  <c r="R451" i="33"/>
  <c r="P451" i="33"/>
  <c r="N451" i="33"/>
  <c r="N450" i="33" s="1"/>
  <c r="N449" i="33" s="1"/>
  <c r="M451" i="33"/>
  <c r="L451" i="33"/>
  <c r="J451" i="33"/>
  <c r="J450" i="33" s="1"/>
  <c r="J449" i="33" s="1"/>
  <c r="I451" i="33"/>
  <c r="I450" i="33" s="1"/>
  <c r="H451" i="33"/>
  <c r="G451" i="33"/>
  <c r="F451" i="33"/>
  <c r="F450" i="33" s="1"/>
  <c r="E451" i="33"/>
  <c r="E450" i="33" s="1"/>
  <c r="S450" i="33"/>
  <c r="R450" i="33"/>
  <c r="P450" i="33"/>
  <c r="P449" i="33" s="1"/>
  <c r="M450" i="33"/>
  <c r="L450" i="33"/>
  <c r="H450" i="33"/>
  <c r="G450" i="33"/>
  <c r="L449" i="33"/>
  <c r="W448" i="33"/>
  <c r="V448" i="33"/>
  <c r="Q448" i="33"/>
  <c r="K448" i="33"/>
  <c r="W447" i="33"/>
  <c r="V447" i="33"/>
  <c r="Q447" i="33"/>
  <c r="K447" i="33"/>
  <c r="W446" i="33"/>
  <c r="V446" i="33"/>
  <c r="Q446" i="33"/>
  <c r="X446" i="33" s="1"/>
  <c r="O446" i="33"/>
  <c r="K446" i="33"/>
  <c r="W445" i="33"/>
  <c r="V445" i="33"/>
  <c r="Q445" i="33"/>
  <c r="K445" i="33"/>
  <c r="W444" i="33"/>
  <c r="V444" i="33"/>
  <c r="Q444" i="33"/>
  <c r="K444" i="33"/>
  <c r="W443" i="33"/>
  <c r="V443" i="33"/>
  <c r="Q443" i="33"/>
  <c r="K443" i="33"/>
  <c r="W442" i="33"/>
  <c r="V442" i="33"/>
  <c r="Q442" i="33"/>
  <c r="K442" i="33"/>
  <c r="X442" i="33" s="1"/>
  <c r="W441" i="33"/>
  <c r="V441" i="33"/>
  <c r="Q441" i="33"/>
  <c r="U441" i="33" s="1"/>
  <c r="K441" i="33"/>
  <c r="O441" i="33" s="1"/>
  <c r="W440" i="33"/>
  <c r="V440" i="33"/>
  <c r="Q440" i="33"/>
  <c r="K440" i="33"/>
  <c r="W439" i="33"/>
  <c r="V439" i="33"/>
  <c r="Q439" i="33"/>
  <c r="K439" i="33"/>
  <c r="W438" i="33"/>
  <c r="V438" i="33"/>
  <c r="Q438" i="33"/>
  <c r="U438" i="33" s="1"/>
  <c r="K438" i="33"/>
  <c r="O438" i="33" s="1"/>
  <c r="W437" i="33"/>
  <c r="V437" i="33"/>
  <c r="Q437" i="33"/>
  <c r="U437" i="33" s="1"/>
  <c r="K437" i="33"/>
  <c r="W436" i="33"/>
  <c r="V436" i="33"/>
  <c r="Q436" i="33"/>
  <c r="U436" i="33" s="1"/>
  <c r="K436" i="33"/>
  <c r="W435" i="33"/>
  <c r="V435" i="33"/>
  <c r="Q435" i="33"/>
  <c r="U435" i="33" s="1"/>
  <c r="K435" i="33"/>
  <c r="O435" i="33" s="1"/>
  <c r="W434" i="33"/>
  <c r="V434" i="33"/>
  <c r="Q434" i="33"/>
  <c r="K434" i="33"/>
  <c r="O434" i="33" s="1"/>
  <c r="W433" i="33"/>
  <c r="V433" i="33"/>
  <c r="Q433" i="33"/>
  <c r="U433" i="33" s="1"/>
  <c r="K433" i="33"/>
  <c r="W432" i="33"/>
  <c r="V432" i="33"/>
  <c r="Q432" i="33"/>
  <c r="U432" i="33" s="1"/>
  <c r="O432" i="33"/>
  <c r="K432" i="33"/>
  <c r="W431" i="33"/>
  <c r="V431" i="33"/>
  <c r="Q431" i="33"/>
  <c r="U431" i="33" s="1"/>
  <c r="K431" i="33"/>
  <c r="O431" i="33" s="1"/>
  <c r="W430" i="33"/>
  <c r="V430" i="33"/>
  <c r="U430" i="33"/>
  <c r="Q430" i="33"/>
  <c r="K430" i="33"/>
  <c r="O430" i="33" s="1"/>
  <c r="W429" i="33"/>
  <c r="V429" i="33"/>
  <c r="Q429" i="33"/>
  <c r="U429" i="33" s="1"/>
  <c r="K429" i="33"/>
  <c r="X429" i="33" s="1"/>
  <c r="W428" i="33"/>
  <c r="V428" i="33"/>
  <c r="Q428" i="33"/>
  <c r="U428" i="33" s="1"/>
  <c r="K428" i="33"/>
  <c r="X428" i="33" s="1"/>
  <c r="W427" i="33"/>
  <c r="V427" i="33"/>
  <c r="Q427" i="33"/>
  <c r="U427" i="33" s="1"/>
  <c r="K427" i="33"/>
  <c r="O427" i="33" s="1"/>
  <c r="W426" i="33"/>
  <c r="V426" i="33"/>
  <c r="Q426" i="33"/>
  <c r="K426" i="33"/>
  <c r="O426" i="33" s="1"/>
  <c r="W425" i="33"/>
  <c r="V425" i="33"/>
  <c r="Q425" i="33"/>
  <c r="U425" i="33" s="1"/>
  <c r="K425" i="33"/>
  <c r="W424" i="33"/>
  <c r="V424" i="33"/>
  <c r="Q424" i="33"/>
  <c r="U424" i="33" s="1"/>
  <c r="K424" i="33"/>
  <c r="O424" i="33" s="1"/>
  <c r="W423" i="33"/>
  <c r="V423" i="33"/>
  <c r="Q423" i="33"/>
  <c r="U423" i="33" s="1"/>
  <c r="K423" i="33"/>
  <c r="O423" i="33" s="1"/>
  <c r="W422" i="33"/>
  <c r="V422" i="33"/>
  <c r="Q422" i="33"/>
  <c r="U422" i="33" s="1"/>
  <c r="K422" i="33"/>
  <c r="W421" i="33"/>
  <c r="V421" i="33"/>
  <c r="Q421" i="33"/>
  <c r="U421" i="33" s="1"/>
  <c r="K421" i="33"/>
  <c r="W420" i="33"/>
  <c r="V420" i="33"/>
  <c r="Q420" i="33"/>
  <c r="X420" i="33" s="1"/>
  <c r="O420" i="33"/>
  <c r="K420" i="33"/>
  <c r="T419" i="33"/>
  <c r="T418" i="33" s="1"/>
  <c r="T407" i="33" s="1"/>
  <c r="T406" i="33" s="1"/>
  <c r="S419" i="33"/>
  <c r="S418" i="33" s="1"/>
  <c r="S407" i="33" s="1"/>
  <c r="S406" i="33" s="1"/>
  <c r="R419" i="33"/>
  <c r="P419" i="33"/>
  <c r="N419" i="33"/>
  <c r="N418" i="33" s="1"/>
  <c r="N407" i="33" s="1"/>
  <c r="N406" i="33" s="1"/>
  <c r="M419" i="33"/>
  <c r="M418" i="33" s="1"/>
  <c r="M407" i="33" s="1"/>
  <c r="M406" i="33" s="1"/>
  <c r="L419" i="33"/>
  <c r="L418" i="33" s="1"/>
  <c r="L407" i="33" s="1"/>
  <c r="J419" i="33"/>
  <c r="I419" i="33"/>
  <c r="I418" i="33" s="1"/>
  <c r="I407" i="33" s="1"/>
  <c r="H419" i="33"/>
  <c r="H418" i="33" s="1"/>
  <c r="H407" i="33" s="1"/>
  <c r="H406" i="33" s="1"/>
  <c r="G419" i="33"/>
  <c r="F419" i="33"/>
  <c r="E419" i="33"/>
  <c r="E418" i="33" s="1"/>
  <c r="R418" i="33"/>
  <c r="R407" i="33" s="1"/>
  <c r="P418" i="33"/>
  <c r="P407" i="33" s="1"/>
  <c r="P406" i="33" s="1"/>
  <c r="J418" i="33"/>
  <c r="J407" i="33" s="1"/>
  <c r="G418" i="33"/>
  <c r="G407" i="33" s="1"/>
  <c r="G406" i="33" s="1"/>
  <c r="F418" i="33"/>
  <c r="F407" i="33" s="1"/>
  <c r="F406" i="33" s="1"/>
  <c r="F402" i="33" s="1"/>
  <c r="W417" i="33"/>
  <c r="V417" i="33"/>
  <c r="Q417" i="33"/>
  <c r="U417" i="33" s="1"/>
  <c r="K417" i="33"/>
  <c r="W416" i="33"/>
  <c r="V416" i="33"/>
  <c r="Q416" i="33"/>
  <c r="U416" i="33" s="1"/>
  <c r="K416" i="33"/>
  <c r="W415" i="33"/>
  <c r="V415" i="33"/>
  <c r="Q415" i="33"/>
  <c r="U415" i="33" s="1"/>
  <c r="K415" i="33"/>
  <c r="O415" i="33" s="1"/>
  <c r="W414" i="33"/>
  <c r="V414" i="33"/>
  <c r="Q414" i="33"/>
  <c r="X414" i="33" s="1"/>
  <c r="K414" i="33"/>
  <c r="O414" i="33" s="1"/>
  <c r="W413" i="33"/>
  <c r="V413" i="33"/>
  <c r="Q413" i="33"/>
  <c r="U413" i="33" s="1"/>
  <c r="K413" i="33"/>
  <c r="W412" i="33"/>
  <c r="V412" i="33"/>
  <c r="Q412" i="33"/>
  <c r="U412" i="33" s="1"/>
  <c r="K412" i="33"/>
  <c r="W411" i="33"/>
  <c r="V411" i="33"/>
  <c r="Q411" i="33"/>
  <c r="U411" i="33" s="1"/>
  <c r="K411" i="33"/>
  <c r="O411" i="33" s="1"/>
  <c r="W410" i="33"/>
  <c r="V410" i="33"/>
  <c r="Q410" i="33"/>
  <c r="U410" i="33" s="1"/>
  <c r="K410" i="33"/>
  <c r="O410" i="33" s="1"/>
  <c r="W409" i="33"/>
  <c r="V409" i="33"/>
  <c r="Q409" i="33"/>
  <c r="U409" i="33" s="1"/>
  <c r="K409" i="33"/>
  <c r="W408" i="33"/>
  <c r="V408" i="33"/>
  <c r="Q408" i="33"/>
  <c r="U408" i="33" s="1"/>
  <c r="K408" i="33"/>
  <c r="O408" i="33" s="1"/>
  <c r="W405" i="33"/>
  <c r="W404" i="33" s="1"/>
  <c r="W403" i="33" s="1"/>
  <c r="V405" i="33"/>
  <c r="Q405" i="33"/>
  <c r="U405" i="33" s="1"/>
  <c r="U404" i="33" s="1"/>
  <c r="U403" i="33" s="1"/>
  <c r="K405" i="33"/>
  <c r="V404" i="33"/>
  <c r="V403" i="33" s="1"/>
  <c r="T404" i="33"/>
  <c r="S404" i="33"/>
  <c r="R404" i="33"/>
  <c r="Q404" i="33"/>
  <c r="Q403" i="33" s="1"/>
  <c r="P404" i="33"/>
  <c r="N404" i="33"/>
  <c r="M404" i="33"/>
  <c r="L404" i="33"/>
  <c r="L403" i="33" s="1"/>
  <c r="J404" i="33"/>
  <c r="I404" i="33"/>
  <c r="H404" i="33"/>
  <c r="G404" i="33"/>
  <c r="F404" i="33"/>
  <c r="E404" i="33"/>
  <c r="T403" i="33"/>
  <c r="S403" i="33"/>
  <c r="R403" i="33"/>
  <c r="P403" i="33"/>
  <c r="N403" i="33"/>
  <c r="M403" i="33"/>
  <c r="J403" i="33"/>
  <c r="I403" i="33"/>
  <c r="H403" i="33"/>
  <c r="G403" i="33"/>
  <c r="F403" i="33"/>
  <c r="E403" i="33"/>
  <c r="E402" i="33"/>
  <c r="W401" i="33"/>
  <c r="V401" i="33"/>
  <c r="Q401" i="33"/>
  <c r="U401" i="33" s="1"/>
  <c r="K401" i="33"/>
  <c r="O401" i="33" s="1"/>
  <c r="W400" i="33"/>
  <c r="V400" i="33"/>
  <c r="Q400" i="33"/>
  <c r="U400" i="33" s="1"/>
  <c r="K400" i="33"/>
  <c r="O400" i="33" s="1"/>
  <c r="W399" i="33"/>
  <c r="V399" i="33"/>
  <c r="Q399" i="33"/>
  <c r="U399" i="33" s="1"/>
  <c r="K399" i="33"/>
  <c r="X399" i="33" s="1"/>
  <c r="W398" i="33"/>
  <c r="V398" i="33"/>
  <c r="Q398" i="33"/>
  <c r="U398" i="33" s="1"/>
  <c r="K398" i="33"/>
  <c r="X398" i="33" s="1"/>
  <c r="W397" i="33"/>
  <c r="V397" i="33"/>
  <c r="Q397" i="33"/>
  <c r="U397" i="33" s="1"/>
  <c r="K397" i="33"/>
  <c r="W396" i="33"/>
  <c r="V396" i="33"/>
  <c r="Q396" i="33"/>
  <c r="U396" i="33" s="1"/>
  <c r="U395" i="33" s="1"/>
  <c r="U394" i="33" s="1"/>
  <c r="K396" i="33"/>
  <c r="O396" i="33" s="1"/>
  <c r="T395" i="33"/>
  <c r="T394" i="33" s="1"/>
  <c r="S395" i="33"/>
  <c r="R395" i="33"/>
  <c r="P395" i="33"/>
  <c r="P394" i="33" s="1"/>
  <c r="N395" i="33"/>
  <c r="N394" i="33" s="1"/>
  <c r="N385" i="33" s="1"/>
  <c r="M395" i="33"/>
  <c r="L395" i="33"/>
  <c r="J395" i="33"/>
  <c r="J394" i="33" s="1"/>
  <c r="I395" i="33"/>
  <c r="I394" i="33" s="1"/>
  <c r="H395" i="33"/>
  <c r="G395" i="33"/>
  <c r="F395" i="33"/>
  <c r="F394" i="33" s="1"/>
  <c r="E395" i="33"/>
  <c r="E394" i="33" s="1"/>
  <c r="S394" i="33"/>
  <c r="R394" i="33"/>
  <c r="M394" i="33"/>
  <c r="L394" i="33"/>
  <c r="H394" i="33"/>
  <c r="G394" i="33"/>
  <c r="W393" i="33"/>
  <c r="V393" i="33"/>
  <c r="Q393" i="33"/>
  <c r="U393" i="33" s="1"/>
  <c r="K393" i="33"/>
  <c r="X393" i="33" s="1"/>
  <c r="W392" i="33"/>
  <c r="V392" i="33"/>
  <c r="Q392" i="33"/>
  <c r="U392" i="33" s="1"/>
  <c r="K392" i="33"/>
  <c r="X392" i="33" s="1"/>
  <c r="W391" i="33"/>
  <c r="V391" i="33"/>
  <c r="Q391" i="33"/>
  <c r="U391" i="33" s="1"/>
  <c r="K391" i="33"/>
  <c r="O391" i="33" s="1"/>
  <c r="W390" i="33"/>
  <c r="V390" i="33"/>
  <c r="Q390" i="33"/>
  <c r="U390" i="33" s="1"/>
  <c r="K390" i="33"/>
  <c r="O390" i="33" s="1"/>
  <c r="W389" i="33"/>
  <c r="V389" i="33"/>
  <c r="Q389" i="33"/>
  <c r="K389" i="33"/>
  <c r="X389" i="33" s="1"/>
  <c r="W388" i="33"/>
  <c r="W387" i="33" s="1"/>
  <c r="W386" i="33" s="1"/>
  <c r="V388" i="33"/>
  <c r="Q388" i="33"/>
  <c r="U388" i="33" s="1"/>
  <c r="K388" i="33"/>
  <c r="X388" i="33" s="1"/>
  <c r="T387" i="33"/>
  <c r="S387" i="33"/>
  <c r="S386" i="33" s="1"/>
  <c r="S385" i="33" s="1"/>
  <c r="R387" i="33"/>
  <c r="P387" i="33"/>
  <c r="P386" i="33" s="1"/>
  <c r="N387" i="33"/>
  <c r="M387" i="33"/>
  <c r="L387" i="33"/>
  <c r="J387" i="33"/>
  <c r="J386" i="33" s="1"/>
  <c r="I387" i="33"/>
  <c r="I386" i="33" s="1"/>
  <c r="H387" i="33"/>
  <c r="H386" i="33" s="1"/>
  <c r="H385" i="33" s="1"/>
  <c r="G387" i="33"/>
  <c r="F387" i="33"/>
  <c r="F386" i="33" s="1"/>
  <c r="E387" i="33"/>
  <c r="E386" i="33" s="1"/>
  <c r="E385" i="33" s="1"/>
  <c r="T386" i="33"/>
  <c r="R386" i="33"/>
  <c r="N386" i="33"/>
  <c r="M386" i="33"/>
  <c r="M385" i="33" s="1"/>
  <c r="L386" i="33"/>
  <c r="G386" i="33"/>
  <c r="G385" i="33" s="1"/>
  <c r="X383" i="33"/>
  <c r="W383" i="33"/>
  <c r="V383" i="33"/>
  <c r="U383" i="33"/>
  <c r="W382" i="33"/>
  <c r="V382" i="33"/>
  <c r="Q382" i="33"/>
  <c r="X382" i="33" s="1"/>
  <c r="W381" i="33"/>
  <c r="V381" i="33"/>
  <c r="U381" i="33"/>
  <c r="W380" i="33"/>
  <c r="V380" i="33"/>
  <c r="Q380" i="33"/>
  <c r="X380" i="33" s="1"/>
  <c r="W379" i="33"/>
  <c r="V379" i="33"/>
  <c r="U379" i="33"/>
  <c r="W378" i="33"/>
  <c r="V378" i="33"/>
  <c r="Q378" i="33"/>
  <c r="X378" i="33" s="1"/>
  <c r="W377" i="33"/>
  <c r="V377" i="33"/>
  <c r="U377" i="33"/>
  <c r="W376" i="33"/>
  <c r="V376" i="33"/>
  <c r="Q376" i="33"/>
  <c r="X376" i="33" s="1"/>
  <c r="W375" i="33"/>
  <c r="V375" i="33"/>
  <c r="U375" i="33"/>
  <c r="W374" i="33"/>
  <c r="V374" i="33"/>
  <c r="Q374" i="33"/>
  <c r="X374" i="33" s="1"/>
  <c r="W373" i="33"/>
  <c r="V373" i="33"/>
  <c r="U373" i="33"/>
  <c r="W372" i="33"/>
  <c r="V372" i="33"/>
  <c r="Q372" i="33"/>
  <c r="X372" i="33" s="1"/>
  <c r="W371" i="33"/>
  <c r="V371" i="33"/>
  <c r="U371" i="33"/>
  <c r="W370" i="33"/>
  <c r="V370" i="33"/>
  <c r="Q370" i="33"/>
  <c r="X370" i="33" s="1"/>
  <c r="W369" i="33"/>
  <c r="V369" i="33"/>
  <c r="Q369" i="33"/>
  <c r="U369" i="33" s="1"/>
  <c r="W368" i="33"/>
  <c r="V368" i="33"/>
  <c r="Q368" i="33"/>
  <c r="X368" i="33" s="1"/>
  <c r="W367" i="33"/>
  <c r="V367" i="33"/>
  <c r="Q367" i="33"/>
  <c r="X367" i="33" s="1"/>
  <c r="W366" i="33"/>
  <c r="V366" i="33"/>
  <c r="Q366" i="33"/>
  <c r="X366" i="33" s="1"/>
  <c r="W365" i="33"/>
  <c r="V365" i="33"/>
  <c r="Q365" i="33"/>
  <c r="U365" i="33" s="1"/>
  <c r="W364" i="33"/>
  <c r="V364" i="33"/>
  <c r="Q364" i="33"/>
  <c r="X364" i="33" s="1"/>
  <c r="W363" i="33"/>
  <c r="V363" i="33"/>
  <c r="Q363" i="33"/>
  <c r="X363" i="33" s="1"/>
  <c r="W362" i="33"/>
  <c r="V362" i="33"/>
  <c r="U362" i="33"/>
  <c r="Q362" i="33"/>
  <c r="X362" i="33" s="1"/>
  <c r="W361" i="33"/>
  <c r="V361" i="33"/>
  <c r="Q361" i="33"/>
  <c r="U361" i="33" s="1"/>
  <c r="W360" i="33"/>
  <c r="V360" i="33"/>
  <c r="U360" i="33"/>
  <c r="W359" i="33"/>
  <c r="V359" i="33"/>
  <c r="Q359" i="33"/>
  <c r="U359" i="33" s="1"/>
  <c r="W358" i="33"/>
  <c r="V358" i="33"/>
  <c r="Q358" i="33"/>
  <c r="X358" i="33" s="1"/>
  <c r="W357" i="33"/>
  <c r="V357" i="33"/>
  <c r="Q357" i="33"/>
  <c r="X357" i="33" s="1"/>
  <c r="W356" i="33"/>
  <c r="V356" i="33"/>
  <c r="Q356" i="33"/>
  <c r="X356" i="33" s="1"/>
  <c r="W355" i="33"/>
  <c r="V355" i="33"/>
  <c r="Q355" i="33"/>
  <c r="U355" i="33" s="1"/>
  <c r="W354" i="33"/>
  <c r="V354" i="33"/>
  <c r="Q354" i="33"/>
  <c r="X354" i="33" s="1"/>
  <c r="W353" i="33"/>
  <c r="V353" i="33"/>
  <c r="Q353" i="33"/>
  <c r="X353" i="33" s="1"/>
  <c r="W352" i="33"/>
  <c r="V352" i="33"/>
  <c r="Q352" i="33"/>
  <c r="X352" i="33" s="1"/>
  <c r="W351" i="33"/>
  <c r="V351" i="33"/>
  <c r="Q351" i="33"/>
  <c r="U351" i="33" s="1"/>
  <c r="W350" i="33"/>
  <c r="V350" i="33"/>
  <c r="Q350" i="33"/>
  <c r="X350" i="33" s="1"/>
  <c r="W349" i="33"/>
  <c r="V349" i="33"/>
  <c r="Q349" i="33"/>
  <c r="X349" i="33" s="1"/>
  <c r="W348" i="33"/>
  <c r="V348" i="33"/>
  <c r="U348" i="33"/>
  <c r="Q348" i="33"/>
  <c r="X348" i="33" s="1"/>
  <c r="W347" i="33"/>
  <c r="V347" i="33"/>
  <c r="Q347" i="33"/>
  <c r="U347" i="33" s="1"/>
  <c r="W346" i="33"/>
  <c r="V346" i="33"/>
  <c r="Q346" i="33"/>
  <c r="X346" i="33" s="1"/>
  <c r="W345" i="33"/>
  <c r="V345" i="33"/>
  <c r="Q345" i="33"/>
  <c r="X345" i="33" s="1"/>
  <c r="W344" i="33"/>
  <c r="V344" i="33"/>
  <c r="Q344" i="33"/>
  <c r="X344" i="33" s="1"/>
  <c r="W343" i="33"/>
  <c r="V343" i="33"/>
  <c r="Q343" i="33"/>
  <c r="U343" i="33" s="1"/>
  <c r="W342" i="33"/>
  <c r="V342" i="33"/>
  <c r="Q342" i="33"/>
  <c r="X342" i="33" s="1"/>
  <c r="W341" i="33"/>
  <c r="V341" i="33"/>
  <c r="Q341" i="33"/>
  <c r="X341" i="33" s="1"/>
  <c r="W340" i="33"/>
  <c r="V340" i="33"/>
  <c r="Q340" i="33"/>
  <c r="X340" i="33" s="1"/>
  <c r="W339" i="33"/>
  <c r="V339" i="33"/>
  <c r="Q339" i="33"/>
  <c r="U339" i="33" s="1"/>
  <c r="W338" i="33"/>
  <c r="V338" i="33"/>
  <c r="Q338" i="33"/>
  <c r="X338" i="33" s="1"/>
  <c r="W337" i="33"/>
  <c r="V337" i="33"/>
  <c r="Q337" i="33"/>
  <c r="X337" i="33" s="1"/>
  <c r="W336" i="33"/>
  <c r="V336" i="33"/>
  <c r="Q336" i="33"/>
  <c r="X336" i="33" s="1"/>
  <c r="W335" i="33"/>
  <c r="V335" i="33"/>
  <c r="Q335" i="33"/>
  <c r="U335" i="33" s="1"/>
  <c r="W334" i="33"/>
  <c r="V334" i="33"/>
  <c r="Q334" i="33"/>
  <c r="X334" i="33" s="1"/>
  <c r="W333" i="33"/>
  <c r="V333" i="33"/>
  <c r="Q333" i="33"/>
  <c r="X333" i="33" s="1"/>
  <c r="W332" i="33"/>
  <c r="V332" i="33"/>
  <c r="Q332" i="33"/>
  <c r="X332" i="33" s="1"/>
  <c r="W331" i="33"/>
  <c r="V331" i="33"/>
  <c r="Q331" i="33"/>
  <c r="U331" i="33" s="1"/>
  <c r="W330" i="33"/>
  <c r="V330" i="33"/>
  <c r="Q330" i="33"/>
  <c r="X330" i="33" s="1"/>
  <c r="W329" i="33"/>
  <c r="V329" i="33"/>
  <c r="Q329" i="33"/>
  <c r="X329" i="33" s="1"/>
  <c r="W328" i="33"/>
  <c r="V328" i="33"/>
  <c r="Q328" i="33"/>
  <c r="X328" i="33" s="1"/>
  <c r="W327" i="33"/>
  <c r="V327" i="33"/>
  <c r="Q327" i="33"/>
  <c r="U327" i="33" s="1"/>
  <c r="W326" i="33"/>
  <c r="V326" i="33"/>
  <c r="Q326" i="33"/>
  <c r="X326" i="33" s="1"/>
  <c r="W325" i="33"/>
  <c r="V325" i="33"/>
  <c r="Q325" i="33"/>
  <c r="X325" i="33" s="1"/>
  <c r="W324" i="33"/>
  <c r="V324" i="33"/>
  <c r="Q324" i="33"/>
  <c r="X324" i="33" s="1"/>
  <c r="W323" i="33"/>
  <c r="V323" i="33"/>
  <c r="Q323" i="33"/>
  <c r="U323" i="33" s="1"/>
  <c r="W322" i="33"/>
  <c r="V322" i="33"/>
  <c r="Q322" i="33"/>
  <c r="X322" i="33" s="1"/>
  <c r="W321" i="33"/>
  <c r="V321" i="33"/>
  <c r="Q321" i="33"/>
  <c r="X321" i="33" s="1"/>
  <c r="W320" i="33"/>
  <c r="V320" i="33"/>
  <c r="Q320" i="33"/>
  <c r="X320" i="33" s="1"/>
  <c r="W319" i="33"/>
  <c r="V319" i="33"/>
  <c r="Q319" i="33"/>
  <c r="U319" i="33" s="1"/>
  <c r="W318" i="33"/>
  <c r="V318" i="33"/>
  <c r="Q318" i="33"/>
  <c r="X318" i="33" s="1"/>
  <c r="W317" i="33"/>
  <c r="V317" i="33"/>
  <c r="Q317" i="33"/>
  <c r="X317" i="33" s="1"/>
  <c r="W316" i="33"/>
  <c r="V316" i="33"/>
  <c r="U316" i="33"/>
  <c r="Q316" i="33"/>
  <c r="X316" i="33" s="1"/>
  <c r="W315" i="33"/>
  <c r="V315" i="33"/>
  <c r="Q315" i="33"/>
  <c r="U315" i="33" s="1"/>
  <c r="W314" i="33"/>
  <c r="V314" i="33"/>
  <c r="Q314" i="33"/>
  <c r="X314" i="33" s="1"/>
  <c r="W313" i="33"/>
  <c r="V313" i="33"/>
  <c r="U313" i="33"/>
  <c r="W312" i="33"/>
  <c r="V312" i="33"/>
  <c r="Q312" i="33"/>
  <c r="X312" i="33" s="1"/>
  <c r="W311" i="33"/>
  <c r="V311" i="33"/>
  <c r="Q311" i="33"/>
  <c r="X311" i="33" s="1"/>
  <c r="W310" i="33"/>
  <c r="V310" i="33"/>
  <c r="Q310" i="33"/>
  <c r="X310" i="33" s="1"/>
  <c r="W309" i="33"/>
  <c r="V309" i="33"/>
  <c r="Q309" i="33"/>
  <c r="U309" i="33" s="1"/>
  <c r="W308" i="33"/>
  <c r="V308" i="33"/>
  <c r="Q308" i="33"/>
  <c r="X308" i="33" s="1"/>
  <c r="W307" i="33"/>
  <c r="V307" i="33"/>
  <c r="Q307" i="33"/>
  <c r="X307" i="33" s="1"/>
  <c r="W306" i="33"/>
  <c r="V306" i="33"/>
  <c r="Q306" i="33"/>
  <c r="X306" i="33" s="1"/>
  <c r="W305" i="33"/>
  <c r="V305" i="33"/>
  <c r="Q305" i="33"/>
  <c r="U305" i="33" s="1"/>
  <c r="W304" i="33"/>
  <c r="V304" i="33"/>
  <c r="Q304" i="33"/>
  <c r="X304" i="33" s="1"/>
  <c r="W303" i="33"/>
  <c r="V303" i="33"/>
  <c r="Q303" i="33"/>
  <c r="X303" i="33" s="1"/>
  <c r="W302" i="33"/>
  <c r="V302" i="33"/>
  <c r="Q302" i="33"/>
  <c r="X302" i="33" s="1"/>
  <c r="W301" i="33"/>
  <c r="V301" i="33"/>
  <c r="Q301" i="33"/>
  <c r="U301" i="33" s="1"/>
  <c r="W300" i="33"/>
  <c r="V300" i="33"/>
  <c r="Q300" i="33"/>
  <c r="X300" i="33" s="1"/>
  <c r="W299" i="33"/>
  <c r="V299" i="33"/>
  <c r="Q299" i="33"/>
  <c r="X299" i="33" s="1"/>
  <c r="W298" i="33"/>
  <c r="V298" i="33"/>
  <c r="Q298" i="33"/>
  <c r="X298" i="33" s="1"/>
  <c r="W297" i="33"/>
  <c r="V297" i="33"/>
  <c r="Q297" i="33"/>
  <c r="U297" i="33" s="1"/>
  <c r="W296" i="33"/>
  <c r="V296" i="33"/>
  <c r="Q296" i="33"/>
  <c r="X296" i="33" s="1"/>
  <c r="W295" i="33"/>
  <c r="V295" i="33"/>
  <c r="Q295" i="33"/>
  <c r="X295" i="33" s="1"/>
  <c r="W294" i="33"/>
  <c r="V294" i="33"/>
  <c r="U294" i="33"/>
  <c r="W293" i="33"/>
  <c r="V293" i="33"/>
  <c r="Q293" i="33"/>
  <c r="X293" i="33" s="1"/>
  <c r="W292" i="33"/>
  <c r="V292" i="33"/>
  <c r="Q292" i="33"/>
  <c r="X292" i="33" s="1"/>
  <c r="W291" i="33"/>
  <c r="V291" i="33"/>
  <c r="Q291" i="33"/>
  <c r="U291" i="33" s="1"/>
  <c r="W290" i="33"/>
  <c r="V290" i="33"/>
  <c r="Q290" i="33"/>
  <c r="X290" i="33" s="1"/>
  <c r="W289" i="33"/>
  <c r="V289" i="33"/>
  <c r="Q289" i="33"/>
  <c r="X289" i="33" s="1"/>
  <c r="W288" i="33"/>
  <c r="V288" i="33"/>
  <c r="Q288" i="33"/>
  <c r="X288" i="33" s="1"/>
  <c r="W287" i="33"/>
  <c r="V287" i="33"/>
  <c r="Q287" i="33"/>
  <c r="U287" i="33" s="1"/>
  <c r="W286" i="33"/>
  <c r="V286" i="33"/>
  <c r="Q286" i="33"/>
  <c r="X286" i="33" s="1"/>
  <c r="W285" i="33"/>
  <c r="V285" i="33"/>
  <c r="Q285" i="33"/>
  <c r="X285" i="33" s="1"/>
  <c r="W284" i="33"/>
  <c r="V284" i="33"/>
  <c r="Q284" i="33"/>
  <c r="X284" i="33" s="1"/>
  <c r="W283" i="33"/>
  <c r="V283" i="33"/>
  <c r="Q283" i="33"/>
  <c r="U283" i="33" s="1"/>
  <c r="W282" i="33"/>
  <c r="V282" i="33"/>
  <c r="Q282" i="33"/>
  <c r="X282" i="33" s="1"/>
  <c r="W281" i="33"/>
  <c r="V281" i="33"/>
  <c r="Q281" i="33"/>
  <c r="X281" i="33" s="1"/>
  <c r="W280" i="33"/>
  <c r="V280" i="33"/>
  <c r="Q280" i="33"/>
  <c r="X280" i="33" s="1"/>
  <c r="W279" i="33"/>
  <c r="V279" i="33"/>
  <c r="Q279" i="33"/>
  <c r="U279" i="33" s="1"/>
  <c r="W278" i="33"/>
  <c r="V278" i="33"/>
  <c r="Q278" i="33"/>
  <c r="X278" i="33" s="1"/>
  <c r="W277" i="33"/>
  <c r="V277" i="33"/>
  <c r="Q277" i="33"/>
  <c r="X277" i="33" s="1"/>
  <c r="W276" i="33"/>
  <c r="V276" i="33"/>
  <c r="Q276" i="33"/>
  <c r="U276" i="33" s="1"/>
  <c r="W275" i="33"/>
  <c r="V275" i="33"/>
  <c r="Q275" i="33"/>
  <c r="U275" i="33" s="1"/>
  <c r="W274" i="33"/>
  <c r="V274" i="33"/>
  <c r="Q274" i="33"/>
  <c r="X274" i="33" s="1"/>
  <c r="W273" i="33"/>
  <c r="V273" i="33"/>
  <c r="Q273" i="33"/>
  <c r="X273" i="33" s="1"/>
  <c r="W272" i="33"/>
  <c r="V272" i="33"/>
  <c r="Q272" i="33"/>
  <c r="U272" i="33" s="1"/>
  <c r="X271" i="33"/>
  <c r="W271" i="33"/>
  <c r="V271" i="33"/>
  <c r="Q271" i="33"/>
  <c r="U271" i="33" s="1"/>
  <c r="W270" i="33"/>
  <c r="V270" i="33"/>
  <c r="Q270" i="33"/>
  <c r="X270" i="33" s="1"/>
  <c r="W269" i="33"/>
  <c r="V269" i="33"/>
  <c r="Q269" i="33"/>
  <c r="X269" i="33" s="1"/>
  <c r="W268" i="33"/>
  <c r="V268" i="33"/>
  <c r="Q268" i="33"/>
  <c r="U268" i="33" s="1"/>
  <c r="W267" i="33"/>
  <c r="V267" i="33"/>
  <c r="Q267" i="33"/>
  <c r="U267" i="33" s="1"/>
  <c r="W266" i="33"/>
  <c r="V266" i="33"/>
  <c r="Q266" i="33"/>
  <c r="X266" i="33" s="1"/>
  <c r="W265" i="33"/>
  <c r="V265" i="33"/>
  <c r="Q265" i="33"/>
  <c r="X265" i="33" s="1"/>
  <c r="W264" i="33"/>
  <c r="V264" i="33"/>
  <c r="Q264" i="33"/>
  <c r="U264" i="33" s="1"/>
  <c r="X263" i="33"/>
  <c r="W263" i="33"/>
  <c r="V263" i="33"/>
  <c r="Q263" i="33"/>
  <c r="U263" i="33" s="1"/>
  <c r="W262" i="33"/>
  <c r="V262" i="33"/>
  <c r="Q262" i="33"/>
  <c r="X262" i="33" s="1"/>
  <c r="W261" i="33"/>
  <c r="V261" i="33"/>
  <c r="Q261" i="33"/>
  <c r="X261" i="33" s="1"/>
  <c r="W260" i="33"/>
  <c r="V260" i="33"/>
  <c r="Q260" i="33"/>
  <c r="U260" i="33" s="1"/>
  <c r="W259" i="33"/>
  <c r="V259" i="33"/>
  <c r="Q259" i="33"/>
  <c r="U259" i="33" s="1"/>
  <c r="W258" i="33"/>
  <c r="V258" i="33"/>
  <c r="Q258" i="33"/>
  <c r="X258" i="33" s="1"/>
  <c r="W257" i="33"/>
  <c r="V257" i="33"/>
  <c r="Q257" i="33"/>
  <c r="X257" i="33" s="1"/>
  <c r="W256" i="33"/>
  <c r="V256" i="33"/>
  <c r="Q256" i="33"/>
  <c r="U256" i="33" s="1"/>
  <c r="X255" i="33"/>
  <c r="W255" i="33"/>
  <c r="V255" i="33"/>
  <c r="Q255" i="33"/>
  <c r="U255" i="33" s="1"/>
  <c r="W254" i="33"/>
  <c r="V254" i="33"/>
  <c r="U254" i="33"/>
  <c r="W253" i="33"/>
  <c r="V253" i="33"/>
  <c r="Q253" i="33"/>
  <c r="U253" i="33" s="1"/>
  <c r="W252" i="33"/>
  <c r="V252" i="33"/>
  <c r="Q252" i="33"/>
  <c r="X252" i="33" s="1"/>
  <c r="W251" i="33"/>
  <c r="V251" i="33"/>
  <c r="Q251" i="33"/>
  <c r="X251" i="33" s="1"/>
  <c r="W250" i="33"/>
  <c r="V250" i="33"/>
  <c r="Q250" i="33"/>
  <c r="U250" i="33" s="1"/>
  <c r="W249" i="33"/>
  <c r="V249" i="33"/>
  <c r="U249" i="33"/>
  <c r="W248" i="33"/>
  <c r="V248" i="33"/>
  <c r="Q248" i="33"/>
  <c r="U248" i="33" s="1"/>
  <c r="X247" i="33"/>
  <c r="W247" i="33"/>
  <c r="V247" i="33"/>
  <c r="Q247" i="33"/>
  <c r="U247" i="33" s="1"/>
  <c r="W246" i="33"/>
  <c r="V246" i="33"/>
  <c r="Q246" i="33"/>
  <c r="X246" i="33" s="1"/>
  <c r="W245" i="33"/>
  <c r="V245" i="33"/>
  <c r="Q245" i="33"/>
  <c r="X245" i="33" s="1"/>
  <c r="W244" i="33"/>
  <c r="V244" i="33"/>
  <c r="Q244" i="33"/>
  <c r="U244" i="33" s="1"/>
  <c r="W243" i="33"/>
  <c r="V243" i="33"/>
  <c r="Q243" i="33"/>
  <c r="U243" i="33" s="1"/>
  <c r="W242" i="33"/>
  <c r="V242" i="33"/>
  <c r="U242" i="33"/>
  <c r="W241" i="33"/>
  <c r="V241" i="33"/>
  <c r="Q241" i="33"/>
  <c r="U241" i="33" s="1"/>
  <c r="W240" i="33"/>
  <c r="V240" i="33"/>
  <c r="Q240" i="33"/>
  <c r="X240" i="33" s="1"/>
  <c r="W239" i="33"/>
  <c r="V239" i="33"/>
  <c r="Q239" i="33"/>
  <c r="X239" i="33" s="1"/>
  <c r="W238" i="33"/>
  <c r="V238" i="33"/>
  <c r="Q238" i="33"/>
  <c r="U238" i="33" s="1"/>
  <c r="W237" i="33"/>
  <c r="V237" i="33"/>
  <c r="U237" i="33"/>
  <c r="W236" i="33"/>
  <c r="V236" i="33"/>
  <c r="Q236" i="33"/>
  <c r="U236" i="33" s="1"/>
  <c r="W235" i="33"/>
  <c r="V235" i="33"/>
  <c r="Q235" i="33"/>
  <c r="U235" i="33" s="1"/>
  <c r="W234" i="33"/>
  <c r="V234" i="33"/>
  <c r="U234" i="33"/>
  <c r="Q234" i="33"/>
  <c r="X234" i="33" s="1"/>
  <c r="W233" i="33"/>
  <c r="V233" i="33"/>
  <c r="U233" i="33"/>
  <c r="Q233" i="33"/>
  <c r="X233" i="33" s="1"/>
  <c r="W232" i="33"/>
  <c r="V232" i="33"/>
  <c r="Q232" i="33"/>
  <c r="W231" i="33"/>
  <c r="V231" i="33"/>
  <c r="Q231" i="33"/>
  <c r="U231" i="33" s="1"/>
  <c r="W230" i="33"/>
  <c r="V230" i="33"/>
  <c r="Q230" i="33"/>
  <c r="X230" i="33" s="1"/>
  <c r="W229" i="33"/>
  <c r="V229" i="33"/>
  <c r="Q229" i="33"/>
  <c r="X229" i="33" s="1"/>
  <c r="W228" i="33"/>
  <c r="V228" i="33"/>
  <c r="Q228" i="33"/>
  <c r="X228" i="33" s="1"/>
  <c r="W227" i="33"/>
  <c r="V227" i="33"/>
  <c r="Q227" i="33"/>
  <c r="U227" i="33" s="1"/>
  <c r="W226" i="33"/>
  <c r="V226" i="33"/>
  <c r="Q226" i="33"/>
  <c r="X226" i="33" s="1"/>
  <c r="W225" i="33"/>
  <c r="V225" i="33"/>
  <c r="Q225" i="33"/>
  <c r="X225" i="33" s="1"/>
  <c r="W224" i="33"/>
  <c r="V224" i="33"/>
  <c r="U224" i="33"/>
  <c r="W223" i="33"/>
  <c r="V223" i="33"/>
  <c r="Q223" i="33"/>
  <c r="X223" i="33" s="1"/>
  <c r="W222" i="33"/>
  <c r="V222" i="33"/>
  <c r="U222" i="33"/>
  <c r="W221" i="33"/>
  <c r="V221" i="33"/>
  <c r="Q221" i="33"/>
  <c r="X221" i="33" s="1"/>
  <c r="W220" i="33"/>
  <c r="V220" i="33"/>
  <c r="Q220" i="33"/>
  <c r="X220" i="33" s="1"/>
  <c r="W219" i="33"/>
  <c r="V219" i="33"/>
  <c r="Q219" i="33"/>
  <c r="U219" i="33" s="1"/>
  <c r="W218" i="33"/>
  <c r="V218" i="33"/>
  <c r="Q218" i="33"/>
  <c r="X218" i="33" s="1"/>
  <c r="W217" i="33"/>
  <c r="V217" i="33"/>
  <c r="Q217" i="33"/>
  <c r="X217" i="33" s="1"/>
  <c r="W216" i="33"/>
  <c r="V216" i="33"/>
  <c r="Q216" i="33"/>
  <c r="X216" i="33" s="1"/>
  <c r="W215" i="33"/>
  <c r="V215" i="33"/>
  <c r="U215" i="33"/>
  <c r="W214" i="33"/>
  <c r="V214" i="33"/>
  <c r="Q214" i="33"/>
  <c r="X214" i="33" s="1"/>
  <c r="W213" i="33"/>
  <c r="V213" i="33"/>
  <c r="Q213" i="33"/>
  <c r="U213" i="33" s="1"/>
  <c r="W212" i="33"/>
  <c r="V212" i="33"/>
  <c r="Q212" i="33"/>
  <c r="U212" i="33" s="1"/>
  <c r="W211" i="33"/>
  <c r="V211" i="33"/>
  <c r="Q211" i="33"/>
  <c r="X211" i="33" s="1"/>
  <c r="W210" i="33"/>
  <c r="V210" i="33"/>
  <c r="U210" i="33"/>
  <c r="W209" i="33"/>
  <c r="V209" i="33"/>
  <c r="Q209" i="33"/>
  <c r="X209" i="33" s="1"/>
  <c r="W208" i="33"/>
  <c r="V208" i="33"/>
  <c r="U208" i="33"/>
  <c r="W207" i="33"/>
  <c r="V207" i="33"/>
  <c r="Q207" i="33"/>
  <c r="X207" i="33" s="1"/>
  <c r="W206" i="33"/>
  <c r="V206" i="33"/>
  <c r="Q206" i="33"/>
  <c r="X206" i="33" s="1"/>
  <c r="W205" i="33"/>
  <c r="V205" i="33"/>
  <c r="U205" i="33"/>
  <c r="W204" i="33"/>
  <c r="V204" i="33"/>
  <c r="Q204" i="33"/>
  <c r="X204" i="33" s="1"/>
  <c r="W203" i="33"/>
  <c r="V203" i="33"/>
  <c r="Q203" i="33"/>
  <c r="X203" i="33" s="1"/>
  <c r="W202" i="33"/>
  <c r="V202" i="33"/>
  <c r="Q202" i="33"/>
  <c r="U202" i="33" s="1"/>
  <c r="W201" i="33"/>
  <c r="V201" i="33"/>
  <c r="Q201" i="33"/>
  <c r="X201" i="33" s="1"/>
  <c r="W200" i="33"/>
  <c r="V200" i="33"/>
  <c r="Q200" i="33"/>
  <c r="X200" i="33" s="1"/>
  <c r="W199" i="33"/>
  <c r="V199" i="33"/>
  <c r="Q199" i="33"/>
  <c r="X199" i="33" s="1"/>
  <c r="W198" i="33"/>
  <c r="V198" i="33"/>
  <c r="Q198" i="33"/>
  <c r="U198" i="33" s="1"/>
  <c r="W197" i="33"/>
  <c r="V197" i="33"/>
  <c r="Q197" i="33"/>
  <c r="X197" i="33" s="1"/>
  <c r="W196" i="33"/>
  <c r="V196" i="33"/>
  <c r="Q196" i="33"/>
  <c r="X196" i="33" s="1"/>
  <c r="W195" i="33"/>
  <c r="V195" i="33"/>
  <c r="Q195" i="33"/>
  <c r="X195" i="33" s="1"/>
  <c r="W194" i="33"/>
  <c r="V194" i="33"/>
  <c r="Q194" i="33"/>
  <c r="U194" i="33" s="1"/>
  <c r="W193" i="33"/>
  <c r="V193" i="33"/>
  <c r="Q193" i="33"/>
  <c r="X193" i="33" s="1"/>
  <c r="W192" i="33"/>
  <c r="V192" i="33"/>
  <c r="Q192" i="33"/>
  <c r="X192" i="33" s="1"/>
  <c r="W191" i="33"/>
  <c r="V191" i="33"/>
  <c r="Q191" i="33"/>
  <c r="X191" i="33" s="1"/>
  <c r="W190" i="33"/>
  <c r="V190" i="33"/>
  <c r="Q190" i="33"/>
  <c r="U190" i="33" s="1"/>
  <c r="W189" i="33"/>
  <c r="V189" i="33"/>
  <c r="Q189" i="33"/>
  <c r="X189" i="33" s="1"/>
  <c r="W188" i="33"/>
  <c r="V188" i="33"/>
  <c r="Q188" i="33"/>
  <c r="X188" i="33" s="1"/>
  <c r="W187" i="33"/>
  <c r="V187" i="33"/>
  <c r="Q187" i="33"/>
  <c r="X187" i="33" s="1"/>
  <c r="W186" i="33"/>
  <c r="V186" i="33"/>
  <c r="Q186" i="33"/>
  <c r="U186" i="33" s="1"/>
  <c r="W185" i="33"/>
  <c r="V185" i="33"/>
  <c r="Q185" i="33"/>
  <c r="X185" i="33" s="1"/>
  <c r="W184" i="33"/>
  <c r="V184" i="33"/>
  <c r="U184" i="33"/>
  <c r="W183" i="33"/>
  <c r="V183" i="33"/>
  <c r="U183" i="33"/>
  <c r="Q183" i="33"/>
  <c r="X183" i="33" s="1"/>
  <c r="W182" i="33"/>
  <c r="V182" i="33"/>
  <c r="Q182" i="33"/>
  <c r="X182" i="33" s="1"/>
  <c r="W181" i="33"/>
  <c r="V181" i="33"/>
  <c r="Q181" i="33"/>
  <c r="X181" i="33" s="1"/>
  <c r="W180" i="33"/>
  <c r="V180" i="33"/>
  <c r="Q180" i="33"/>
  <c r="U180" i="33" s="1"/>
  <c r="W179" i="33"/>
  <c r="V179" i="33"/>
  <c r="Q179" i="33"/>
  <c r="X179" i="33" s="1"/>
  <c r="W178" i="33"/>
  <c r="V178" i="33"/>
  <c r="Q178" i="33"/>
  <c r="X178" i="33" s="1"/>
  <c r="W177" i="33"/>
  <c r="V177" i="33"/>
  <c r="Q177" i="33"/>
  <c r="X177" i="33" s="1"/>
  <c r="W176" i="33"/>
  <c r="V176" i="33"/>
  <c r="Q176" i="33"/>
  <c r="U176" i="33" s="1"/>
  <c r="W175" i="33"/>
  <c r="V175" i="33"/>
  <c r="Q175" i="33"/>
  <c r="X175" i="33" s="1"/>
  <c r="W174" i="33"/>
  <c r="V174" i="33"/>
  <c r="Q174" i="33"/>
  <c r="X174" i="33" s="1"/>
  <c r="W173" i="33"/>
  <c r="V173" i="33"/>
  <c r="Q173" i="33"/>
  <c r="X173" i="33" s="1"/>
  <c r="W172" i="33"/>
  <c r="V172" i="33"/>
  <c r="Q172" i="33"/>
  <c r="U172" i="33" s="1"/>
  <c r="W171" i="33"/>
  <c r="V171" i="33"/>
  <c r="Q171" i="33"/>
  <c r="X171" i="33" s="1"/>
  <c r="W170" i="33"/>
  <c r="V170" i="33"/>
  <c r="Q170" i="33"/>
  <c r="X170" i="33" s="1"/>
  <c r="W169" i="33"/>
  <c r="V169" i="33"/>
  <c r="Q169" i="33"/>
  <c r="X169" i="33" s="1"/>
  <c r="W168" i="33"/>
  <c r="V168" i="33"/>
  <c r="Q168" i="33"/>
  <c r="U168" i="33" s="1"/>
  <c r="W167" i="33"/>
  <c r="V167" i="33"/>
  <c r="Q167" i="33"/>
  <c r="X167" i="33" s="1"/>
  <c r="W166" i="33"/>
  <c r="V166" i="33"/>
  <c r="U166" i="33"/>
  <c r="W165" i="33"/>
  <c r="V165" i="33"/>
  <c r="Q165" i="33"/>
  <c r="X165" i="33" s="1"/>
  <c r="W164" i="33"/>
  <c r="V164" i="33"/>
  <c r="Q164" i="33"/>
  <c r="X164" i="33" s="1"/>
  <c r="W163" i="33"/>
  <c r="V163" i="33"/>
  <c r="Q163" i="33"/>
  <c r="X163" i="33" s="1"/>
  <c r="W162" i="33"/>
  <c r="V162" i="33"/>
  <c r="Q162" i="33"/>
  <c r="U162" i="33" s="1"/>
  <c r="W161" i="33"/>
  <c r="V161" i="33"/>
  <c r="Q161" i="33"/>
  <c r="X161" i="33" s="1"/>
  <c r="W160" i="33"/>
  <c r="V160" i="33"/>
  <c r="Q160" i="33"/>
  <c r="X160" i="33" s="1"/>
  <c r="W159" i="33"/>
  <c r="V159" i="33"/>
  <c r="U159" i="33"/>
  <c r="W158" i="33"/>
  <c r="V158" i="33"/>
  <c r="Q158" i="33"/>
  <c r="X158" i="33" s="1"/>
  <c r="W157" i="33"/>
  <c r="V157" i="33"/>
  <c r="Q157" i="33"/>
  <c r="X157" i="33" s="1"/>
  <c r="X156" i="33"/>
  <c r="W156" i="33"/>
  <c r="V156" i="33"/>
  <c r="U156" i="33"/>
  <c r="X155" i="33"/>
  <c r="W155" i="33"/>
  <c r="V155" i="33"/>
  <c r="U155" i="33"/>
  <c r="X154" i="33"/>
  <c r="W154" i="33"/>
  <c r="V154" i="33"/>
  <c r="U154" i="33"/>
  <c r="W153" i="33"/>
  <c r="V153" i="33"/>
  <c r="Q153" i="33"/>
  <c r="U153" i="33" s="1"/>
  <c r="W152" i="33"/>
  <c r="V152" i="33"/>
  <c r="U152" i="33"/>
  <c r="W151" i="33"/>
  <c r="V151" i="33"/>
  <c r="Q151" i="33"/>
  <c r="U151" i="33" s="1"/>
  <c r="W150" i="33"/>
  <c r="V150" i="33"/>
  <c r="Q150" i="33"/>
  <c r="W149" i="33"/>
  <c r="V149" i="33"/>
  <c r="U149" i="33"/>
  <c r="W148" i="33"/>
  <c r="V148" i="33"/>
  <c r="Q148" i="33"/>
  <c r="X148" i="33" s="1"/>
  <c r="W147" i="33"/>
  <c r="V147" i="33"/>
  <c r="U147" i="33"/>
  <c r="W146" i="33"/>
  <c r="V146" i="33"/>
  <c r="Q146" i="33"/>
  <c r="X146" i="33" s="1"/>
  <c r="W145" i="33"/>
  <c r="V145" i="33"/>
  <c r="Q145" i="33"/>
  <c r="X145" i="33" s="1"/>
  <c r="W144" i="33"/>
  <c r="V144" i="33"/>
  <c r="Q144" i="33"/>
  <c r="X144" i="33" s="1"/>
  <c r="W143" i="33"/>
  <c r="V143" i="33"/>
  <c r="Q143" i="33"/>
  <c r="U143" i="33" s="1"/>
  <c r="W142" i="33"/>
  <c r="V142" i="33"/>
  <c r="Q142" i="33"/>
  <c r="W141" i="33"/>
  <c r="V141" i="33"/>
  <c r="U141" i="33"/>
  <c r="W140" i="33"/>
  <c r="V140" i="33"/>
  <c r="Q140" i="33"/>
  <c r="X140" i="33" s="1"/>
  <c r="W139" i="33"/>
  <c r="V139" i="33"/>
  <c r="Q139" i="33"/>
  <c r="X139" i="33" s="1"/>
  <c r="W138" i="33"/>
  <c r="V138" i="33"/>
  <c r="Q138" i="33"/>
  <c r="X138" i="33" s="1"/>
  <c r="W137" i="33"/>
  <c r="V137" i="33"/>
  <c r="Q137" i="33"/>
  <c r="W136" i="33"/>
  <c r="V136" i="33"/>
  <c r="U136" i="33"/>
  <c r="Q136" i="33"/>
  <c r="X136" i="33" s="1"/>
  <c r="W135" i="33"/>
  <c r="V135" i="33"/>
  <c r="Q135" i="33"/>
  <c r="X135" i="33" s="1"/>
  <c r="W134" i="33"/>
  <c r="V134" i="33"/>
  <c r="Q134" i="33"/>
  <c r="U134" i="33" s="1"/>
  <c r="T133" i="33"/>
  <c r="S133" i="33"/>
  <c r="R133" i="33"/>
  <c r="P133" i="33"/>
  <c r="O133" i="33"/>
  <c r="N133" i="33"/>
  <c r="M133" i="33"/>
  <c r="L133" i="33"/>
  <c r="K133" i="33"/>
  <c r="J133" i="33"/>
  <c r="I133" i="33"/>
  <c r="H133" i="33"/>
  <c r="G133" i="33"/>
  <c r="F133" i="33"/>
  <c r="E133" i="33"/>
  <c r="W132" i="33"/>
  <c r="V132" i="33"/>
  <c r="Q132" i="33"/>
  <c r="X132" i="33" s="1"/>
  <c r="W131" i="33"/>
  <c r="V131" i="33"/>
  <c r="Q131" i="33"/>
  <c r="U131" i="33" s="1"/>
  <c r="W130" i="33"/>
  <c r="V130" i="33"/>
  <c r="Q130" i="33"/>
  <c r="X130" i="33" s="1"/>
  <c r="W129" i="33"/>
  <c r="V129" i="33"/>
  <c r="Q129" i="33"/>
  <c r="X129" i="33" s="1"/>
  <c r="W128" i="33"/>
  <c r="V128" i="33"/>
  <c r="Q128" i="33"/>
  <c r="X128" i="33" s="1"/>
  <c r="W127" i="33"/>
  <c r="V127" i="33"/>
  <c r="Q127" i="33"/>
  <c r="U127" i="33" s="1"/>
  <c r="W126" i="33"/>
  <c r="V126" i="33"/>
  <c r="Q126" i="33"/>
  <c r="W125" i="33"/>
  <c r="V125" i="33"/>
  <c r="Q125" i="33"/>
  <c r="X125" i="33" s="1"/>
  <c r="W124" i="33"/>
  <c r="V124" i="33"/>
  <c r="Q124" i="33"/>
  <c r="X124" i="33" s="1"/>
  <c r="W123" i="33"/>
  <c r="V123" i="33"/>
  <c r="Q123" i="33"/>
  <c r="U123" i="33" s="1"/>
  <c r="W122" i="33"/>
  <c r="V122" i="33"/>
  <c r="Q122" i="33"/>
  <c r="X122" i="33" s="1"/>
  <c r="W121" i="33"/>
  <c r="V121" i="33"/>
  <c r="Q121" i="33"/>
  <c r="X121" i="33" s="1"/>
  <c r="W120" i="33"/>
  <c r="V120" i="33"/>
  <c r="Q120" i="33"/>
  <c r="X120" i="33" s="1"/>
  <c r="W119" i="33"/>
  <c r="V119" i="33"/>
  <c r="Q119" i="33"/>
  <c r="U119" i="33" s="1"/>
  <c r="W118" i="33"/>
  <c r="V118" i="33"/>
  <c r="Q118" i="33"/>
  <c r="W117" i="33"/>
  <c r="V117" i="33"/>
  <c r="Q117" i="33"/>
  <c r="X117" i="33" s="1"/>
  <c r="W116" i="33"/>
  <c r="V116" i="33"/>
  <c r="Q116" i="33"/>
  <c r="X116" i="33" s="1"/>
  <c r="W115" i="33"/>
  <c r="V115" i="33"/>
  <c r="Q115" i="33"/>
  <c r="U115" i="33" s="1"/>
  <c r="W114" i="33"/>
  <c r="V114" i="33"/>
  <c r="Q114" i="33"/>
  <c r="X114" i="33" s="1"/>
  <c r="T113" i="33"/>
  <c r="S113" i="33"/>
  <c r="R113" i="33"/>
  <c r="P113" i="33"/>
  <c r="O113" i="33"/>
  <c r="N113" i="33"/>
  <c r="M113" i="33"/>
  <c r="L113" i="33"/>
  <c r="K113" i="33"/>
  <c r="J113" i="33"/>
  <c r="I113" i="33"/>
  <c r="H113" i="33"/>
  <c r="G113" i="33"/>
  <c r="F113" i="33"/>
  <c r="E113" i="33"/>
  <c r="W112" i="33"/>
  <c r="V112" i="33"/>
  <c r="Q112" i="33"/>
  <c r="X112" i="33" s="1"/>
  <c r="W111" i="33"/>
  <c r="V111" i="33"/>
  <c r="Q111" i="33"/>
  <c r="X111" i="33" s="1"/>
  <c r="W110" i="33"/>
  <c r="V110" i="33"/>
  <c r="Q110" i="33"/>
  <c r="U110" i="33" s="1"/>
  <c r="W109" i="33"/>
  <c r="V109" i="33"/>
  <c r="Q109" i="33"/>
  <c r="W108" i="33"/>
  <c r="V108" i="33"/>
  <c r="Q108" i="33"/>
  <c r="X108" i="33" s="1"/>
  <c r="W107" i="33"/>
  <c r="V107" i="33"/>
  <c r="Q107" i="33"/>
  <c r="X107" i="33" s="1"/>
  <c r="W106" i="33"/>
  <c r="V106" i="33"/>
  <c r="Q106" i="33"/>
  <c r="U106" i="33" s="1"/>
  <c r="T105" i="33"/>
  <c r="T104" i="33" s="1"/>
  <c r="T103" i="33" s="1"/>
  <c r="S105" i="33"/>
  <c r="S104" i="33" s="1"/>
  <c r="S103" i="33" s="1"/>
  <c r="R105" i="33"/>
  <c r="P105" i="33"/>
  <c r="P104" i="33" s="1"/>
  <c r="P103" i="33" s="1"/>
  <c r="O105" i="33"/>
  <c r="O104" i="33" s="1"/>
  <c r="O103" i="33" s="1"/>
  <c r="N105" i="33"/>
  <c r="M105" i="33"/>
  <c r="L105" i="33"/>
  <c r="L104" i="33" s="1"/>
  <c r="L103" i="33" s="1"/>
  <c r="K105" i="33"/>
  <c r="K104" i="33" s="1"/>
  <c r="K103" i="33" s="1"/>
  <c r="J105" i="33"/>
  <c r="I105" i="33"/>
  <c r="H105" i="33"/>
  <c r="H104" i="33" s="1"/>
  <c r="H103" i="33" s="1"/>
  <c r="G105" i="33"/>
  <c r="G104" i="33" s="1"/>
  <c r="G103" i="33" s="1"/>
  <c r="F105" i="33"/>
  <c r="E105" i="33"/>
  <c r="R104" i="33"/>
  <c r="R103" i="33" s="1"/>
  <c r="N104" i="33"/>
  <c r="M104" i="33"/>
  <c r="M103" i="33" s="1"/>
  <c r="J104" i="33"/>
  <c r="I104" i="33"/>
  <c r="F104" i="33"/>
  <c r="F103" i="33" s="1"/>
  <c r="E104" i="33"/>
  <c r="E103" i="33" s="1"/>
  <c r="N103" i="33"/>
  <c r="J103" i="33"/>
  <c r="I103" i="33"/>
  <c r="W102" i="33"/>
  <c r="W101" i="33" s="1"/>
  <c r="W100" i="33" s="1"/>
  <c r="V102" i="33"/>
  <c r="V101" i="33" s="1"/>
  <c r="Q102" i="33"/>
  <c r="X102" i="33" s="1"/>
  <c r="X101" i="33" s="1"/>
  <c r="X100" i="33" s="1"/>
  <c r="T101" i="33"/>
  <c r="T100" i="33" s="1"/>
  <c r="S101" i="33"/>
  <c r="R101" i="33"/>
  <c r="Q101" i="33"/>
  <c r="P101" i="33"/>
  <c r="P100" i="33" s="1"/>
  <c r="P95" i="33" s="1"/>
  <c r="O101" i="33"/>
  <c r="O100" i="33" s="1"/>
  <c r="N101" i="33"/>
  <c r="M101" i="33"/>
  <c r="M100" i="33" s="1"/>
  <c r="L101" i="33"/>
  <c r="L100" i="33" s="1"/>
  <c r="K101" i="33"/>
  <c r="K100" i="33" s="1"/>
  <c r="J101" i="33"/>
  <c r="I101" i="33"/>
  <c r="H101" i="33"/>
  <c r="H100" i="33" s="1"/>
  <c r="G101" i="33"/>
  <c r="G100" i="33" s="1"/>
  <c r="F101" i="33"/>
  <c r="E101" i="33"/>
  <c r="V100" i="33"/>
  <c r="S100" i="33"/>
  <c r="R100" i="33"/>
  <c r="Q100" i="33"/>
  <c r="N100" i="33"/>
  <c r="J100" i="33"/>
  <c r="I100" i="33"/>
  <c r="F100" i="33"/>
  <c r="E100" i="33"/>
  <c r="W99" i="33"/>
  <c r="V99" i="33"/>
  <c r="Q99" i="33"/>
  <c r="X99" i="33" s="1"/>
  <c r="W98" i="33"/>
  <c r="V98" i="33"/>
  <c r="Q98" i="33"/>
  <c r="X98" i="33" s="1"/>
  <c r="T97" i="33"/>
  <c r="T96" i="33" s="1"/>
  <c r="S97" i="33"/>
  <c r="S96" i="33" s="1"/>
  <c r="S95" i="33" s="1"/>
  <c r="R97" i="33"/>
  <c r="R96" i="33" s="1"/>
  <c r="P97" i="33"/>
  <c r="P96" i="33" s="1"/>
  <c r="O97" i="33"/>
  <c r="O96" i="33" s="1"/>
  <c r="N97" i="33"/>
  <c r="N96" i="33" s="1"/>
  <c r="M97" i="33"/>
  <c r="M96" i="33" s="1"/>
  <c r="L97" i="33"/>
  <c r="L96" i="33" s="1"/>
  <c r="K97" i="33"/>
  <c r="K96" i="33" s="1"/>
  <c r="J97" i="33"/>
  <c r="I97" i="33"/>
  <c r="I96" i="33" s="1"/>
  <c r="I95" i="33" s="1"/>
  <c r="H97" i="33"/>
  <c r="H96" i="33" s="1"/>
  <c r="G97" i="33"/>
  <c r="G96" i="33" s="1"/>
  <c r="F97" i="33"/>
  <c r="E97" i="33"/>
  <c r="E96" i="33" s="1"/>
  <c r="E95" i="33" s="1"/>
  <c r="J96" i="33"/>
  <c r="F96" i="33"/>
  <c r="W94" i="33"/>
  <c r="V94" i="33"/>
  <c r="Q94" i="33"/>
  <c r="W93" i="33"/>
  <c r="V93" i="33"/>
  <c r="Q93" i="33"/>
  <c r="X93" i="33" s="1"/>
  <c r="W92" i="33"/>
  <c r="W91" i="33" s="1"/>
  <c r="W90" i="33" s="1"/>
  <c r="W89" i="33" s="1"/>
  <c r="V92" i="33"/>
  <c r="Q92" i="33"/>
  <c r="X92" i="33" s="1"/>
  <c r="T91" i="33"/>
  <c r="T90" i="33" s="1"/>
  <c r="T89" i="33" s="1"/>
  <c r="S91" i="33"/>
  <c r="S90" i="33" s="1"/>
  <c r="S89" i="33" s="1"/>
  <c r="R91" i="33"/>
  <c r="P91" i="33"/>
  <c r="P90" i="33" s="1"/>
  <c r="P89" i="33" s="1"/>
  <c r="O91" i="33"/>
  <c r="O90" i="33" s="1"/>
  <c r="O89" i="33" s="1"/>
  <c r="N91" i="33"/>
  <c r="N90" i="33" s="1"/>
  <c r="N89" i="33" s="1"/>
  <c r="M91" i="33"/>
  <c r="L91" i="33"/>
  <c r="L90" i="33" s="1"/>
  <c r="L89" i="33" s="1"/>
  <c r="K91" i="33"/>
  <c r="K90" i="33" s="1"/>
  <c r="K89" i="33" s="1"/>
  <c r="J91" i="33"/>
  <c r="J90" i="33" s="1"/>
  <c r="J89" i="33" s="1"/>
  <c r="I91" i="33"/>
  <c r="H91" i="33"/>
  <c r="H90" i="33" s="1"/>
  <c r="H89" i="33" s="1"/>
  <c r="G91" i="33"/>
  <c r="G90" i="33" s="1"/>
  <c r="G89" i="33" s="1"/>
  <c r="F91" i="33"/>
  <c r="F90" i="33" s="1"/>
  <c r="F89" i="33" s="1"/>
  <c r="E91" i="33"/>
  <c r="R90" i="33"/>
  <c r="R89" i="33" s="1"/>
  <c r="M90" i="33"/>
  <c r="M89" i="33" s="1"/>
  <c r="I90" i="33"/>
  <c r="E90" i="33"/>
  <c r="E89" i="33" s="1"/>
  <c r="I89" i="33"/>
  <c r="W87" i="33"/>
  <c r="V87" i="33"/>
  <c r="Q87" i="33"/>
  <c r="X87" i="33" s="1"/>
  <c r="W86" i="33"/>
  <c r="V86" i="33"/>
  <c r="Q86" i="33"/>
  <c r="U86" i="33" s="1"/>
  <c r="W85" i="33"/>
  <c r="V85" i="33"/>
  <c r="Q85" i="33"/>
  <c r="X85" i="33" s="1"/>
  <c r="W84" i="33"/>
  <c r="V84" i="33"/>
  <c r="Q84" i="33"/>
  <c r="X84" i="33" s="1"/>
  <c r="W83" i="33"/>
  <c r="V83" i="33"/>
  <c r="Q83" i="33"/>
  <c r="X83" i="33" s="1"/>
  <c r="W82" i="33"/>
  <c r="V82" i="33"/>
  <c r="Q82" i="33"/>
  <c r="U82" i="33" s="1"/>
  <c r="W81" i="33"/>
  <c r="V81" i="33"/>
  <c r="Q81" i="33"/>
  <c r="U81" i="33" s="1"/>
  <c r="W80" i="33"/>
  <c r="V80" i="33"/>
  <c r="Q80" i="33"/>
  <c r="T79" i="33"/>
  <c r="T78" i="33" s="1"/>
  <c r="S79" i="33"/>
  <c r="S78" i="33" s="1"/>
  <c r="R79" i="33"/>
  <c r="R78" i="33" s="1"/>
  <c r="P79" i="33"/>
  <c r="O79" i="33"/>
  <c r="O78" i="33" s="1"/>
  <c r="N79" i="33"/>
  <c r="N78" i="33" s="1"/>
  <c r="M79" i="33"/>
  <c r="M78" i="33" s="1"/>
  <c r="L79" i="33"/>
  <c r="K79" i="33"/>
  <c r="K78" i="33" s="1"/>
  <c r="J79" i="33"/>
  <c r="J78" i="33" s="1"/>
  <c r="I79" i="33"/>
  <c r="I78" i="33" s="1"/>
  <c r="H79" i="33"/>
  <c r="G79" i="33"/>
  <c r="G78" i="33" s="1"/>
  <c r="F79" i="33"/>
  <c r="F78" i="33" s="1"/>
  <c r="E79" i="33"/>
  <c r="E78" i="33" s="1"/>
  <c r="P78" i="33"/>
  <c r="L78" i="33"/>
  <c r="H78" i="33"/>
  <c r="W77" i="33"/>
  <c r="V77" i="33"/>
  <c r="Q77" i="33"/>
  <c r="X77" i="33" s="1"/>
  <c r="W76" i="33"/>
  <c r="V76" i="33"/>
  <c r="Q76" i="33"/>
  <c r="X76" i="33" s="1"/>
  <c r="W75" i="33"/>
  <c r="V75" i="33"/>
  <c r="Q75" i="33"/>
  <c r="U75" i="33" s="1"/>
  <c r="W74" i="33"/>
  <c r="V74" i="33"/>
  <c r="U74" i="33"/>
  <c r="Q74" i="33"/>
  <c r="X74" i="33" s="1"/>
  <c r="W73" i="33"/>
  <c r="V73" i="33"/>
  <c r="Q73" i="33"/>
  <c r="X73" i="33" s="1"/>
  <c r="W72" i="33"/>
  <c r="R72" i="33"/>
  <c r="V72" i="33" s="1"/>
  <c r="Q72" i="33"/>
  <c r="P72" i="33"/>
  <c r="P70" i="33" s="1"/>
  <c r="P69" i="33" s="1"/>
  <c r="P68" i="33" s="1"/>
  <c r="W71" i="33"/>
  <c r="V71" i="33"/>
  <c r="Q71" i="33"/>
  <c r="X71" i="33" s="1"/>
  <c r="T70" i="33"/>
  <c r="T69" i="33" s="1"/>
  <c r="T68" i="33" s="1"/>
  <c r="S70" i="33"/>
  <c r="R70" i="33"/>
  <c r="R69" i="33" s="1"/>
  <c r="O70" i="33"/>
  <c r="O69" i="33" s="1"/>
  <c r="N70" i="33"/>
  <c r="M70" i="33"/>
  <c r="M69" i="33" s="1"/>
  <c r="M68" i="33" s="1"/>
  <c r="L70" i="33"/>
  <c r="L69" i="33" s="1"/>
  <c r="L68" i="33" s="1"/>
  <c r="K70" i="33"/>
  <c r="K69" i="33" s="1"/>
  <c r="K68" i="33" s="1"/>
  <c r="J70" i="33"/>
  <c r="I70" i="33"/>
  <c r="I69" i="33" s="1"/>
  <c r="I68" i="33" s="1"/>
  <c r="H70" i="33"/>
  <c r="H69" i="33" s="1"/>
  <c r="H68" i="33" s="1"/>
  <c r="G70" i="33"/>
  <c r="G69" i="33" s="1"/>
  <c r="G68" i="33" s="1"/>
  <c r="F70" i="33"/>
  <c r="E70" i="33"/>
  <c r="E69" i="33" s="1"/>
  <c r="E68" i="33" s="1"/>
  <c r="S69" i="33"/>
  <c r="N69" i="33"/>
  <c r="J69" i="33"/>
  <c r="F69" i="33"/>
  <c r="W67" i="33"/>
  <c r="W66" i="33" s="1"/>
  <c r="W65" i="33" s="1"/>
  <c r="W64" i="33" s="1"/>
  <c r="V67" i="33"/>
  <c r="Q67" i="33"/>
  <c r="X67" i="33" s="1"/>
  <c r="X66" i="33" s="1"/>
  <c r="X65" i="33" s="1"/>
  <c r="X64" i="33" s="1"/>
  <c r="V66" i="33"/>
  <c r="V65" i="33" s="1"/>
  <c r="V64" i="33" s="1"/>
  <c r="T66" i="33"/>
  <c r="T65" i="33" s="1"/>
  <c r="T64" i="33" s="1"/>
  <c r="S66" i="33"/>
  <c r="S65" i="33" s="1"/>
  <c r="S64" i="33" s="1"/>
  <c r="R66" i="33"/>
  <c r="R65" i="33" s="1"/>
  <c r="R64" i="33" s="1"/>
  <c r="Q66" i="33"/>
  <c r="Q65" i="33" s="1"/>
  <c r="Q64" i="33" s="1"/>
  <c r="P66" i="33"/>
  <c r="P65" i="33" s="1"/>
  <c r="P64" i="33" s="1"/>
  <c r="O66" i="33"/>
  <c r="O65" i="33" s="1"/>
  <c r="N66" i="33"/>
  <c r="N65" i="33" s="1"/>
  <c r="N64" i="33" s="1"/>
  <c r="M66" i="33"/>
  <c r="M65" i="33" s="1"/>
  <c r="M64" i="33" s="1"/>
  <c r="L66" i="33"/>
  <c r="L65" i="33" s="1"/>
  <c r="L64" i="33" s="1"/>
  <c r="K66" i="33"/>
  <c r="K65" i="33" s="1"/>
  <c r="J66" i="33"/>
  <c r="I66" i="33"/>
  <c r="I65" i="33" s="1"/>
  <c r="I64" i="33" s="1"/>
  <c r="H66" i="33"/>
  <c r="H65" i="33" s="1"/>
  <c r="H64" i="33" s="1"/>
  <c r="G66" i="33"/>
  <c r="G65" i="33" s="1"/>
  <c r="F66" i="33"/>
  <c r="E66" i="33"/>
  <c r="E65" i="33" s="1"/>
  <c r="E64" i="33" s="1"/>
  <c r="J65" i="33"/>
  <c r="J64" i="33" s="1"/>
  <c r="F65" i="33"/>
  <c r="F64" i="33" s="1"/>
  <c r="O64" i="33"/>
  <c r="K64" i="33"/>
  <c r="G64" i="33"/>
  <c r="W63" i="33"/>
  <c r="W62" i="33" s="1"/>
  <c r="W61" i="33" s="1"/>
  <c r="V63" i="33"/>
  <c r="Q63" i="33"/>
  <c r="Q62" i="33" s="1"/>
  <c r="Q61" i="33" s="1"/>
  <c r="X62" i="33"/>
  <c r="V62" i="33"/>
  <c r="V61" i="33" s="1"/>
  <c r="T62" i="33"/>
  <c r="T61" i="33" s="1"/>
  <c r="S62" i="33"/>
  <c r="R62" i="33"/>
  <c r="P62" i="33"/>
  <c r="P61" i="33" s="1"/>
  <c r="O62" i="33"/>
  <c r="O61" i="33" s="1"/>
  <c r="O57" i="33" s="1"/>
  <c r="N62" i="33"/>
  <c r="M62" i="33"/>
  <c r="M61" i="33" s="1"/>
  <c r="M57" i="33" s="1"/>
  <c r="L62" i="33"/>
  <c r="L61" i="33" s="1"/>
  <c r="L57" i="33" s="1"/>
  <c r="K62" i="33"/>
  <c r="J62" i="33"/>
  <c r="I62" i="33"/>
  <c r="I61" i="33" s="1"/>
  <c r="I57" i="33" s="1"/>
  <c r="H62" i="33"/>
  <c r="H61" i="33" s="1"/>
  <c r="H57" i="33" s="1"/>
  <c r="G62" i="33"/>
  <c r="G61" i="33" s="1"/>
  <c r="G57" i="33" s="1"/>
  <c r="F62" i="33"/>
  <c r="E62" i="33"/>
  <c r="E61" i="33" s="1"/>
  <c r="X61" i="33"/>
  <c r="S61" i="33"/>
  <c r="R61" i="33"/>
  <c r="N61" i="33"/>
  <c r="N57" i="33" s="1"/>
  <c r="K61" i="33"/>
  <c r="K57" i="33" s="1"/>
  <c r="J61" i="33"/>
  <c r="J57" i="33" s="1"/>
  <c r="F61" i="33"/>
  <c r="F57" i="33" s="1"/>
  <c r="W60" i="33"/>
  <c r="W59" i="33" s="1"/>
  <c r="W58" i="33" s="1"/>
  <c r="W57" i="33" s="1"/>
  <c r="V60" i="33"/>
  <c r="V59" i="33" s="1"/>
  <c r="V58" i="33" s="1"/>
  <c r="V57" i="33" s="1"/>
  <c r="Q60" i="33"/>
  <c r="X60" i="33" s="1"/>
  <c r="X59" i="33" s="1"/>
  <c r="X58" i="33" s="1"/>
  <c r="U59" i="33"/>
  <c r="U58" i="33" s="1"/>
  <c r="T59" i="33"/>
  <c r="T58" i="33" s="1"/>
  <c r="S59" i="33"/>
  <c r="S58" i="33" s="1"/>
  <c r="R59" i="33"/>
  <c r="R58" i="33" s="1"/>
  <c r="Q59" i="33"/>
  <c r="P59" i="33"/>
  <c r="P58" i="33" s="1"/>
  <c r="E59" i="33"/>
  <c r="E58" i="33" s="1"/>
  <c r="E57" i="33" s="1"/>
  <c r="Q58" i="33"/>
  <c r="W56" i="33"/>
  <c r="W53" i="33" s="1"/>
  <c r="W52" i="33" s="1"/>
  <c r="V56" i="33"/>
  <c r="Q56" i="33"/>
  <c r="U56" i="33" s="1"/>
  <c r="W55" i="33"/>
  <c r="V55" i="33"/>
  <c r="Q55" i="33"/>
  <c r="U55" i="33" s="1"/>
  <c r="W54" i="33"/>
  <c r="V54" i="33"/>
  <c r="Q54" i="33"/>
  <c r="X54" i="33" s="1"/>
  <c r="T53" i="33"/>
  <c r="S53" i="33"/>
  <c r="R53" i="33"/>
  <c r="P53" i="33"/>
  <c r="O53" i="33"/>
  <c r="N53" i="33"/>
  <c r="M53" i="33"/>
  <c r="L53" i="33"/>
  <c r="K53" i="33"/>
  <c r="J53" i="33"/>
  <c r="I53" i="33"/>
  <c r="H53" i="33"/>
  <c r="G53" i="33"/>
  <c r="F53" i="33"/>
  <c r="E53" i="33"/>
  <c r="T52" i="33"/>
  <c r="T48" i="33" s="1"/>
  <c r="S52" i="33"/>
  <c r="R52" i="33"/>
  <c r="P52" i="33"/>
  <c r="O52" i="33"/>
  <c r="N52" i="33"/>
  <c r="M52" i="33"/>
  <c r="L52" i="33"/>
  <c r="K52" i="33"/>
  <c r="J52" i="33"/>
  <c r="I52" i="33"/>
  <c r="H52" i="33"/>
  <c r="G52" i="33"/>
  <c r="F52" i="33"/>
  <c r="E52" i="33"/>
  <c r="W51" i="33"/>
  <c r="W50" i="33" s="1"/>
  <c r="W49" i="33" s="1"/>
  <c r="V51" i="33"/>
  <c r="V50" i="33" s="1"/>
  <c r="V49" i="33" s="1"/>
  <c r="Q51" i="33"/>
  <c r="U51" i="33" s="1"/>
  <c r="U50" i="33" s="1"/>
  <c r="U49" i="33" s="1"/>
  <c r="T50" i="33"/>
  <c r="S50" i="33"/>
  <c r="S49" i="33" s="1"/>
  <c r="R50" i="33"/>
  <c r="Q50" i="33"/>
  <c r="P50" i="33"/>
  <c r="O50" i="33"/>
  <c r="N50" i="33"/>
  <c r="N49" i="33" s="1"/>
  <c r="M50" i="33"/>
  <c r="L50" i="33"/>
  <c r="K50" i="33"/>
  <c r="J50" i="33"/>
  <c r="J49" i="33" s="1"/>
  <c r="I50" i="33"/>
  <c r="H50" i="33"/>
  <c r="G50" i="33"/>
  <c r="F50" i="33"/>
  <c r="E50" i="33"/>
  <c r="T49" i="33"/>
  <c r="R49" i="33"/>
  <c r="Q49" i="33"/>
  <c r="P49" i="33"/>
  <c r="O49" i="33"/>
  <c r="M49" i="33"/>
  <c r="M48" i="33" s="1"/>
  <c r="L49" i="33"/>
  <c r="K49" i="33"/>
  <c r="I49" i="33"/>
  <c r="H49" i="33"/>
  <c r="G49" i="33"/>
  <c r="F49" i="33"/>
  <c r="E49" i="33"/>
  <c r="E48" i="33" s="1"/>
  <c r="I48" i="33"/>
  <c r="H48" i="33"/>
  <c r="W47" i="33"/>
  <c r="V47" i="33"/>
  <c r="Q47" i="33"/>
  <c r="X47" i="33" s="1"/>
  <c r="W46" i="33"/>
  <c r="V46" i="33"/>
  <c r="V45" i="33" s="1"/>
  <c r="V44" i="33" s="1"/>
  <c r="Q46" i="33"/>
  <c r="X46" i="33" s="1"/>
  <c r="T45" i="33"/>
  <c r="T44" i="33" s="1"/>
  <c r="T36" i="33" s="1"/>
  <c r="S45" i="33"/>
  <c r="S44" i="33" s="1"/>
  <c r="R45" i="33"/>
  <c r="P45" i="33"/>
  <c r="P44" i="33" s="1"/>
  <c r="P36" i="33" s="1"/>
  <c r="O45" i="33"/>
  <c r="O44" i="33" s="1"/>
  <c r="O36" i="33" s="1"/>
  <c r="N45" i="33"/>
  <c r="N44" i="33" s="1"/>
  <c r="M45" i="33"/>
  <c r="L45" i="33"/>
  <c r="K45" i="33"/>
  <c r="K44" i="33" s="1"/>
  <c r="K36" i="33" s="1"/>
  <c r="J45" i="33"/>
  <c r="J44" i="33" s="1"/>
  <c r="I45" i="33"/>
  <c r="H45" i="33"/>
  <c r="G45" i="33"/>
  <c r="F45" i="33"/>
  <c r="F44" i="33" s="1"/>
  <c r="E45" i="33"/>
  <c r="R44" i="33"/>
  <c r="M44" i="33"/>
  <c r="L44" i="33"/>
  <c r="I44" i="33"/>
  <c r="H44" i="33"/>
  <c r="G44" i="33"/>
  <c r="G36" i="33" s="1"/>
  <c r="E44" i="33"/>
  <c r="W43" i="33"/>
  <c r="V43" i="33"/>
  <c r="U43" i="33"/>
  <c r="Q43" i="33"/>
  <c r="X43" i="33" s="1"/>
  <c r="W42" i="33"/>
  <c r="V42" i="33"/>
  <c r="Q42" i="33"/>
  <c r="U42" i="33" s="1"/>
  <c r="W41" i="33"/>
  <c r="V41" i="33"/>
  <c r="Q41" i="33"/>
  <c r="W40" i="33"/>
  <c r="V40" i="33"/>
  <c r="Q40" i="33"/>
  <c r="W39" i="33"/>
  <c r="W38" i="33" s="1"/>
  <c r="W37" i="33" s="1"/>
  <c r="V39" i="33"/>
  <c r="Q39" i="33"/>
  <c r="X39" i="33" s="1"/>
  <c r="T38" i="33"/>
  <c r="S38" i="33"/>
  <c r="R38" i="33"/>
  <c r="P38" i="33"/>
  <c r="O38" i="33"/>
  <c r="N38" i="33"/>
  <c r="M38" i="33"/>
  <c r="L38" i="33"/>
  <c r="K38" i="33"/>
  <c r="J38" i="33"/>
  <c r="I38" i="33"/>
  <c r="H38" i="33"/>
  <c r="G38" i="33"/>
  <c r="F38" i="33"/>
  <c r="E38" i="33"/>
  <c r="T37" i="33"/>
  <c r="S37" i="33"/>
  <c r="R37" i="33"/>
  <c r="P37" i="33"/>
  <c r="O37" i="33"/>
  <c r="N37" i="33"/>
  <c r="M37" i="33"/>
  <c r="L37" i="33"/>
  <c r="K37" i="33"/>
  <c r="J37" i="33"/>
  <c r="I37" i="33"/>
  <c r="I36" i="33" s="1"/>
  <c r="H37" i="33"/>
  <c r="G37" i="33"/>
  <c r="F37" i="33"/>
  <c r="E37" i="33"/>
  <c r="M36" i="33"/>
  <c r="H36" i="33"/>
  <c r="E36" i="33"/>
  <c r="W35" i="33"/>
  <c r="V35" i="33"/>
  <c r="Q35" i="33"/>
  <c r="U35" i="33" s="1"/>
  <c r="W34" i="33"/>
  <c r="V34" i="33"/>
  <c r="Q34" i="33"/>
  <c r="X34" i="33" s="1"/>
  <c r="W33" i="33"/>
  <c r="V33" i="33"/>
  <c r="Q33" i="33"/>
  <c r="X33" i="33" s="1"/>
  <c r="T32" i="33"/>
  <c r="T31" i="33" s="1"/>
  <c r="S32" i="33"/>
  <c r="S31" i="33" s="1"/>
  <c r="R32" i="33"/>
  <c r="P32" i="33"/>
  <c r="O32" i="33"/>
  <c r="O31" i="33" s="1"/>
  <c r="N32" i="33"/>
  <c r="N31" i="33" s="1"/>
  <c r="M32" i="33"/>
  <c r="M31" i="33" s="1"/>
  <c r="L32" i="33"/>
  <c r="K32" i="33"/>
  <c r="J32" i="33"/>
  <c r="J31" i="33" s="1"/>
  <c r="I32" i="33"/>
  <c r="H32" i="33"/>
  <c r="G32" i="33"/>
  <c r="F32" i="33"/>
  <c r="F31" i="33" s="1"/>
  <c r="E32" i="33"/>
  <c r="R31" i="33"/>
  <c r="P31" i="33"/>
  <c r="P26" i="33" s="1"/>
  <c r="P25" i="33" s="1"/>
  <c r="L31" i="33"/>
  <c r="K31" i="33"/>
  <c r="I31" i="33"/>
  <c r="H31" i="33"/>
  <c r="G31" i="33"/>
  <c r="E31" i="33"/>
  <c r="W30" i="33"/>
  <c r="V30" i="33"/>
  <c r="Q30" i="33"/>
  <c r="W29" i="33"/>
  <c r="V29" i="33"/>
  <c r="Q29" i="33"/>
  <c r="X29" i="33" s="1"/>
  <c r="X27" i="33" s="1"/>
  <c r="W28" i="33"/>
  <c r="W27" i="33" s="1"/>
  <c r="V28" i="33"/>
  <c r="V27" i="33" s="1"/>
  <c r="Q28" i="33"/>
  <c r="U28" i="33" s="1"/>
  <c r="T27" i="33"/>
  <c r="S27" i="33"/>
  <c r="S26" i="33" s="1"/>
  <c r="S25" i="33" s="1"/>
  <c r="R27" i="33"/>
  <c r="P27" i="33"/>
  <c r="O27" i="33"/>
  <c r="N27" i="33"/>
  <c r="M27" i="33"/>
  <c r="L27" i="33"/>
  <c r="K27" i="33"/>
  <c r="J27" i="33"/>
  <c r="I27" i="33"/>
  <c r="H27" i="33"/>
  <c r="G27" i="33"/>
  <c r="G26" i="33" s="1"/>
  <c r="G25" i="33" s="1"/>
  <c r="F27" i="33"/>
  <c r="E27" i="33"/>
  <c r="L26" i="33"/>
  <c r="L25" i="33" s="1"/>
  <c r="H26" i="33"/>
  <c r="H25" i="33" s="1"/>
  <c r="W24" i="33"/>
  <c r="V24" i="33"/>
  <c r="Q24" i="33"/>
  <c r="X24" i="33" s="1"/>
  <c r="W23" i="33"/>
  <c r="V23" i="33"/>
  <c r="Q23" i="33"/>
  <c r="U23" i="33" s="1"/>
  <c r="X22" i="33"/>
  <c r="W22" i="33"/>
  <c r="V22" i="33"/>
  <c r="Q22" i="33"/>
  <c r="U22" i="33" s="1"/>
  <c r="U21" i="33"/>
  <c r="U20" i="33" s="1"/>
  <c r="T21" i="33"/>
  <c r="S21" i="33"/>
  <c r="R21" i="33"/>
  <c r="Q21" i="33"/>
  <c r="Q20" i="33" s="1"/>
  <c r="P21" i="33"/>
  <c r="O21" i="33"/>
  <c r="O20" i="33" s="1"/>
  <c r="N21" i="33"/>
  <c r="N20" i="33" s="1"/>
  <c r="M21" i="33"/>
  <c r="M20" i="33" s="1"/>
  <c r="L21" i="33"/>
  <c r="L20" i="33" s="1"/>
  <c r="K21" i="33"/>
  <c r="J21" i="33"/>
  <c r="J20" i="33" s="1"/>
  <c r="I21" i="33"/>
  <c r="I20" i="33" s="1"/>
  <c r="H21" i="33"/>
  <c r="G21" i="33"/>
  <c r="G20" i="33" s="1"/>
  <c r="F21" i="33"/>
  <c r="F20" i="33" s="1"/>
  <c r="E21" i="33"/>
  <c r="E20" i="33" s="1"/>
  <c r="T20" i="33"/>
  <c r="S20" i="33"/>
  <c r="R20" i="33"/>
  <c r="P20" i="33"/>
  <c r="K20" i="33"/>
  <c r="H20" i="33"/>
  <c r="W19" i="33"/>
  <c r="V19" i="33"/>
  <c r="Q19" i="33"/>
  <c r="X19" i="33" s="1"/>
  <c r="W18" i="33"/>
  <c r="V18" i="33"/>
  <c r="Q18" i="33"/>
  <c r="X18" i="33" s="1"/>
  <c r="W17" i="33"/>
  <c r="V17" i="33"/>
  <c r="Q17" i="33"/>
  <c r="U17" i="33" s="1"/>
  <c r="W16" i="33"/>
  <c r="V16" i="33"/>
  <c r="Q16" i="33"/>
  <c r="X16" i="33" s="1"/>
  <c r="W15" i="33"/>
  <c r="V15" i="33"/>
  <c r="Q15" i="33"/>
  <c r="X15" i="33" s="1"/>
  <c r="T14" i="33"/>
  <c r="S14" i="33"/>
  <c r="S13" i="33" s="1"/>
  <c r="S12" i="33" s="1"/>
  <c r="R14" i="33"/>
  <c r="R13" i="33" s="1"/>
  <c r="R12" i="33" s="1"/>
  <c r="P14" i="33"/>
  <c r="P13" i="33" s="1"/>
  <c r="P12" i="33" s="1"/>
  <c r="O14" i="33"/>
  <c r="O13" i="33" s="1"/>
  <c r="O12" i="33" s="1"/>
  <c r="N14" i="33"/>
  <c r="N13" i="33" s="1"/>
  <c r="M14" i="33"/>
  <c r="L14" i="33"/>
  <c r="L13" i="33" s="1"/>
  <c r="L12" i="33" s="1"/>
  <c r="K14" i="33"/>
  <c r="J14" i="33"/>
  <c r="J13" i="33" s="1"/>
  <c r="I14" i="33"/>
  <c r="I13" i="33" s="1"/>
  <c r="H14" i="33"/>
  <c r="H13" i="33" s="1"/>
  <c r="H12" i="33" s="1"/>
  <c r="G14" i="33"/>
  <c r="G13" i="33" s="1"/>
  <c r="G12" i="33" s="1"/>
  <c r="F14" i="33"/>
  <c r="F13" i="33" s="1"/>
  <c r="E14" i="33"/>
  <c r="T13" i="33"/>
  <c r="T12" i="33" s="1"/>
  <c r="M13" i="33"/>
  <c r="K13" i="33"/>
  <c r="E13" i="33"/>
  <c r="K12" i="33"/>
  <c r="S68" i="33" l="1"/>
  <c r="K95" i="33"/>
  <c r="K88" i="33" s="1"/>
  <c r="O68" i="33"/>
  <c r="O88" i="33"/>
  <c r="F26" i="33"/>
  <c r="F25" i="33" s="1"/>
  <c r="W14" i="33"/>
  <c r="W13" i="33" s="1"/>
  <c r="O26" i="33"/>
  <c r="O25" i="33" s="1"/>
  <c r="V32" i="33"/>
  <c r="V31" i="33" s="1"/>
  <c r="W32" i="33"/>
  <c r="W31" i="33" s="1"/>
  <c r="W26" i="33" s="1"/>
  <c r="W25" i="33" s="1"/>
  <c r="F36" i="33"/>
  <c r="J36" i="33"/>
  <c r="N36" i="33"/>
  <c r="W45" i="33"/>
  <c r="W44" i="33" s="1"/>
  <c r="W36" i="33" s="1"/>
  <c r="F48" i="33"/>
  <c r="J48" i="33"/>
  <c r="N48" i="33"/>
  <c r="S48" i="33"/>
  <c r="U54" i="33"/>
  <c r="U53" i="33" s="1"/>
  <c r="U52" i="33" s="1"/>
  <c r="U48" i="33" s="1"/>
  <c r="U76" i="33"/>
  <c r="U85" i="33"/>
  <c r="V79" i="33"/>
  <c r="V78" i="33" s="1"/>
  <c r="V91" i="33"/>
  <c r="V90" i="33" s="1"/>
  <c r="V89" i="33" s="1"/>
  <c r="X97" i="33"/>
  <c r="X96" i="33" s="1"/>
  <c r="X95" i="33" s="1"/>
  <c r="V97" i="33"/>
  <c r="V96" i="33" s="1"/>
  <c r="U114" i="33"/>
  <c r="U128" i="33"/>
  <c r="U175" i="33"/>
  <c r="U269" i="33"/>
  <c r="U270" i="33"/>
  <c r="U284" i="33"/>
  <c r="U285" i="33"/>
  <c r="U286" i="33"/>
  <c r="U308" i="33"/>
  <c r="U340" i="33"/>
  <c r="L385" i="33"/>
  <c r="V395" i="33"/>
  <c r="V394" i="33" s="1"/>
  <c r="X412" i="33"/>
  <c r="P402" i="33"/>
  <c r="X448" i="33"/>
  <c r="M449" i="33"/>
  <c r="Q454" i="33"/>
  <c r="Q453" i="33" s="1"/>
  <c r="F463" i="33"/>
  <c r="J463" i="33"/>
  <c r="P463" i="33"/>
  <c r="J26" i="33"/>
  <c r="J25" i="33" s="1"/>
  <c r="Q57" i="33"/>
  <c r="M95" i="33"/>
  <c r="I385" i="33"/>
  <c r="T385" i="33"/>
  <c r="H402" i="33"/>
  <c r="M402" i="33"/>
  <c r="S402" i="33"/>
  <c r="K26" i="33"/>
  <c r="K25" i="33" s="1"/>
  <c r="W48" i="33"/>
  <c r="U63" i="33"/>
  <c r="U62" i="33" s="1"/>
  <c r="U61" i="33" s="1"/>
  <c r="U72" i="33"/>
  <c r="W70" i="33"/>
  <c r="W69" i="33" s="1"/>
  <c r="W79" i="33"/>
  <c r="W78" i="33" s="1"/>
  <c r="W68" i="33" s="1"/>
  <c r="W97" i="33"/>
  <c r="W96" i="33" s="1"/>
  <c r="P88" i="33"/>
  <c r="U111" i="33"/>
  <c r="U144" i="33"/>
  <c r="U191" i="33"/>
  <c r="U214" i="33"/>
  <c r="U251" i="33"/>
  <c r="U252" i="33"/>
  <c r="U324" i="33"/>
  <c r="U356" i="33"/>
  <c r="U370" i="33"/>
  <c r="K395" i="33"/>
  <c r="K394" i="33" s="1"/>
  <c r="N402" i="33"/>
  <c r="T402" i="33"/>
  <c r="O442" i="33"/>
  <c r="N26" i="33"/>
  <c r="N25" i="33" s="1"/>
  <c r="T26" i="33"/>
  <c r="T25" i="33" s="1"/>
  <c r="F12" i="33"/>
  <c r="J12" i="33"/>
  <c r="N12" i="33"/>
  <c r="L36" i="33"/>
  <c r="U46" i="33"/>
  <c r="L48" i="33"/>
  <c r="P48" i="33"/>
  <c r="R48" i="33"/>
  <c r="S57" i="33"/>
  <c r="U67" i="33"/>
  <c r="U66" i="33" s="1"/>
  <c r="U65" i="33" s="1"/>
  <c r="U64" i="33" s="1"/>
  <c r="U87" i="33"/>
  <c r="G95" i="33"/>
  <c r="G88" i="33" s="1"/>
  <c r="O95" i="33"/>
  <c r="T95" i="33"/>
  <c r="U120" i="33"/>
  <c r="W133" i="33"/>
  <c r="U167" i="33"/>
  <c r="U199" i="33"/>
  <c r="U226" i="33"/>
  <c r="U300" i="33"/>
  <c r="U332" i="33"/>
  <c r="U378" i="33"/>
  <c r="P385" i="33"/>
  <c r="F449" i="33"/>
  <c r="K449" i="33"/>
  <c r="T463" i="33"/>
  <c r="I463" i="33"/>
  <c r="X422" i="33"/>
  <c r="X433" i="33"/>
  <c r="X436" i="33"/>
  <c r="X437" i="33"/>
  <c r="G449" i="33"/>
  <c r="X456" i="33"/>
  <c r="X458" i="33"/>
  <c r="X470" i="33"/>
  <c r="J485" i="33"/>
  <c r="X496" i="33"/>
  <c r="I500" i="33"/>
  <c r="N500" i="33"/>
  <c r="N485" i="33" s="1"/>
  <c r="W502" i="33"/>
  <c r="W501" i="33" s="1"/>
  <c r="W500" i="33" s="1"/>
  <c r="X512" i="33"/>
  <c r="W536" i="33"/>
  <c r="W535" i="33" s="1"/>
  <c r="U542" i="33"/>
  <c r="U554" i="33"/>
  <c r="L587" i="33"/>
  <c r="Q588" i="33"/>
  <c r="J587" i="33"/>
  <c r="J586" i="33" s="1"/>
  <c r="P587" i="33"/>
  <c r="P586" i="33" s="1"/>
  <c r="X612" i="33"/>
  <c r="X613" i="33"/>
  <c r="X614" i="33"/>
  <c r="R622" i="33"/>
  <c r="R586" i="33" s="1"/>
  <c r="Q683" i="33"/>
  <c r="V725" i="33"/>
  <c r="S723" i="33"/>
  <c r="X732" i="33"/>
  <c r="V747" i="33"/>
  <c r="I747" i="33"/>
  <c r="I746" i="33" s="1"/>
  <c r="V760" i="33"/>
  <c r="I893" i="33"/>
  <c r="M893" i="33"/>
  <c r="Q893" i="33"/>
  <c r="U893" i="33"/>
  <c r="G893" i="33"/>
  <c r="O893" i="33"/>
  <c r="X476" i="33"/>
  <c r="X479" i="33"/>
  <c r="R485" i="33"/>
  <c r="X504" i="33"/>
  <c r="V522" i="33"/>
  <c r="V521" i="33" s="1"/>
  <c r="V520" i="33" s="1"/>
  <c r="V550" i="33"/>
  <c r="H587" i="33"/>
  <c r="H586" i="33" s="1"/>
  <c r="M587" i="33"/>
  <c r="M586" i="33" s="1"/>
  <c r="X619" i="33"/>
  <c r="X634" i="33"/>
  <c r="T718" i="33"/>
  <c r="T485" i="33"/>
  <c r="M487" i="33"/>
  <c r="M486" i="33" s="1"/>
  <c r="M485" i="33" s="1"/>
  <c r="M462" i="33" s="1"/>
  <c r="M384" i="33" s="1"/>
  <c r="V668" i="33"/>
  <c r="V718" i="33"/>
  <c r="W735" i="33"/>
  <c r="F747" i="33"/>
  <c r="F746" i="33" s="1"/>
  <c r="N747" i="33"/>
  <c r="N746" i="33" s="1"/>
  <c r="R747" i="33"/>
  <c r="R746" i="33" s="1"/>
  <c r="X894" i="33"/>
  <c r="X405" i="33"/>
  <c r="X404" i="33" s="1"/>
  <c r="X403" i="33" s="1"/>
  <c r="X416" i="33"/>
  <c r="W419" i="33"/>
  <c r="W418" i="33" s="1"/>
  <c r="V419" i="33"/>
  <c r="V418" i="33" s="1"/>
  <c r="X426" i="33"/>
  <c r="X444" i="33"/>
  <c r="R449" i="33"/>
  <c r="L463" i="33"/>
  <c r="R463" i="33"/>
  <c r="R462" i="33" s="1"/>
  <c r="X466" i="33"/>
  <c r="H463" i="33"/>
  <c r="X489" i="33"/>
  <c r="F487" i="33"/>
  <c r="F486" i="33" s="1"/>
  <c r="F485" i="33" s="1"/>
  <c r="S500" i="33"/>
  <c r="V502" i="33"/>
  <c r="V501" i="33" s="1"/>
  <c r="X509" i="33"/>
  <c r="Q518" i="33"/>
  <c r="X531" i="33"/>
  <c r="N587" i="33"/>
  <c r="V590" i="33"/>
  <c r="X597" i="33"/>
  <c r="S622" i="33"/>
  <c r="F622" i="33"/>
  <c r="J622" i="33"/>
  <c r="O622" i="33"/>
  <c r="G637" i="33"/>
  <c r="G635" i="33" s="1"/>
  <c r="S637" i="33"/>
  <c r="S635" i="33" s="1"/>
  <c r="Q738" i="33"/>
  <c r="V740" i="33"/>
  <c r="Q743" i="33"/>
  <c r="U747" i="33"/>
  <c r="U746" i="33" s="1"/>
  <c r="Q760" i="33"/>
  <c r="X771" i="33"/>
  <c r="X770" i="33" s="1"/>
  <c r="H893" i="33"/>
  <c r="L893" i="33"/>
  <c r="P893" i="33"/>
  <c r="T893" i="33"/>
  <c r="F893" i="33"/>
  <c r="N893" i="33"/>
  <c r="U15" i="33"/>
  <c r="U33" i="33"/>
  <c r="Q53" i="33"/>
  <c r="Q52" i="33" s="1"/>
  <c r="Q48" i="33" s="1"/>
  <c r="X57" i="33"/>
  <c r="S88" i="33"/>
  <c r="H95" i="33"/>
  <c r="H88" i="33" s="1"/>
  <c r="H11" i="33" s="1"/>
  <c r="L95" i="33"/>
  <c r="L88" i="33" s="1"/>
  <c r="W105" i="33"/>
  <c r="W104" i="33" s="1"/>
  <c r="W103" i="33" s="1"/>
  <c r="X109" i="33"/>
  <c r="U109" i="33"/>
  <c r="F385" i="33"/>
  <c r="J385" i="33"/>
  <c r="E12" i="33"/>
  <c r="I12" i="33"/>
  <c r="M12" i="33"/>
  <c r="Q27" i="33"/>
  <c r="E26" i="33"/>
  <c r="E25" i="33" s="1"/>
  <c r="I26" i="33"/>
  <c r="I25" i="33" s="1"/>
  <c r="M26" i="33"/>
  <c r="M25" i="33" s="1"/>
  <c r="R26" i="33"/>
  <c r="R25" i="33" s="1"/>
  <c r="Q38" i="33"/>
  <c r="Q37" i="33" s="1"/>
  <c r="U41" i="33"/>
  <c r="X41" i="33"/>
  <c r="X118" i="33"/>
  <c r="U118" i="33"/>
  <c r="X142" i="33"/>
  <c r="U142" i="33"/>
  <c r="U18" i="33"/>
  <c r="U19" i="33"/>
  <c r="U29" i="33"/>
  <c r="U27" i="33" s="1"/>
  <c r="U30" i="33"/>
  <c r="S36" i="33"/>
  <c r="U39" i="33"/>
  <c r="U40" i="33"/>
  <c r="R57" i="33"/>
  <c r="U83" i="33"/>
  <c r="V113" i="33"/>
  <c r="X126" i="33"/>
  <c r="U126" i="33"/>
  <c r="X150" i="33"/>
  <c r="U150" i="33"/>
  <c r="P485" i="33"/>
  <c r="P462" i="33" s="1"/>
  <c r="P384" i="33" s="1"/>
  <c r="V14" i="33"/>
  <c r="V13" i="33" s="1"/>
  <c r="V21" i="33"/>
  <c r="V20" i="33" s="1"/>
  <c r="V26" i="33"/>
  <c r="V25" i="33" s="1"/>
  <c r="R68" i="33"/>
  <c r="X80" i="33"/>
  <c r="U80" i="33"/>
  <c r="T88" i="33"/>
  <c r="R36" i="33"/>
  <c r="U57" i="33"/>
  <c r="U102" i="33"/>
  <c r="U101" i="33" s="1"/>
  <c r="U100" i="33" s="1"/>
  <c r="V105" i="33"/>
  <c r="V104" i="33" s="1"/>
  <c r="V103" i="33" s="1"/>
  <c r="U122" i="33"/>
  <c r="U130" i="33"/>
  <c r="Q133" i="33"/>
  <c r="U138" i="33"/>
  <c r="U146" i="33"/>
  <c r="U161" i="33"/>
  <c r="U169" i="33"/>
  <c r="U177" i="33"/>
  <c r="U185" i="33"/>
  <c r="U193" i="33"/>
  <c r="U201" i="33"/>
  <c r="U207" i="33"/>
  <c r="U216" i="33"/>
  <c r="U228" i="33"/>
  <c r="U240" i="33"/>
  <c r="X243" i="33"/>
  <c r="U246" i="33"/>
  <c r="U261" i="33"/>
  <c r="U262" i="33"/>
  <c r="U273" i="33"/>
  <c r="U274" i="33"/>
  <c r="X279" i="33"/>
  <c r="U288" i="33"/>
  <c r="U302" i="33"/>
  <c r="U310" i="33"/>
  <c r="U318" i="33"/>
  <c r="U326" i="33"/>
  <c r="U334" i="33"/>
  <c r="U342" i="33"/>
  <c r="U350" i="33"/>
  <c r="U358" i="33"/>
  <c r="U364" i="33"/>
  <c r="U372" i="33"/>
  <c r="U380" i="33"/>
  <c r="Q387" i="33"/>
  <c r="Q386" i="33" s="1"/>
  <c r="W395" i="33"/>
  <c r="W394" i="33" s="1"/>
  <c r="W385" i="33" s="1"/>
  <c r="K404" i="33"/>
  <c r="K403" i="33" s="1"/>
  <c r="X409" i="33"/>
  <c r="X410" i="33"/>
  <c r="X413" i="33"/>
  <c r="X417" i="33"/>
  <c r="X425" i="33"/>
  <c r="X430" i="33"/>
  <c r="X432" i="33"/>
  <c r="X438" i="33"/>
  <c r="X439" i="33"/>
  <c r="X440" i="33"/>
  <c r="X445" i="33"/>
  <c r="O445" i="33"/>
  <c r="H449" i="33"/>
  <c r="X452" i="33"/>
  <c r="X451" i="33" s="1"/>
  <c r="X450" i="33" s="1"/>
  <c r="U452" i="33"/>
  <c r="U451" i="33" s="1"/>
  <c r="U450" i="33" s="1"/>
  <c r="O456" i="33"/>
  <c r="X459" i="33"/>
  <c r="O459" i="33"/>
  <c r="X469" i="33"/>
  <c r="U472" i="33"/>
  <c r="Q474" i="33"/>
  <c r="Q473" i="33" s="1"/>
  <c r="X475" i="33"/>
  <c r="W474" i="33"/>
  <c r="W473" i="33" s="1"/>
  <c r="U478" i="33"/>
  <c r="X481" i="33"/>
  <c r="X482" i="33"/>
  <c r="O482" i="33"/>
  <c r="X488" i="33"/>
  <c r="S487" i="33"/>
  <c r="S486" i="33" s="1"/>
  <c r="S485" i="33" s="1"/>
  <c r="V494" i="33"/>
  <c r="V387" i="33"/>
  <c r="V386" i="33" s="1"/>
  <c r="V385" i="33" s="1"/>
  <c r="R385" i="33"/>
  <c r="V449" i="33"/>
  <c r="X457" i="33"/>
  <c r="O457" i="33"/>
  <c r="U454" i="33"/>
  <c r="U453" i="33" s="1"/>
  <c r="E463" i="33"/>
  <c r="E462" i="33" s="1"/>
  <c r="J462" i="33"/>
  <c r="S463" i="33"/>
  <c r="V490" i="33"/>
  <c r="I487" i="33"/>
  <c r="I486" i="33" s="1"/>
  <c r="I485" i="33" s="1"/>
  <c r="I462" i="33" s="1"/>
  <c r="X503" i="33"/>
  <c r="O503" i="33"/>
  <c r="Q91" i="33"/>
  <c r="Q90" i="33" s="1"/>
  <c r="Q89" i="33" s="1"/>
  <c r="F95" i="33"/>
  <c r="F88" i="33" s="1"/>
  <c r="J95" i="33"/>
  <c r="J88" i="33" s="1"/>
  <c r="N95" i="33"/>
  <c r="N88" i="33" s="1"/>
  <c r="R95" i="33"/>
  <c r="R88" i="33" s="1"/>
  <c r="W113" i="33"/>
  <c r="V133" i="33"/>
  <c r="U165" i="33"/>
  <c r="U173" i="33"/>
  <c r="U181" i="33"/>
  <c r="U189" i="33"/>
  <c r="U197" i="33"/>
  <c r="U211" i="33"/>
  <c r="U220" i="33"/>
  <c r="U257" i="33"/>
  <c r="U258" i="33"/>
  <c r="U277" i="33"/>
  <c r="U278" i="33"/>
  <c r="U280" i="33"/>
  <c r="U281" i="33"/>
  <c r="U282" i="33"/>
  <c r="U292" i="33"/>
  <c r="U298" i="33"/>
  <c r="U306" i="33"/>
  <c r="U314" i="33"/>
  <c r="U322" i="33"/>
  <c r="U330" i="33"/>
  <c r="U338" i="33"/>
  <c r="U346" i="33"/>
  <c r="U354" i="33"/>
  <c r="U368" i="33"/>
  <c r="U376" i="33"/>
  <c r="O388" i="33"/>
  <c r="O392" i="33"/>
  <c r="O398" i="33"/>
  <c r="K419" i="33"/>
  <c r="K418" i="33" s="1"/>
  <c r="X434" i="33"/>
  <c r="X443" i="33"/>
  <c r="O443" i="33"/>
  <c r="X447" i="33"/>
  <c r="O447" i="33"/>
  <c r="W465" i="33"/>
  <c r="W464" i="33" s="1"/>
  <c r="O470" i="33"/>
  <c r="O476" i="33"/>
  <c r="X484" i="33"/>
  <c r="O489" i="33"/>
  <c r="G48" i="33"/>
  <c r="K48" i="33"/>
  <c r="O48" i="33"/>
  <c r="O11" i="33" s="1"/>
  <c r="V53" i="33"/>
  <c r="V52" i="33" s="1"/>
  <c r="V48" i="33" s="1"/>
  <c r="P57" i="33"/>
  <c r="P11" i="33" s="1"/>
  <c r="P10" i="33" s="1"/>
  <c r="P9" i="33" s="1"/>
  <c r="T57" i="33"/>
  <c r="V70" i="33"/>
  <c r="V69" i="33" s="1"/>
  <c r="V68" i="33" s="1"/>
  <c r="F68" i="33"/>
  <c r="F11" i="33" s="1"/>
  <c r="J68" i="33"/>
  <c r="N68" i="33"/>
  <c r="U93" i="33"/>
  <c r="U98" i="33"/>
  <c r="V95" i="33"/>
  <c r="V88" i="33" s="1"/>
  <c r="E88" i="33"/>
  <c r="I88" i="33"/>
  <c r="M88" i="33"/>
  <c r="Q105" i="33"/>
  <c r="Q104" i="33" s="1"/>
  <c r="Q103" i="33" s="1"/>
  <c r="U107" i="33"/>
  <c r="U116" i="33"/>
  <c r="U124" i="33"/>
  <c r="U132" i="33"/>
  <c r="U140" i="33"/>
  <c r="U148" i="33"/>
  <c r="U157" i="33"/>
  <c r="U163" i="33"/>
  <c r="U171" i="33"/>
  <c r="U179" i="33"/>
  <c r="U187" i="33"/>
  <c r="U195" i="33"/>
  <c r="U203" i="33"/>
  <c r="U209" i="33"/>
  <c r="U218" i="33"/>
  <c r="U230" i="33"/>
  <c r="U265" i="33"/>
  <c r="U266" i="33"/>
  <c r="U290" i="33"/>
  <c r="U296" i="33"/>
  <c r="U304" i="33"/>
  <c r="U312" i="33"/>
  <c r="U320" i="33"/>
  <c r="U328" i="33"/>
  <c r="U336" i="33"/>
  <c r="U344" i="33"/>
  <c r="U352" i="33"/>
  <c r="U366" i="33"/>
  <c r="U374" i="33"/>
  <c r="U382" i="33"/>
  <c r="X390" i="33"/>
  <c r="X396" i="33"/>
  <c r="X400" i="33"/>
  <c r="O405" i="33"/>
  <c r="O404" i="33" s="1"/>
  <c r="O403" i="33" s="1"/>
  <c r="O412" i="33"/>
  <c r="U414" i="33"/>
  <c r="O416" i="33"/>
  <c r="U420" i="33"/>
  <c r="O422" i="33"/>
  <c r="U426" i="33"/>
  <c r="O428" i="33"/>
  <c r="U434" i="33"/>
  <c r="O436" i="33"/>
  <c r="O444" i="33"/>
  <c r="O448" i="33"/>
  <c r="O452" i="33"/>
  <c r="O451" i="33" s="1"/>
  <c r="O450" i="33" s="1"/>
  <c r="E449" i="33"/>
  <c r="I449" i="33"/>
  <c r="X455" i="33"/>
  <c r="O455" i="33"/>
  <c r="O458" i="33"/>
  <c r="N463" i="33"/>
  <c r="O466" i="33"/>
  <c r="U484" i="33"/>
  <c r="Q490" i="33"/>
  <c r="X492" i="33"/>
  <c r="O496" i="33"/>
  <c r="U506" i="33"/>
  <c r="Q502" i="33"/>
  <c r="Q501" i="33" s="1"/>
  <c r="Q500" i="33" s="1"/>
  <c r="S449" i="33"/>
  <c r="V474" i="33"/>
  <c r="V473" i="33" s="1"/>
  <c r="V463" i="33" s="1"/>
  <c r="W490" i="33"/>
  <c r="K490" i="33"/>
  <c r="O490" i="33" s="1"/>
  <c r="X491" i="33"/>
  <c r="W494" i="33"/>
  <c r="K494" i="33"/>
  <c r="Q494" i="33"/>
  <c r="Q487" i="33" s="1"/>
  <c r="Q486" i="33" s="1"/>
  <c r="Q485" i="33" s="1"/>
  <c r="X495" i="33"/>
  <c r="X499" i="33"/>
  <c r="L501" i="33"/>
  <c r="L500" i="33" s="1"/>
  <c r="L485" i="33" s="1"/>
  <c r="L462" i="33" s="1"/>
  <c r="H485" i="33"/>
  <c r="H462" i="33" s="1"/>
  <c r="H384" i="33" s="1"/>
  <c r="X507" i="33"/>
  <c r="V500" i="33"/>
  <c r="V536" i="33"/>
  <c r="V535" i="33" s="1"/>
  <c r="X552" i="33"/>
  <c r="Q550" i="33"/>
  <c r="Q547" i="33" s="1"/>
  <c r="Q546" i="33" s="1"/>
  <c r="Q545" i="33" s="1"/>
  <c r="V561" i="33"/>
  <c r="X599" i="33"/>
  <c r="X663" i="33"/>
  <c r="R718" i="33"/>
  <c r="X510" i="33"/>
  <c r="O510" i="33"/>
  <c r="X523" i="33"/>
  <c r="O523" i="33"/>
  <c r="O531" i="33"/>
  <c r="X743" i="33"/>
  <c r="U494" i="33"/>
  <c r="U487" i="33" s="1"/>
  <c r="U486" i="33" s="1"/>
  <c r="U485" i="33" s="1"/>
  <c r="O504" i="33"/>
  <c r="X527" i="33"/>
  <c r="O527" i="33"/>
  <c r="U570" i="33"/>
  <c r="X570" i="33"/>
  <c r="U585" i="33"/>
  <c r="U584" i="33" s="1"/>
  <c r="Q584" i="33"/>
  <c r="X525" i="33"/>
  <c r="X529" i="33"/>
  <c r="F587" i="33"/>
  <c r="F586" i="33" s="1"/>
  <c r="X605" i="33"/>
  <c r="X606" i="33"/>
  <c r="X608" i="33"/>
  <c r="X609" i="33"/>
  <c r="X616" i="33"/>
  <c r="X621" i="33"/>
  <c r="X628" i="33"/>
  <c r="N622" i="33"/>
  <c r="N586" i="33" s="1"/>
  <c r="W683" i="33"/>
  <c r="Q694" i="33"/>
  <c r="X714" i="33"/>
  <c r="Q735" i="33"/>
  <c r="S747" i="33"/>
  <c r="S746" i="33" s="1"/>
  <c r="W747" i="33"/>
  <c r="X760" i="33"/>
  <c r="O765" i="33"/>
  <c r="O760" i="33" s="1"/>
  <c r="X765" i="33"/>
  <c r="W861" i="33"/>
  <c r="X861" i="33"/>
  <c r="V861" i="33"/>
  <c r="W894" i="33"/>
  <c r="W914" i="33"/>
  <c r="Q622" i="33"/>
  <c r="O746" i="33"/>
  <c r="H860" i="33"/>
  <c r="L860" i="33"/>
  <c r="P860" i="33"/>
  <c r="T860" i="33"/>
  <c r="F860" i="33"/>
  <c r="F769" i="33" s="1"/>
  <c r="J860" i="33"/>
  <c r="N860" i="33"/>
  <c r="R860" i="33"/>
  <c r="T586" i="33"/>
  <c r="G587" i="33"/>
  <c r="G586" i="33" s="1"/>
  <c r="V632" i="33"/>
  <c r="E637" i="33"/>
  <c r="E635" i="33" s="1"/>
  <c r="M637" i="33"/>
  <c r="M635" i="33" s="1"/>
  <c r="U697" i="33"/>
  <c r="U694" i="33" s="1"/>
  <c r="V702" i="33"/>
  <c r="K637" i="33"/>
  <c r="K635" i="33" s="1"/>
  <c r="Q746" i="33"/>
  <c r="W771" i="33"/>
  <c r="W770" i="33" s="1"/>
  <c r="K860" i="33"/>
  <c r="S860" i="33"/>
  <c r="V894" i="33"/>
  <c r="X910" i="33"/>
  <c r="X505" i="33"/>
  <c r="X506" i="33"/>
  <c r="X514" i="33"/>
  <c r="X517" i="33"/>
  <c r="W522" i="33"/>
  <c r="W521" i="33" s="1"/>
  <c r="W520" i="33" s="1"/>
  <c r="X533" i="33"/>
  <c r="V547" i="33"/>
  <c r="V546" i="33" s="1"/>
  <c r="V545" i="33" s="1"/>
  <c r="W550" i="33"/>
  <c r="W547" i="33" s="1"/>
  <c r="W546" i="33" s="1"/>
  <c r="W545" i="33" s="1"/>
  <c r="E587" i="33"/>
  <c r="E586" i="33" s="1"/>
  <c r="S587" i="33"/>
  <c r="S586" i="33" s="1"/>
  <c r="X603" i="33"/>
  <c r="W590" i="33"/>
  <c r="X629" i="33"/>
  <c r="H637" i="33"/>
  <c r="H635" i="33" s="1"/>
  <c r="W668" i="33"/>
  <c r="W711" i="33"/>
  <c r="K719" i="33"/>
  <c r="K718" i="33" s="1"/>
  <c r="X730" i="33"/>
  <c r="X728" i="33" s="1"/>
  <c r="X747" i="33"/>
  <c r="W760" i="33"/>
  <c r="H769" i="33"/>
  <c r="V914" i="33"/>
  <c r="X914" i="33"/>
  <c r="W21" i="33"/>
  <c r="W20" i="33" s="1"/>
  <c r="W12" i="33" s="1"/>
  <c r="W11" i="33" s="1"/>
  <c r="V38" i="33"/>
  <c r="V37" i="33" s="1"/>
  <c r="V36" i="33" s="1"/>
  <c r="W95" i="33"/>
  <c r="W88" i="33" s="1"/>
  <c r="U16" i="33"/>
  <c r="Q14" i="33"/>
  <c r="Q13" i="33" s="1"/>
  <c r="Q12" i="33" s="1"/>
  <c r="X45" i="33"/>
  <c r="X44" i="33" s="1"/>
  <c r="U47" i="33"/>
  <c r="Q45" i="33"/>
  <c r="Q44" i="33" s="1"/>
  <c r="Q36" i="33" s="1"/>
  <c r="U14" i="33"/>
  <c r="U13" i="33" s="1"/>
  <c r="U12" i="33" s="1"/>
  <c r="U45" i="33"/>
  <c r="U44" i="33" s="1"/>
  <c r="L11" i="33"/>
  <c r="Q26" i="33"/>
  <c r="Q25" i="33" s="1"/>
  <c r="U34" i="33"/>
  <c r="U32" i="33" s="1"/>
  <c r="U31" i="33" s="1"/>
  <c r="U26" i="33" s="1"/>
  <c r="U25" i="33" s="1"/>
  <c r="Q32" i="33"/>
  <c r="Q31" i="33" s="1"/>
  <c r="X40" i="33"/>
  <c r="X55" i="33"/>
  <c r="U71" i="33"/>
  <c r="U73" i="33"/>
  <c r="U77" i="33"/>
  <c r="Q79" i="33"/>
  <c r="Q78" i="33" s="1"/>
  <c r="U84" i="33"/>
  <c r="U79" i="33" s="1"/>
  <c r="U78" i="33" s="1"/>
  <c r="U92" i="33"/>
  <c r="U99" i="33"/>
  <c r="U108" i="33"/>
  <c r="U105" i="33" s="1"/>
  <c r="U104" i="33" s="1"/>
  <c r="U103" i="33" s="1"/>
  <c r="U112" i="33"/>
  <c r="Q113" i="33"/>
  <c r="U117" i="33"/>
  <c r="U121" i="33"/>
  <c r="U125" i="33"/>
  <c r="U129" i="33"/>
  <c r="U135" i="33"/>
  <c r="U139" i="33"/>
  <c r="U145" i="33"/>
  <c r="U158" i="33"/>
  <c r="U160" i="33"/>
  <c r="U164" i="33"/>
  <c r="U170" i="33"/>
  <c r="U174" i="33"/>
  <c r="U178" i="33"/>
  <c r="U182" i="33"/>
  <c r="U188" i="33"/>
  <c r="U192" i="33"/>
  <c r="U196" i="33"/>
  <c r="U200" i="33"/>
  <c r="U204" i="33"/>
  <c r="U206" i="33"/>
  <c r="U217" i="33"/>
  <c r="U221" i="33"/>
  <c r="U223" i="33"/>
  <c r="U225" i="33"/>
  <c r="U229" i="33"/>
  <c r="X235" i="33"/>
  <c r="X241" i="33"/>
  <c r="X259" i="33"/>
  <c r="X275" i="33"/>
  <c r="V407" i="33"/>
  <c r="J406" i="33"/>
  <c r="U449" i="33"/>
  <c r="X56" i="33"/>
  <c r="X75" i="33"/>
  <c r="X81" i="33"/>
  <c r="X86" i="33"/>
  <c r="X94" i="33"/>
  <c r="X91" i="33" s="1"/>
  <c r="X90" i="33" s="1"/>
  <c r="X89" i="33" s="1"/>
  <c r="X106" i="33"/>
  <c r="X110" i="33"/>
  <c r="X115" i="33"/>
  <c r="X119" i="33"/>
  <c r="X123" i="33"/>
  <c r="X127" i="33"/>
  <c r="X131" i="33"/>
  <c r="X137" i="33"/>
  <c r="X143" i="33"/>
  <c r="X151" i="33"/>
  <c r="X153" i="33"/>
  <c r="X162" i="33"/>
  <c r="X168" i="33"/>
  <c r="X172" i="33"/>
  <c r="X176" i="33"/>
  <c r="X180" i="33"/>
  <c r="X186" i="33"/>
  <c r="X190" i="33"/>
  <c r="X194" i="33"/>
  <c r="X198" i="33"/>
  <c r="X202" i="33"/>
  <c r="X212" i="33"/>
  <c r="X219" i="33"/>
  <c r="X227" i="33"/>
  <c r="X231" i="33"/>
  <c r="L406" i="33"/>
  <c r="K407" i="33"/>
  <c r="O407" i="33" s="1"/>
  <c r="Q407" i="33"/>
  <c r="R406" i="33"/>
  <c r="X17" i="33"/>
  <c r="X14" i="33" s="1"/>
  <c r="X13" i="33" s="1"/>
  <c r="X23" i="33"/>
  <c r="X21" i="33" s="1"/>
  <c r="X20" i="33" s="1"/>
  <c r="X35" i="33"/>
  <c r="X32" i="33" s="1"/>
  <c r="X31" i="33" s="1"/>
  <c r="X26" i="33" s="1"/>
  <c r="X25" i="33" s="1"/>
  <c r="X42" i="33"/>
  <c r="X38" i="33" s="1"/>
  <c r="X37" i="33" s="1"/>
  <c r="X36" i="33" s="1"/>
  <c r="X51" i="33"/>
  <c r="X50" i="33" s="1"/>
  <c r="X49" i="33" s="1"/>
  <c r="X72" i="33"/>
  <c r="X70" i="33" s="1"/>
  <c r="X69" i="33" s="1"/>
  <c r="U94" i="33"/>
  <c r="Q97" i="33"/>
  <c r="Q96" i="33" s="1"/>
  <c r="Q95" i="33" s="1"/>
  <c r="Q88" i="33" s="1"/>
  <c r="U137" i="33"/>
  <c r="U232" i="33"/>
  <c r="X232" i="33"/>
  <c r="X253" i="33"/>
  <c r="X267" i="33"/>
  <c r="Q70" i="33"/>
  <c r="Q69" i="33" s="1"/>
  <c r="G402" i="33"/>
  <c r="U239" i="33"/>
  <c r="U245" i="33"/>
  <c r="U289" i="33"/>
  <c r="U293" i="33"/>
  <c r="U295" i="33"/>
  <c r="U299" i="33"/>
  <c r="U303" i="33"/>
  <c r="U307" i="33"/>
  <c r="U311" i="33"/>
  <c r="U317" i="33"/>
  <c r="U321" i="33"/>
  <c r="U325" i="33"/>
  <c r="U329" i="33"/>
  <c r="U333" i="33"/>
  <c r="U337" i="33"/>
  <c r="U341" i="33"/>
  <c r="U345" i="33"/>
  <c r="U349" i="33"/>
  <c r="U353" i="33"/>
  <c r="U357" i="33"/>
  <c r="U363" i="33"/>
  <c r="U367" i="33"/>
  <c r="K387" i="33"/>
  <c r="K386" i="33" s="1"/>
  <c r="K385" i="33" s="1"/>
  <c r="U389" i="33"/>
  <c r="U387" i="33" s="1"/>
  <c r="U386" i="33" s="1"/>
  <c r="U385" i="33" s="1"/>
  <c r="Q395" i="33"/>
  <c r="Q394" i="33" s="1"/>
  <c r="Q385" i="33" s="1"/>
  <c r="O397" i="33"/>
  <c r="I406" i="33"/>
  <c r="W406" i="33" s="1"/>
  <c r="W402" i="33" s="1"/>
  <c r="Q419" i="33"/>
  <c r="Q418" i="33" s="1"/>
  <c r="U418" i="33" s="1"/>
  <c r="U407" i="33" s="1"/>
  <c r="U406" i="33" s="1"/>
  <c r="U402" i="33" s="1"/>
  <c r="O421" i="33"/>
  <c r="O439" i="33"/>
  <c r="Q451" i="33"/>
  <c r="Q450" i="33" s="1"/>
  <c r="Q449" i="33" s="1"/>
  <c r="U465" i="33"/>
  <c r="U464" i="33" s="1"/>
  <c r="U474" i="33"/>
  <c r="U473" i="33" s="1"/>
  <c r="W487" i="33"/>
  <c r="W486" i="33" s="1"/>
  <c r="W485" i="33" s="1"/>
  <c r="K487" i="33"/>
  <c r="K486" i="33" s="1"/>
  <c r="U502" i="33"/>
  <c r="U501" i="33" s="1"/>
  <c r="U500" i="33" s="1"/>
  <c r="X283" i="33"/>
  <c r="X287" i="33"/>
  <c r="X291" i="33"/>
  <c r="X297" i="33"/>
  <c r="X301" i="33"/>
  <c r="X305" i="33"/>
  <c r="X309" i="33"/>
  <c r="X315" i="33"/>
  <c r="X319" i="33"/>
  <c r="X323" i="33"/>
  <c r="X327" i="33"/>
  <c r="X331" i="33"/>
  <c r="X335" i="33"/>
  <c r="X339" i="33"/>
  <c r="X343" i="33"/>
  <c r="X347" i="33"/>
  <c r="X351" i="33"/>
  <c r="X355" i="33"/>
  <c r="X359" i="33"/>
  <c r="X361" i="33"/>
  <c r="X365" i="33"/>
  <c r="X369" i="33"/>
  <c r="X391" i="33"/>
  <c r="X387" i="33" s="1"/>
  <c r="X386" i="33" s="1"/>
  <c r="X397" i="33"/>
  <c r="X401" i="33"/>
  <c r="W407" i="33"/>
  <c r="X411" i="33"/>
  <c r="X415" i="33"/>
  <c r="X421" i="33"/>
  <c r="X427" i="33"/>
  <c r="X431" i="33"/>
  <c r="X435" i="33"/>
  <c r="X441" i="33"/>
  <c r="X460" i="33"/>
  <c r="U522" i="33"/>
  <c r="U521" i="33" s="1"/>
  <c r="U520" i="33" s="1"/>
  <c r="X236" i="33"/>
  <c r="X238" i="33"/>
  <c r="X244" i="33"/>
  <c r="X248" i="33"/>
  <c r="X250" i="33"/>
  <c r="X256" i="33"/>
  <c r="X260" i="33"/>
  <c r="X264" i="33"/>
  <c r="X268" i="33"/>
  <c r="X272" i="33"/>
  <c r="X276" i="33"/>
  <c r="O389" i="33"/>
  <c r="O387" i="33" s="1"/>
  <c r="O386" i="33" s="1"/>
  <c r="O393" i="33"/>
  <c r="O399" i="33"/>
  <c r="O409" i="33"/>
  <c r="O413" i="33"/>
  <c r="O417" i="33"/>
  <c r="O425" i="33"/>
  <c r="O429" i="33"/>
  <c r="O433" i="33"/>
  <c r="O437" i="33"/>
  <c r="O440" i="33"/>
  <c r="X461" i="33"/>
  <c r="O461" i="33"/>
  <c r="O454" i="33" s="1"/>
  <c r="O453" i="33" s="1"/>
  <c r="O449" i="33" s="1"/>
  <c r="W463" i="33"/>
  <c r="V487" i="33"/>
  <c r="V486" i="33" s="1"/>
  <c r="V485" i="33" s="1"/>
  <c r="O502" i="33"/>
  <c r="O501" i="33" s="1"/>
  <c r="O500" i="33" s="1"/>
  <c r="V587" i="33"/>
  <c r="Q465" i="33"/>
  <c r="Q464" i="33" s="1"/>
  <c r="Q463" i="33" s="1"/>
  <c r="X498" i="33"/>
  <c r="X508" i="33"/>
  <c r="X502" i="33" s="1"/>
  <c r="X501" i="33" s="1"/>
  <c r="X500" i="33" s="1"/>
  <c r="K518" i="33"/>
  <c r="K500" i="33" s="1"/>
  <c r="X519" i="33"/>
  <c r="X518" i="33" s="1"/>
  <c r="X526" i="33"/>
  <c r="O529" i="33"/>
  <c r="O522" i="33" s="1"/>
  <c r="O521" i="33" s="1"/>
  <c r="O520" i="33" s="1"/>
  <c r="X530" i="33"/>
  <c r="O533" i="33"/>
  <c r="X534" i="33"/>
  <c r="U539" i="33"/>
  <c r="U536" i="33" s="1"/>
  <c r="U535" i="33" s="1"/>
  <c r="X540" i="33"/>
  <c r="U552" i="33"/>
  <c r="X553" i="33"/>
  <c r="U556" i="33"/>
  <c r="X557" i="33"/>
  <c r="X569" i="33"/>
  <c r="X585" i="33"/>
  <c r="X584" i="33" s="1"/>
  <c r="W587" i="33"/>
  <c r="W586" i="33" s="1"/>
  <c r="Q590" i="33"/>
  <c r="Q587" i="33" s="1"/>
  <c r="Q586" i="33" s="1"/>
  <c r="U591" i="33"/>
  <c r="X600" i="33"/>
  <c r="O600" i="33"/>
  <c r="X601" i="33"/>
  <c r="X604" i="33"/>
  <c r="U607" i="33"/>
  <c r="X611" i="33"/>
  <c r="X617" i="33"/>
  <c r="V624" i="33"/>
  <c r="V623" i="33" s="1"/>
  <c r="V622" i="33" s="1"/>
  <c r="K624" i="33"/>
  <c r="Q638" i="33"/>
  <c r="X467" i="33"/>
  <c r="X471" i="33"/>
  <c r="X477" i="33"/>
  <c r="X483" i="33"/>
  <c r="X493" i="33"/>
  <c r="X497" i="33"/>
  <c r="Q522" i="33"/>
  <c r="Q521" i="33" s="1"/>
  <c r="Q520" i="33" s="1"/>
  <c r="Q536" i="33"/>
  <c r="Q535" i="33" s="1"/>
  <c r="Q561" i="33"/>
  <c r="X568" i="33"/>
  <c r="X595" i="33"/>
  <c r="X602" i="33"/>
  <c r="O602" i="33"/>
  <c r="X610" i="33"/>
  <c r="L623" i="33"/>
  <c r="L622" i="33" s="1"/>
  <c r="L586" i="33" s="1"/>
  <c r="X627" i="33"/>
  <c r="X631" i="33"/>
  <c r="K465" i="33"/>
  <c r="K464" i="33" s="1"/>
  <c r="O469" i="33"/>
  <c r="O465" i="33" s="1"/>
  <c r="O464" i="33" s="1"/>
  <c r="O475" i="33"/>
  <c r="O474" i="33" s="1"/>
  <c r="O473" i="33" s="1"/>
  <c r="O479" i="33"/>
  <c r="O481" i="33"/>
  <c r="O488" i="33"/>
  <c r="O491" i="33"/>
  <c r="O495" i="33"/>
  <c r="O499" i="33"/>
  <c r="O505" i="33"/>
  <c r="O509" i="33"/>
  <c r="X513" i="33"/>
  <c r="X516" i="33"/>
  <c r="X524" i="33"/>
  <c r="X528" i="33"/>
  <c r="X532" i="33"/>
  <c r="X538" i="33"/>
  <c r="X543" i="33"/>
  <c r="X551" i="33"/>
  <c r="X550" i="33" s="1"/>
  <c r="X547" i="33" s="1"/>
  <c r="X546" i="33" s="1"/>
  <c r="X545" i="33" s="1"/>
  <c r="X555" i="33"/>
  <c r="X559" i="33"/>
  <c r="X561" i="33"/>
  <c r="X596" i="33"/>
  <c r="O596" i="33"/>
  <c r="X620" i="33"/>
  <c r="X626" i="33"/>
  <c r="X630" i="33"/>
  <c r="K474" i="33"/>
  <c r="K473" i="33" s="1"/>
  <c r="G487" i="33"/>
  <c r="G486" i="33" s="1"/>
  <c r="G485" i="33" s="1"/>
  <c r="G462" i="33" s="1"/>
  <c r="K522" i="33"/>
  <c r="K521" i="33" s="1"/>
  <c r="K520" i="33" s="1"/>
  <c r="U566" i="33"/>
  <c r="U561" i="33" s="1"/>
  <c r="X589" i="33"/>
  <c r="X588" i="33" s="1"/>
  <c r="K588" i="33"/>
  <c r="K590" i="33"/>
  <c r="X592" i="33"/>
  <c r="O592" i="33"/>
  <c r="X598" i="33"/>
  <c r="O598" i="33"/>
  <c r="O603" i="33"/>
  <c r="X638" i="33"/>
  <c r="W638" i="33"/>
  <c r="W637" i="33" s="1"/>
  <c r="W635" i="33" s="1"/>
  <c r="V638" i="33"/>
  <c r="V637" i="33" s="1"/>
  <c r="V635" i="33" s="1"/>
  <c r="X668" i="33"/>
  <c r="X725" i="33"/>
  <c r="W746" i="33"/>
  <c r="G860" i="33"/>
  <c r="G769" i="33" s="1"/>
  <c r="O860" i="33"/>
  <c r="U668" i="33"/>
  <c r="W723" i="33"/>
  <c r="W718" i="33" s="1"/>
  <c r="S718" i="33"/>
  <c r="K746" i="33"/>
  <c r="X633" i="33"/>
  <c r="X632" i="33" s="1"/>
  <c r="X735" i="33"/>
  <c r="I860" i="33"/>
  <c r="I769" i="33" s="1"/>
  <c r="M860" i="33"/>
  <c r="Q860" i="33"/>
  <c r="U860" i="33"/>
  <c r="X893" i="33"/>
  <c r="X860" i="33" s="1"/>
  <c r="X769" i="33" s="1"/>
  <c r="X742" i="33"/>
  <c r="X740" i="33" s="1"/>
  <c r="Q723" i="33"/>
  <c r="X723" i="33" s="1"/>
  <c r="X718" i="33" s="1"/>
  <c r="Q725" i="33"/>
  <c r="Q732" i="33"/>
  <c r="X706" i="33"/>
  <c r="X702" i="33" s="1"/>
  <c r="X717" i="33"/>
  <c r="X711" i="33" s="1"/>
  <c r="Q668" i="33"/>
  <c r="F6" i="24"/>
  <c r="U637" i="33" l="1"/>
  <c r="U635" i="33" s="1"/>
  <c r="X465" i="33"/>
  <c r="X464" i="33" s="1"/>
  <c r="X463" i="33" s="1"/>
  <c r="X490" i="33"/>
  <c r="T11" i="33"/>
  <c r="K11" i="33"/>
  <c r="R11" i="33"/>
  <c r="S11" i="33"/>
  <c r="V746" i="33"/>
  <c r="S384" i="33"/>
  <c r="N462" i="33"/>
  <c r="N384" i="33" s="1"/>
  <c r="J11" i="33"/>
  <c r="G11" i="33"/>
  <c r="H10" i="33"/>
  <c r="H9" i="33" s="1"/>
  <c r="Q68" i="33"/>
  <c r="U97" i="33"/>
  <c r="U96" i="33" s="1"/>
  <c r="U95" i="33" s="1"/>
  <c r="X494" i="33"/>
  <c r="X487" i="33" s="1"/>
  <c r="X486" i="33" s="1"/>
  <c r="X485" i="33" s="1"/>
  <c r="S462" i="33"/>
  <c r="U38" i="33"/>
  <c r="U37" i="33" s="1"/>
  <c r="U36" i="33" s="1"/>
  <c r="T462" i="33"/>
  <c r="T384" i="33" s="1"/>
  <c r="F462" i="33"/>
  <c r="F384" i="33" s="1"/>
  <c r="F10" i="33" s="1"/>
  <c r="F9" i="33" s="1"/>
  <c r="Q637" i="33"/>
  <c r="Q635" i="33" s="1"/>
  <c r="X474" i="33"/>
  <c r="X473" i="33" s="1"/>
  <c r="W462" i="33"/>
  <c r="W384" i="33" s="1"/>
  <c r="W10" i="33" s="1"/>
  <c r="V586" i="33"/>
  <c r="X395" i="33"/>
  <c r="X394" i="33" s="1"/>
  <c r="X385" i="33" s="1"/>
  <c r="O395" i="33"/>
  <c r="O394" i="33" s="1"/>
  <c r="X79" i="33"/>
  <c r="X78" i="33" s="1"/>
  <c r="U70" i="33"/>
  <c r="U69" i="33" s="1"/>
  <c r="U68" i="33" s="1"/>
  <c r="X746" i="33"/>
  <c r="V893" i="33"/>
  <c r="V860" i="33" s="1"/>
  <c r="V769" i="33" s="1"/>
  <c r="W893" i="33"/>
  <c r="W860" i="33" s="1"/>
  <c r="W769" i="33" s="1"/>
  <c r="O494" i="33"/>
  <c r="O487" i="33" s="1"/>
  <c r="O486" i="33" s="1"/>
  <c r="O485" i="33" s="1"/>
  <c r="V12" i="33"/>
  <c r="M11" i="33"/>
  <c r="M10" i="33" s="1"/>
  <c r="M9" i="33" s="1"/>
  <c r="O385" i="33"/>
  <c r="K485" i="33"/>
  <c r="O419" i="33"/>
  <c r="O418" i="33" s="1"/>
  <c r="X53" i="33"/>
  <c r="X52" i="33" s="1"/>
  <c r="X48" i="33" s="1"/>
  <c r="V11" i="33"/>
  <c r="U419" i="33"/>
  <c r="I11" i="33"/>
  <c r="X522" i="33"/>
  <c r="X521" i="33" s="1"/>
  <c r="X520" i="33" s="1"/>
  <c r="V462" i="33"/>
  <c r="X133" i="33"/>
  <c r="U113" i="33"/>
  <c r="N11" i="33"/>
  <c r="E11" i="33"/>
  <c r="S10" i="33"/>
  <c r="S9" i="33" s="1"/>
  <c r="O463" i="33"/>
  <c r="X454" i="33"/>
  <c r="X453" i="33" s="1"/>
  <c r="X449" i="33" s="1"/>
  <c r="X590" i="33"/>
  <c r="X587" i="33" s="1"/>
  <c r="K587" i="33"/>
  <c r="X536" i="33"/>
  <c r="X535" i="33" s="1"/>
  <c r="U550" i="33"/>
  <c r="U547" i="33" s="1"/>
  <c r="U546" i="33" s="1"/>
  <c r="U545" i="33" s="1"/>
  <c r="X419" i="33"/>
  <c r="X418" i="33" s="1"/>
  <c r="X407" i="33" s="1"/>
  <c r="X406" i="33" s="1"/>
  <c r="X402" i="33" s="1"/>
  <c r="X68" i="33"/>
  <c r="X113" i="33"/>
  <c r="X12" i="33"/>
  <c r="O590" i="33"/>
  <c r="O587" i="33" s="1"/>
  <c r="O586" i="33" s="1"/>
  <c r="Q718" i="33"/>
  <c r="I402" i="33"/>
  <c r="I384" i="33" s="1"/>
  <c r="I10" i="33" s="1"/>
  <c r="I9" i="33" s="1"/>
  <c r="V406" i="33"/>
  <c r="V402" i="33" s="1"/>
  <c r="R402" i="33"/>
  <c r="R384" i="33" s="1"/>
  <c r="R10" i="33" s="1"/>
  <c r="R9" i="33" s="1"/>
  <c r="Q406" i="33"/>
  <c r="Q402" i="33" s="1"/>
  <c r="Q384" i="33" s="1"/>
  <c r="U91" i="33"/>
  <c r="U90" i="33" s="1"/>
  <c r="U89" i="33" s="1"/>
  <c r="G384" i="33"/>
  <c r="G10" i="33" s="1"/>
  <c r="G9" i="33" s="1"/>
  <c r="X637" i="33"/>
  <c r="X635" i="33" s="1"/>
  <c r="K623" i="33"/>
  <c r="K622" i="33" s="1"/>
  <c r="X624" i="33"/>
  <c r="X623" i="33" s="1"/>
  <c r="X622" i="33" s="1"/>
  <c r="U463" i="33"/>
  <c r="U462" i="33" s="1"/>
  <c r="U384" i="33" s="1"/>
  <c r="Q11" i="33"/>
  <c r="K586" i="33"/>
  <c r="K463" i="33"/>
  <c r="U590" i="33"/>
  <c r="U587" i="33" s="1"/>
  <c r="U586" i="33" s="1"/>
  <c r="Q462" i="33"/>
  <c r="K406" i="33"/>
  <c r="K402" i="33" s="1"/>
  <c r="L402" i="33"/>
  <c r="L384" i="33" s="1"/>
  <c r="L10" i="33" s="1"/>
  <c r="L9" i="33" s="1"/>
  <c r="X105" i="33"/>
  <c r="X104" i="33" s="1"/>
  <c r="X103" i="33" s="1"/>
  <c r="X88" i="33" s="1"/>
  <c r="J402" i="33"/>
  <c r="J384" i="33" s="1"/>
  <c r="J10" i="33" s="1"/>
  <c r="J9" i="33" s="1"/>
  <c r="O406" i="33"/>
  <c r="O402" i="33" s="1"/>
  <c r="U133" i="33"/>
  <c r="T291" i="32"/>
  <c r="T226" i="32"/>
  <c r="T111" i="32"/>
  <c r="W13" i="32"/>
  <c r="V13" i="32"/>
  <c r="T13" i="32"/>
  <c r="S13" i="32"/>
  <c r="P13" i="32"/>
  <c r="N13" i="32"/>
  <c r="M13" i="32"/>
  <c r="I13" i="32"/>
  <c r="H13" i="32"/>
  <c r="U7" i="32"/>
  <c r="W9" i="33" l="1"/>
  <c r="N10" i="33"/>
  <c r="N9" i="33" s="1"/>
  <c r="K462" i="33"/>
  <c r="U88" i="33"/>
  <c r="U11" i="33" s="1"/>
  <c r="U10" i="33" s="1"/>
  <c r="U9" i="33" s="1"/>
  <c r="O462" i="33"/>
  <c r="O384" i="33" s="1"/>
  <c r="O10" i="33" s="1"/>
  <c r="O9" i="33" s="1"/>
  <c r="T10" i="33"/>
  <c r="T9" i="33" s="1"/>
  <c r="V384" i="33"/>
  <c r="V10" i="33" s="1"/>
  <c r="V9" i="33" s="1"/>
  <c r="K384" i="33"/>
  <c r="K10" i="33" s="1"/>
  <c r="K9" i="33" s="1"/>
  <c r="X462" i="33"/>
  <c r="X384" i="33" s="1"/>
  <c r="X586" i="33"/>
  <c r="Q10" i="33"/>
  <c r="Q9" i="33" s="1"/>
  <c r="X11" i="33"/>
  <c r="H11" i="27"/>
  <c r="H10" i="27"/>
  <c r="D14" i="27"/>
  <c r="X10" i="33" l="1"/>
  <c r="X9" i="33" s="1"/>
  <c r="F77" i="5"/>
  <c r="F77" i="29"/>
  <c r="F107" i="5"/>
  <c r="D44" i="3" l="1"/>
  <c r="D43" i="3"/>
  <c r="D41" i="3"/>
  <c r="D40" i="3"/>
  <c r="D38" i="3"/>
  <c r="E38" i="3" s="1"/>
  <c r="D47" i="3"/>
  <c r="C44" i="3"/>
  <c r="D46" i="3"/>
  <c r="D45" i="3" s="1"/>
  <c r="E45" i="3" s="1"/>
  <c r="C34" i="3"/>
  <c r="E20" i="3"/>
  <c r="E30" i="3"/>
  <c r="D29" i="3"/>
  <c r="D28" i="3"/>
  <c r="D27" i="3"/>
  <c r="E27" i="3" s="1"/>
  <c r="D26" i="3"/>
  <c r="E26" i="3" s="1"/>
  <c r="C25" i="3"/>
  <c r="D22" i="3"/>
  <c r="D19" i="3"/>
  <c r="D18" i="3"/>
  <c r="D15" i="3"/>
  <c r="C11" i="3"/>
  <c r="C16" i="3"/>
  <c r="C15" i="3"/>
  <c r="C14" i="3" s="1"/>
  <c r="E44" i="3" l="1"/>
  <c r="E15" i="3"/>
  <c r="D25" i="3"/>
  <c r="E25" i="3" s="1"/>
  <c r="C10" i="3"/>
  <c r="F107" i="29"/>
  <c r="F102" i="4"/>
  <c r="C10" i="15"/>
  <c r="C9" i="15"/>
  <c r="B9" i="15" s="1"/>
  <c r="D9" i="15"/>
  <c r="D10" i="15"/>
  <c r="B11" i="15"/>
  <c r="B13" i="15"/>
  <c r="C11" i="15"/>
  <c r="B10" i="15" l="1"/>
  <c r="G10" i="16"/>
  <c r="L21" i="16"/>
  <c r="C16" i="16"/>
  <c r="L19" i="16"/>
  <c r="C11" i="16"/>
  <c r="C10" i="16"/>
  <c r="C15" i="16"/>
  <c r="E10" i="16"/>
  <c r="H10" i="16"/>
  <c r="C21" i="16"/>
  <c r="D10" i="16" l="1"/>
  <c r="G11" i="16"/>
  <c r="L16" i="16"/>
  <c r="L10" i="16"/>
  <c r="L11" i="16" l="1"/>
  <c r="H13" i="15"/>
  <c r="F12" i="27" l="1"/>
  <c r="F13" i="27"/>
  <c r="F14" i="27"/>
  <c r="F15" i="27"/>
  <c r="F16" i="27"/>
  <c r="F11" i="27"/>
  <c r="E12" i="27"/>
  <c r="E13" i="27"/>
  <c r="E14" i="27"/>
  <c r="E15" i="27"/>
  <c r="E16" i="27"/>
  <c r="E11" i="27"/>
  <c r="D10" i="27"/>
  <c r="C14" i="27"/>
  <c r="C22" i="11" l="1"/>
  <c r="B114" i="29" l="1"/>
  <c r="L12" i="31"/>
  <c r="L8" i="31" s="1"/>
  <c r="L7" i="31" s="1"/>
  <c r="K12" i="31"/>
  <c r="K8" i="31" s="1"/>
  <c r="L9" i="31"/>
  <c r="K9" i="31"/>
  <c r="B42" i="31"/>
  <c r="M40" i="31"/>
  <c r="I36" i="31"/>
  <c r="M34" i="31"/>
  <c r="I27" i="31"/>
  <c r="C27" i="31"/>
  <c r="F20" i="31"/>
  <c r="C19" i="31"/>
  <c r="L16" i="31"/>
  <c r="K16" i="31"/>
  <c r="J16" i="31"/>
  <c r="I16" i="31" s="1"/>
  <c r="F17" i="31"/>
  <c r="E17" i="31"/>
  <c r="D17" i="31"/>
  <c r="C17" i="31" s="1"/>
  <c r="R16" i="31"/>
  <c r="N16" i="31"/>
  <c r="P16" i="31" s="1"/>
  <c r="L15" i="31"/>
  <c r="K15" i="31"/>
  <c r="M20" i="31" s="1"/>
  <c r="J15" i="31"/>
  <c r="M30" i="31" s="1"/>
  <c r="K14" i="31"/>
  <c r="J14" i="31"/>
  <c r="I14" i="31" s="1"/>
  <c r="F15" i="31"/>
  <c r="E15" i="31"/>
  <c r="D15" i="31"/>
  <c r="M17" i="31"/>
  <c r="F14" i="31"/>
  <c r="E14" i="31"/>
  <c r="D14" i="31"/>
  <c r="I13" i="31"/>
  <c r="F13" i="31"/>
  <c r="C13" i="31" s="1"/>
  <c r="E13" i="31"/>
  <c r="D13" i="31"/>
  <c r="I11" i="31"/>
  <c r="C11" i="31"/>
  <c r="I10" i="31"/>
  <c r="E10" i="31"/>
  <c r="N7" i="31"/>
  <c r="Q5" i="31"/>
  <c r="G13" i="30"/>
  <c r="G12" i="30"/>
  <c r="F12" i="30"/>
  <c r="F13" i="30"/>
  <c r="C14" i="30"/>
  <c r="D14" i="30"/>
  <c r="E11" i="30"/>
  <c r="G11" i="30" s="1"/>
  <c r="E14" i="30" l="1"/>
  <c r="F11" i="30"/>
  <c r="C14" i="31"/>
  <c r="C15" i="31"/>
  <c r="I15" i="31"/>
  <c r="K7" i="31"/>
  <c r="F26" i="29"/>
  <c r="D108" i="29"/>
  <c r="D26" i="29"/>
  <c r="C9" i="29"/>
  <c r="E100" i="29"/>
  <c r="F81" i="29"/>
  <c r="F37" i="29"/>
  <c r="F36" i="29"/>
  <c r="L47" i="29"/>
  <c r="E47" i="29" s="1"/>
  <c r="P47" i="29" s="1"/>
  <c r="L46" i="29"/>
  <c r="L45" i="29"/>
  <c r="L21" i="29"/>
  <c r="L20" i="29"/>
  <c r="L16" i="29"/>
  <c r="L13" i="29"/>
  <c r="I47" i="29"/>
  <c r="I46" i="29"/>
  <c r="I45" i="29"/>
  <c r="I40" i="29"/>
  <c r="I38" i="29"/>
  <c r="I37" i="29"/>
  <c r="I21" i="29"/>
  <c r="I20" i="29"/>
  <c r="I16" i="29"/>
  <c r="I13" i="29"/>
  <c r="F48" i="29"/>
  <c r="F47" i="29"/>
  <c r="F46" i="29"/>
  <c r="F45" i="29"/>
  <c r="F43" i="29"/>
  <c r="F42" i="29"/>
  <c r="F41" i="29"/>
  <c r="E41" i="29" s="1"/>
  <c r="P41" i="29" s="1"/>
  <c r="F40" i="29"/>
  <c r="E36" i="29"/>
  <c r="P36" i="29" s="1"/>
  <c r="F22" i="29"/>
  <c r="E22" i="29" s="1"/>
  <c r="F21" i="29"/>
  <c r="F20" i="29"/>
  <c r="F19" i="29"/>
  <c r="E19" i="29" s="1"/>
  <c r="H108" i="29"/>
  <c r="E107" i="29"/>
  <c r="E105" i="29"/>
  <c r="L104" i="29"/>
  <c r="L102" i="29" s="1"/>
  <c r="I104" i="29"/>
  <c r="F104" i="29"/>
  <c r="E104" i="29"/>
  <c r="D104" i="29"/>
  <c r="D102" i="29" s="1"/>
  <c r="C104" i="29"/>
  <c r="C102" i="29" s="1"/>
  <c r="E103" i="29"/>
  <c r="Q103" i="29" s="1"/>
  <c r="M102" i="29"/>
  <c r="K102" i="29"/>
  <c r="K108" i="29" s="1"/>
  <c r="J102" i="29"/>
  <c r="J108" i="29" s="1"/>
  <c r="I102" i="29"/>
  <c r="H102" i="29"/>
  <c r="G102" i="29"/>
  <c r="G108" i="29" s="1"/>
  <c r="F102" i="29"/>
  <c r="E101" i="29"/>
  <c r="D101" i="29"/>
  <c r="C101" i="29"/>
  <c r="K100" i="29"/>
  <c r="H100" i="29"/>
  <c r="G100" i="29"/>
  <c r="G80" i="29" s="1"/>
  <c r="D100" i="29"/>
  <c r="C100" i="29"/>
  <c r="E99" i="29"/>
  <c r="E98" i="29"/>
  <c r="E97" i="29"/>
  <c r="E96" i="29"/>
  <c r="E95" i="29"/>
  <c r="E94" i="29"/>
  <c r="E93" i="29"/>
  <c r="D93" i="29"/>
  <c r="C93" i="29"/>
  <c r="C81" i="29" s="1"/>
  <c r="E92" i="29"/>
  <c r="E91" i="29"/>
  <c r="E90" i="29"/>
  <c r="E89" i="29"/>
  <c r="E88" i="29"/>
  <c r="E87" i="29"/>
  <c r="E86" i="29"/>
  <c r="E85" i="29"/>
  <c r="E84" i="29"/>
  <c r="E82" i="29"/>
  <c r="P82" i="29" s="1"/>
  <c r="N81" i="29"/>
  <c r="N80" i="29" s="1"/>
  <c r="M81" i="29"/>
  <c r="M80" i="29" s="1"/>
  <c r="L81" i="29"/>
  <c r="L80" i="29" s="1"/>
  <c r="K81" i="29"/>
  <c r="J81" i="29"/>
  <c r="J80" i="29" s="1"/>
  <c r="I81" i="29"/>
  <c r="I80" i="29" s="1"/>
  <c r="H81" i="29"/>
  <c r="H80" i="29" s="1"/>
  <c r="G81" i="29"/>
  <c r="D81" i="29"/>
  <c r="K80" i="29"/>
  <c r="Q79" i="29"/>
  <c r="Q78" i="29"/>
  <c r="E77" i="29"/>
  <c r="P76" i="29"/>
  <c r="O76" i="29"/>
  <c r="E75" i="29"/>
  <c r="P75" i="29" s="1"/>
  <c r="E74" i="29"/>
  <c r="O74" i="29" s="1"/>
  <c r="E73" i="29"/>
  <c r="O73" i="29" s="1"/>
  <c r="E72" i="29"/>
  <c r="O72" i="29" s="1"/>
  <c r="E71" i="29"/>
  <c r="O71" i="29" s="1"/>
  <c r="P70" i="29"/>
  <c r="E70" i="29"/>
  <c r="O70" i="29" s="1"/>
  <c r="P69" i="29"/>
  <c r="O69" i="29"/>
  <c r="E69" i="29"/>
  <c r="O68" i="29"/>
  <c r="E68" i="29"/>
  <c r="P68" i="29" s="1"/>
  <c r="M67" i="29"/>
  <c r="L67" i="29"/>
  <c r="J67" i="29"/>
  <c r="I67" i="29"/>
  <c r="H67" i="29"/>
  <c r="G67" i="29"/>
  <c r="F67" i="29"/>
  <c r="P66" i="29"/>
  <c r="O66" i="29"/>
  <c r="E66" i="29"/>
  <c r="O65" i="29"/>
  <c r="E65" i="29"/>
  <c r="P65" i="29" s="1"/>
  <c r="E64" i="29"/>
  <c r="O64" i="29" s="1"/>
  <c r="P63" i="29"/>
  <c r="E63" i="29"/>
  <c r="O63" i="29" s="1"/>
  <c r="P62" i="29"/>
  <c r="O62" i="29"/>
  <c r="E62" i="29"/>
  <c r="O61" i="29"/>
  <c r="E61" i="29"/>
  <c r="P61" i="29" s="1"/>
  <c r="E60" i="29"/>
  <c r="O60" i="29" s="1"/>
  <c r="P59" i="29"/>
  <c r="E59" i="29"/>
  <c r="O59" i="29" s="1"/>
  <c r="P58" i="29"/>
  <c r="O58" i="29"/>
  <c r="E58" i="29"/>
  <c r="O57" i="29"/>
  <c r="E57" i="29"/>
  <c r="P57" i="29" s="1"/>
  <c r="M56" i="29"/>
  <c r="L56" i="29"/>
  <c r="K56" i="29"/>
  <c r="J56" i="29"/>
  <c r="I56" i="29"/>
  <c r="H56" i="29"/>
  <c r="G56" i="29"/>
  <c r="F56" i="29"/>
  <c r="E56" i="29"/>
  <c r="O56" i="29" s="1"/>
  <c r="P55" i="29"/>
  <c r="E55" i="29"/>
  <c r="O55" i="29" s="1"/>
  <c r="P54" i="29"/>
  <c r="O54" i="29"/>
  <c r="E54" i="29"/>
  <c r="O53" i="29"/>
  <c r="E53" i="29"/>
  <c r="P53" i="29" s="1"/>
  <c r="N52" i="29"/>
  <c r="M52" i="29"/>
  <c r="L52" i="29"/>
  <c r="K52" i="29"/>
  <c r="J52" i="29"/>
  <c r="I52" i="29"/>
  <c r="H52" i="29"/>
  <c r="G52" i="29"/>
  <c r="F52" i="29"/>
  <c r="E52" i="29"/>
  <c r="O52" i="29" s="1"/>
  <c r="E51" i="29"/>
  <c r="O51" i="29" s="1"/>
  <c r="P50" i="29"/>
  <c r="O50" i="29"/>
  <c r="P49" i="29"/>
  <c r="O49" i="29"/>
  <c r="P48" i="29"/>
  <c r="E48" i="29"/>
  <c r="N47" i="29"/>
  <c r="P44" i="29"/>
  <c r="O44" i="29"/>
  <c r="E44" i="29"/>
  <c r="E43" i="29"/>
  <c r="P43" i="29" s="1"/>
  <c r="E42" i="29"/>
  <c r="P42" i="29" s="1"/>
  <c r="H41" i="29"/>
  <c r="P39" i="29"/>
  <c r="E39" i="29"/>
  <c r="O39" i="29" s="1"/>
  <c r="H37" i="29"/>
  <c r="H35" i="29" s="1"/>
  <c r="N35" i="29"/>
  <c r="M35" i="29"/>
  <c r="K35" i="29"/>
  <c r="J35" i="29"/>
  <c r="G35" i="29"/>
  <c r="D35" i="29"/>
  <c r="C35" i="29"/>
  <c r="P34" i="29"/>
  <c r="O34" i="29"/>
  <c r="E34" i="29"/>
  <c r="E33" i="29"/>
  <c r="P33" i="29" s="1"/>
  <c r="E32" i="29"/>
  <c r="O32" i="29" s="1"/>
  <c r="Q31" i="29"/>
  <c r="E31" i="29"/>
  <c r="O31" i="29" s="1"/>
  <c r="P30" i="29"/>
  <c r="E30" i="29"/>
  <c r="O30" i="29" s="1"/>
  <c r="P29" i="29"/>
  <c r="O29" i="29"/>
  <c r="J29" i="29"/>
  <c r="E29" i="29"/>
  <c r="P28" i="29"/>
  <c r="O28" i="29"/>
  <c r="P27" i="29"/>
  <c r="O27" i="29"/>
  <c r="E26" i="29"/>
  <c r="P26" i="29" s="1"/>
  <c r="E25" i="29"/>
  <c r="E24" i="29"/>
  <c r="E23" i="29"/>
  <c r="G20" i="29"/>
  <c r="E18" i="29"/>
  <c r="E17" i="29"/>
  <c r="E15" i="29"/>
  <c r="E14" i="29"/>
  <c r="E12" i="29"/>
  <c r="E11" i="29"/>
  <c r="N10" i="29"/>
  <c r="M10" i="29"/>
  <c r="K10" i="29"/>
  <c r="J10" i="29"/>
  <c r="H10" i="29"/>
  <c r="L17" i="1"/>
  <c r="K17" i="1"/>
  <c r="J17" i="1"/>
  <c r="L16" i="1"/>
  <c r="K16" i="1"/>
  <c r="J16" i="1"/>
  <c r="K14" i="1"/>
  <c r="J14" i="1"/>
  <c r="L12" i="1"/>
  <c r="K12" i="1"/>
  <c r="I27" i="1"/>
  <c r="I15" i="1"/>
  <c r="I13" i="1"/>
  <c r="L9" i="1"/>
  <c r="K9" i="1"/>
  <c r="F20" i="1"/>
  <c r="F17" i="1"/>
  <c r="E17" i="1"/>
  <c r="D17" i="1"/>
  <c r="F15" i="1"/>
  <c r="E15" i="1"/>
  <c r="D15" i="1"/>
  <c r="F14" i="1"/>
  <c r="E14" i="1"/>
  <c r="D14" i="1"/>
  <c r="D105" i="4"/>
  <c r="F13" i="1"/>
  <c r="C13" i="1" s="1"/>
  <c r="E13" i="1"/>
  <c r="D13" i="1"/>
  <c r="E10" i="1"/>
  <c r="G14" i="30" l="1"/>
  <c r="F14" i="30"/>
  <c r="O26" i="29"/>
  <c r="C108" i="29"/>
  <c r="F80" i="29"/>
  <c r="E80" i="29" s="1"/>
  <c r="O80" i="29" s="1"/>
  <c r="L35" i="29"/>
  <c r="E21" i="29"/>
  <c r="E46" i="29"/>
  <c r="P46" i="29" s="1"/>
  <c r="E40" i="29"/>
  <c r="P40" i="29" s="1"/>
  <c r="I35" i="29"/>
  <c r="E38" i="29"/>
  <c r="O38" i="29" s="1"/>
  <c r="E37" i="29"/>
  <c r="P37" i="29" s="1"/>
  <c r="I10" i="29"/>
  <c r="I9" i="29" s="1"/>
  <c r="E45" i="29"/>
  <c r="P45" i="29" s="1"/>
  <c r="F35" i="29"/>
  <c r="J12" i="31" s="1"/>
  <c r="I12" i="31" s="1"/>
  <c r="E20" i="29"/>
  <c r="F10" i="29"/>
  <c r="F9" i="29" s="1"/>
  <c r="J9" i="31" s="1"/>
  <c r="E13" i="29"/>
  <c r="O87" i="29"/>
  <c r="P87" i="29"/>
  <c r="P90" i="29"/>
  <c r="O90" i="29"/>
  <c r="O91" i="29"/>
  <c r="P91" i="29"/>
  <c r="P95" i="29"/>
  <c r="O95" i="29"/>
  <c r="O96" i="29"/>
  <c r="P96" i="29"/>
  <c r="P99" i="29"/>
  <c r="O99" i="29"/>
  <c r="P88" i="29"/>
  <c r="O88" i="29"/>
  <c r="O89" i="29"/>
  <c r="P89" i="29"/>
  <c r="P92" i="29"/>
  <c r="O92" i="29"/>
  <c r="Q100" i="29"/>
  <c r="P100" i="29"/>
  <c r="O100" i="29"/>
  <c r="P93" i="29"/>
  <c r="O93" i="29"/>
  <c r="O94" i="29"/>
  <c r="P94" i="29"/>
  <c r="P97" i="29"/>
  <c r="O97" i="29"/>
  <c r="O98" i="29"/>
  <c r="P98" i="29"/>
  <c r="E102" i="29"/>
  <c r="Q102" i="29" s="1"/>
  <c r="L10" i="29"/>
  <c r="L9" i="29" s="1"/>
  <c r="G10" i="29"/>
  <c r="E16" i="29"/>
  <c r="P31" i="29"/>
  <c r="P32" i="29"/>
  <c r="P51" i="29"/>
  <c r="P52" i="29"/>
  <c r="P56" i="29"/>
  <c r="P60" i="29"/>
  <c r="P64" i="29"/>
  <c r="P71" i="29"/>
  <c r="P72" i="29"/>
  <c r="P73" i="29"/>
  <c r="P74" i="29"/>
  <c r="Q82" i="29"/>
  <c r="Q71" i="29"/>
  <c r="Q72" i="29"/>
  <c r="Q73" i="29"/>
  <c r="E83" i="29"/>
  <c r="O33" i="29"/>
  <c r="O75" i="29"/>
  <c r="O82" i="29"/>
  <c r="E67" i="29"/>
  <c r="I17" i="1"/>
  <c r="I16" i="1"/>
  <c r="I14" i="1"/>
  <c r="C14" i="1"/>
  <c r="D25" i="2"/>
  <c r="D20" i="2"/>
  <c r="G27" i="2"/>
  <c r="G28" i="2"/>
  <c r="G32" i="2"/>
  <c r="F39" i="2"/>
  <c r="F22" i="2"/>
  <c r="F23" i="2"/>
  <c r="F24" i="2"/>
  <c r="F27" i="2"/>
  <c r="F28" i="2"/>
  <c r="F32" i="2"/>
  <c r="F40" i="2"/>
  <c r="F41" i="2"/>
  <c r="F42" i="2"/>
  <c r="F47" i="2"/>
  <c r="I42" i="2"/>
  <c r="D36" i="2"/>
  <c r="E43" i="2"/>
  <c r="F44" i="2"/>
  <c r="N9" i="31" l="1"/>
  <c r="N10" i="31" s="1"/>
  <c r="I9" i="31"/>
  <c r="N25" i="31" s="1"/>
  <c r="J8" i="31"/>
  <c r="P80" i="29"/>
  <c r="Q80" i="29"/>
  <c r="L8" i="29"/>
  <c r="L108" i="29" s="1"/>
  <c r="L115" i="29" s="1"/>
  <c r="E35" i="29"/>
  <c r="Q35" i="29" s="1"/>
  <c r="I8" i="29"/>
  <c r="I108" i="29" s="1"/>
  <c r="I114" i="29" s="1"/>
  <c r="P38" i="29"/>
  <c r="O67" i="29"/>
  <c r="P67" i="29"/>
  <c r="P83" i="29"/>
  <c r="E81" i="29"/>
  <c r="O83" i="29"/>
  <c r="E9" i="29"/>
  <c r="F8" i="29"/>
  <c r="F108" i="29" s="1"/>
  <c r="E10" i="29"/>
  <c r="E45" i="2"/>
  <c r="F45" i="2" s="1"/>
  <c r="E34" i="2"/>
  <c r="F34" i="2" s="1"/>
  <c r="E31" i="2"/>
  <c r="F31" i="2" s="1"/>
  <c r="E20" i="2"/>
  <c r="D43" i="2"/>
  <c r="D35" i="2" s="1"/>
  <c r="C37" i="2"/>
  <c r="C36" i="2" s="1"/>
  <c r="C45" i="2"/>
  <c r="C43" i="2" s="1"/>
  <c r="C25" i="2"/>
  <c r="C20" i="2"/>
  <c r="D16" i="2"/>
  <c r="J7" i="31" l="1"/>
  <c r="I43" i="31" s="1"/>
  <c r="I8" i="31"/>
  <c r="I7" i="31" s="1"/>
  <c r="P35" i="29"/>
  <c r="O35" i="29"/>
  <c r="E8" i="29"/>
  <c r="P81" i="29"/>
  <c r="O81" i="29"/>
  <c r="P9" i="29"/>
  <c r="O9" i="29"/>
  <c r="Q9" i="29"/>
  <c r="F20" i="2"/>
  <c r="F43" i="2"/>
  <c r="C19" i="2"/>
  <c r="C35" i="2"/>
  <c r="D19" i="2"/>
  <c r="D15" i="2" s="1"/>
  <c r="O83" i="5"/>
  <c r="P82" i="5"/>
  <c r="P83" i="5"/>
  <c r="O82" i="5"/>
  <c r="P7" i="31" l="1"/>
  <c r="H37" i="31"/>
  <c r="Q8" i="29"/>
  <c r="P8" i="29"/>
  <c r="O8" i="29"/>
  <c r="E108" i="29"/>
  <c r="R112" i="5" s="1"/>
  <c r="F114" i="29"/>
  <c r="P108" i="29" l="1"/>
  <c r="O108" i="29"/>
  <c r="E114" i="29"/>
  <c r="F36" i="5"/>
  <c r="H37" i="5"/>
  <c r="F41" i="5"/>
  <c r="H41" i="5"/>
  <c r="I37" i="5"/>
  <c r="I47" i="5"/>
  <c r="K80" i="5"/>
  <c r="K100" i="5"/>
  <c r="I100" i="5"/>
  <c r="F99" i="5"/>
  <c r="L100" i="5"/>
  <c r="L47" i="5"/>
  <c r="N47" i="5"/>
  <c r="C80" i="5"/>
  <c r="D80" i="5"/>
  <c r="D100" i="5"/>
  <c r="C100" i="5"/>
  <c r="D93" i="5"/>
  <c r="C93" i="5"/>
  <c r="C81" i="5"/>
  <c r="D81" i="5"/>
  <c r="D101" i="5"/>
  <c r="C101" i="5"/>
  <c r="F104" i="5"/>
  <c r="L46" i="5"/>
  <c r="L45" i="5"/>
  <c r="L21" i="5"/>
  <c r="L20" i="5"/>
  <c r="L16" i="5"/>
  <c r="L13" i="5"/>
  <c r="I81" i="5"/>
  <c r="F81" i="5"/>
  <c r="I46" i="5"/>
  <c r="I45" i="5"/>
  <c r="I40" i="5"/>
  <c r="I38" i="5"/>
  <c r="I21" i="5"/>
  <c r="I20" i="5"/>
  <c r="I16" i="5"/>
  <c r="I13" i="5"/>
  <c r="F47" i="5"/>
  <c r="F46" i="5"/>
  <c r="F45" i="5"/>
  <c r="F43" i="5"/>
  <c r="F42" i="5"/>
  <c r="F40" i="5"/>
  <c r="F37" i="5"/>
  <c r="F22" i="5"/>
  <c r="F21" i="5"/>
  <c r="F19" i="5"/>
  <c r="E83" i="5"/>
  <c r="E85" i="5"/>
  <c r="E86" i="5"/>
  <c r="E87" i="5"/>
  <c r="E88" i="5"/>
  <c r="E89" i="5"/>
  <c r="E90" i="5"/>
  <c r="E91" i="5"/>
  <c r="E92" i="5"/>
  <c r="E93" i="5"/>
  <c r="E94" i="5"/>
  <c r="E95" i="5"/>
  <c r="E96" i="5"/>
  <c r="E97" i="5"/>
  <c r="E98" i="5"/>
  <c r="E99" i="5"/>
  <c r="E84" i="5"/>
  <c r="L83" i="5"/>
  <c r="L84" i="5"/>
  <c r="L85" i="5"/>
  <c r="L86" i="5"/>
  <c r="L87" i="5"/>
  <c r="L88" i="5"/>
  <c r="L89" i="5"/>
  <c r="L90" i="5"/>
  <c r="L91" i="5"/>
  <c r="L92" i="5"/>
  <c r="L93" i="5"/>
  <c r="L94" i="5"/>
  <c r="L95" i="5"/>
  <c r="L96" i="5"/>
  <c r="L97" i="5"/>
  <c r="L98" i="5"/>
  <c r="L99" i="5"/>
  <c r="L82" i="5"/>
  <c r="I83" i="5"/>
  <c r="I84" i="5"/>
  <c r="I85" i="5"/>
  <c r="I86" i="5"/>
  <c r="I87" i="5"/>
  <c r="I88" i="5"/>
  <c r="I89" i="5"/>
  <c r="I90" i="5"/>
  <c r="I91" i="5"/>
  <c r="I92" i="5"/>
  <c r="I93" i="5"/>
  <c r="I94" i="5"/>
  <c r="I95" i="5"/>
  <c r="I96" i="5"/>
  <c r="I97" i="5"/>
  <c r="I98" i="5"/>
  <c r="I99" i="5"/>
  <c r="I82" i="5"/>
  <c r="F83" i="5"/>
  <c r="F84" i="5"/>
  <c r="F85" i="5"/>
  <c r="F86" i="5"/>
  <c r="F87" i="5"/>
  <c r="F88" i="5"/>
  <c r="F89" i="5"/>
  <c r="F90" i="5"/>
  <c r="F91" i="5"/>
  <c r="F92" i="5"/>
  <c r="F93" i="5"/>
  <c r="F94" i="5"/>
  <c r="F95" i="5"/>
  <c r="F96" i="5"/>
  <c r="F97" i="5"/>
  <c r="F98" i="5"/>
  <c r="F82" i="5"/>
  <c r="E82" i="5"/>
  <c r="O87" i="5" l="1"/>
  <c r="P87" i="5"/>
  <c r="P96" i="5"/>
  <c r="O96" i="5"/>
  <c r="P92" i="5"/>
  <c r="O92" i="5"/>
  <c r="P88" i="5"/>
  <c r="O88" i="5"/>
  <c r="P99" i="5"/>
  <c r="O99" i="5"/>
  <c r="P95" i="5"/>
  <c r="O95" i="5"/>
  <c r="P91" i="5"/>
  <c r="O91" i="5"/>
  <c r="P98" i="5"/>
  <c r="O98" i="5"/>
  <c r="P94" i="5"/>
  <c r="O94" i="5"/>
  <c r="P90" i="5"/>
  <c r="O90" i="5"/>
  <c r="E81" i="5"/>
  <c r="P81" i="5" s="1"/>
  <c r="P97" i="5"/>
  <c r="O97" i="5"/>
  <c r="P93" i="5"/>
  <c r="O93" i="5"/>
  <c r="P89" i="5"/>
  <c r="O89" i="5"/>
  <c r="F48" i="5"/>
  <c r="F26" i="5"/>
  <c r="E23" i="5"/>
  <c r="E11" i="5"/>
  <c r="E18" i="5"/>
  <c r="N81" i="5"/>
  <c r="M81" i="5"/>
  <c r="N35" i="5"/>
  <c r="M10" i="5"/>
  <c r="J81" i="5"/>
  <c r="K81" i="5"/>
  <c r="J10" i="5"/>
  <c r="K10" i="5"/>
  <c r="G10" i="5"/>
  <c r="H10" i="5"/>
  <c r="H81" i="5"/>
  <c r="G81" i="5"/>
  <c r="P14" i="4" l="1"/>
  <c r="O17" i="4"/>
  <c r="O10" i="4"/>
  <c r="E18" i="2" s="1"/>
  <c r="F18" i="2" s="1"/>
  <c r="O14" i="4" l="1"/>
  <c r="M4" i="4"/>
  <c r="E77" i="4"/>
  <c r="D10" i="31" l="1"/>
  <c r="C10" i="31" s="1"/>
  <c r="D10" i="1"/>
  <c r="C10" i="1" s="1"/>
  <c r="D38" i="4"/>
  <c r="C26" i="5" l="1"/>
  <c r="C35" i="5"/>
  <c r="D36" i="3" l="1"/>
  <c r="E26" i="2" l="1"/>
  <c r="E21" i="2"/>
  <c r="F21" i="2" s="1"/>
  <c r="G26" i="2" l="1"/>
  <c r="F26" i="2"/>
  <c r="D26" i="5"/>
  <c r="C58" i="4" l="1"/>
  <c r="C11" i="4"/>
  <c r="B63" i="4" l="1"/>
  <c r="E63" i="4"/>
  <c r="F63" i="4"/>
  <c r="G63" i="4"/>
  <c r="H63" i="4"/>
  <c r="D64" i="4"/>
  <c r="K64" i="4" s="1"/>
  <c r="D65" i="4"/>
  <c r="K65" i="4" s="1"/>
  <c r="D66" i="4"/>
  <c r="K66" i="4" s="1"/>
  <c r="D67" i="4"/>
  <c r="D68" i="4"/>
  <c r="K68" i="4" s="1"/>
  <c r="E69" i="4"/>
  <c r="F69" i="4"/>
  <c r="G69" i="4"/>
  <c r="H69" i="4"/>
  <c r="D70" i="4"/>
  <c r="K70" i="4" s="1"/>
  <c r="D71" i="4"/>
  <c r="K71" i="4" s="1"/>
  <c r="B37" i="4"/>
  <c r="B29" i="4"/>
  <c r="B20" i="4"/>
  <c r="B49" i="4"/>
  <c r="B77" i="4"/>
  <c r="G11" i="4"/>
  <c r="D58" i="4"/>
  <c r="D61" i="4"/>
  <c r="D60" i="4"/>
  <c r="I60" i="4" s="1"/>
  <c r="D59" i="4"/>
  <c r="D55" i="4"/>
  <c r="D54" i="4"/>
  <c r="D56" i="4"/>
  <c r="I61" i="4" l="1"/>
  <c r="J61" i="4"/>
  <c r="D63" i="4"/>
  <c r="K63" i="4" s="1"/>
  <c r="G37" i="4"/>
  <c r="F37" i="4"/>
  <c r="E37" i="4"/>
  <c r="E29" i="4"/>
  <c r="F29" i="4"/>
  <c r="D45" i="4" l="1"/>
  <c r="D106" i="4"/>
  <c r="E30" i="2" s="1"/>
  <c r="F30" i="2" s="1"/>
  <c r="D80" i="4"/>
  <c r="D79" i="4"/>
  <c r="D62" i="4"/>
  <c r="J62" i="4" s="1"/>
  <c r="D53" i="4"/>
  <c r="D52" i="4"/>
  <c r="H51" i="4"/>
  <c r="D51" i="4" s="1"/>
  <c r="D50" i="4"/>
  <c r="D48" i="4"/>
  <c r="E49" i="4"/>
  <c r="D46" i="4"/>
  <c r="D44" i="4"/>
  <c r="H29" i="4" l="1"/>
  <c r="G29" i="4"/>
  <c r="D29" i="4" l="1"/>
  <c r="T203" i="23" l="1"/>
  <c r="C10" i="27" l="1"/>
  <c r="C19" i="1" l="1"/>
  <c r="E77" i="5" l="1"/>
  <c r="E46" i="2" s="1"/>
  <c r="F46" i="2" l="1"/>
  <c r="N1" i="4"/>
  <c r="N3" i="4" s="1"/>
  <c r="S202" i="23" l="1"/>
  <c r="F101" i="4" l="1"/>
  <c r="D16" i="3" s="1"/>
  <c r="D14" i="3" l="1"/>
  <c r="E14" i="3" s="1"/>
  <c r="E16" i="3"/>
  <c r="D18" i="31"/>
  <c r="D18" i="1"/>
  <c r="D16" i="1" s="1"/>
  <c r="E25" i="2"/>
  <c r="G25" i="2" l="1"/>
  <c r="F25" i="2"/>
  <c r="E19" i="2"/>
  <c r="D16" i="31"/>
  <c r="C34" i="31" l="1"/>
  <c r="F19" i="2"/>
  <c r="D15" i="22" l="1"/>
  <c r="E16" i="22"/>
  <c r="E17" i="22"/>
  <c r="E18" i="22"/>
  <c r="E19" i="22"/>
  <c r="E20" i="22"/>
  <c r="E21" i="22"/>
  <c r="E22" i="22"/>
  <c r="E23" i="22"/>
  <c r="E24" i="22"/>
  <c r="E25" i="22"/>
  <c r="E27" i="22"/>
  <c r="E28" i="22"/>
  <c r="E29" i="22"/>
  <c r="E30" i="22"/>
  <c r="E31" i="22"/>
  <c r="E41" i="22"/>
  <c r="D16" i="22"/>
  <c r="D17" i="22"/>
  <c r="D18" i="22"/>
  <c r="C18" i="22" s="1"/>
  <c r="D19" i="22"/>
  <c r="D20" i="22"/>
  <c r="D21" i="22"/>
  <c r="D22" i="22"/>
  <c r="C22" i="22" s="1"/>
  <c r="D23" i="22"/>
  <c r="D24" i="22"/>
  <c r="D25" i="22"/>
  <c r="D26" i="22"/>
  <c r="D27" i="22"/>
  <c r="C27" i="22" s="1"/>
  <c r="D28" i="22"/>
  <c r="D29" i="22"/>
  <c r="D30" i="22"/>
  <c r="D31" i="22"/>
  <c r="C31" i="22" s="1"/>
  <c r="D32" i="22"/>
  <c r="D41" i="22"/>
  <c r="C23" i="22" l="1"/>
  <c r="C19" i="22"/>
  <c r="C30" i="22"/>
  <c r="C25" i="22"/>
  <c r="C21" i="22"/>
  <c r="C17" i="22"/>
  <c r="C41" i="22"/>
  <c r="C29" i="22"/>
  <c r="C32" i="22"/>
  <c r="C28" i="22"/>
  <c r="C24" i="22"/>
  <c r="C20" i="22"/>
  <c r="D14" i="22"/>
  <c r="C16" i="22"/>
  <c r="F14" i="22"/>
  <c r="E15" i="22"/>
  <c r="G14" i="22" l="1"/>
  <c r="C15" i="22"/>
  <c r="F42" i="22"/>
  <c r="E51" i="22"/>
  <c r="E49" i="22"/>
  <c r="E48" i="22"/>
  <c r="E47" i="22"/>
  <c r="E46" i="22"/>
  <c r="E43" i="22"/>
  <c r="E50" i="22"/>
  <c r="E45" i="22"/>
  <c r="E44" i="22"/>
  <c r="D51" i="22"/>
  <c r="D50" i="22"/>
  <c r="D49" i="22"/>
  <c r="D48" i="22"/>
  <c r="D47" i="22"/>
  <c r="D46" i="22"/>
  <c r="D45" i="22"/>
  <c r="D44" i="22"/>
  <c r="C44" i="22" s="1"/>
  <c r="D43" i="22"/>
  <c r="P11" i="9"/>
  <c r="E20" i="9"/>
  <c r="J11" i="9" l="1"/>
  <c r="D42" i="22"/>
  <c r="C43" i="22"/>
  <c r="E42" i="22"/>
  <c r="E26" i="22"/>
  <c r="E14" i="22" s="1"/>
  <c r="H42" i="22"/>
  <c r="H53" i="22" s="1"/>
  <c r="I42" i="22"/>
  <c r="F55" i="22"/>
  <c r="G42" i="22"/>
  <c r="I53" i="22" l="1"/>
  <c r="H54" i="22" s="1"/>
  <c r="H55" i="22" s="1"/>
  <c r="C26" i="22"/>
  <c r="C14" i="22" s="1"/>
  <c r="G55" i="22"/>
  <c r="F53" i="22"/>
  <c r="F57" i="22" s="1"/>
  <c r="R12" i="9"/>
  <c r="E13" i="9"/>
  <c r="E15" i="9"/>
  <c r="E16" i="9"/>
  <c r="E17" i="9"/>
  <c r="E18" i="9"/>
  <c r="E19" i="9"/>
  <c r="F11" i="9"/>
  <c r="E11" i="9" l="1"/>
  <c r="C34" i="1" l="1"/>
  <c r="I36" i="1"/>
  <c r="L102" i="4" l="1"/>
  <c r="M103" i="4" s="1"/>
  <c r="F242" i="23" l="1"/>
  <c r="F227" i="23"/>
  <c r="F226" i="23"/>
  <c r="F225" i="23"/>
  <c r="F224" i="23"/>
  <c r="F223" i="23"/>
  <c r="F222" i="23"/>
  <c r="F221" i="23"/>
  <c r="F220" i="23"/>
  <c r="F219" i="23"/>
  <c r="F218" i="23"/>
  <c r="F217" i="23"/>
  <c r="F216" i="23"/>
  <c r="F215" i="23"/>
  <c r="F214" i="23"/>
  <c r="F213" i="23"/>
  <c r="F212" i="23"/>
  <c r="F211" i="23"/>
  <c r="F209" i="23"/>
  <c r="F208" i="23"/>
  <c r="F207" i="23"/>
  <c r="F206" i="23"/>
  <c r="K205" i="23"/>
  <c r="K203" i="23" s="1"/>
  <c r="K12" i="23" s="1"/>
  <c r="V14" i="23" s="1"/>
  <c r="V16" i="23" s="1"/>
  <c r="F204" i="23"/>
  <c r="M12" i="23"/>
  <c r="L203" i="23"/>
  <c r="L12" i="23" s="1"/>
  <c r="F187" i="23"/>
  <c r="F186" i="23"/>
  <c r="F185" i="23"/>
  <c r="F184" i="23"/>
  <c r="F182" i="23"/>
  <c r="F181" i="23"/>
  <c r="F180" i="23"/>
  <c r="F179" i="23"/>
  <c r="F177" i="23"/>
  <c r="F176" i="23"/>
  <c r="F175" i="23"/>
  <c r="F174" i="23"/>
  <c r="F173" i="23"/>
  <c r="F172" i="23"/>
  <c r="F170" i="23"/>
  <c r="F169" i="23"/>
  <c r="F168" i="23"/>
  <c r="F167" i="23"/>
  <c r="F166" i="23"/>
  <c r="F165" i="23"/>
  <c r="F163" i="23"/>
  <c r="F162" i="23"/>
  <c r="F160" i="23"/>
  <c r="F159" i="23"/>
  <c r="F158" i="23"/>
  <c r="F157" i="23"/>
  <c r="F156" i="23"/>
  <c r="F155" i="23"/>
  <c r="F154" i="23"/>
  <c r="F153" i="23"/>
  <c r="F152" i="23"/>
  <c r="F151" i="23"/>
  <c r="F150" i="23"/>
  <c r="F149" i="23"/>
  <c r="F148" i="23"/>
  <c r="F147" i="23"/>
  <c r="F146" i="23"/>
  <c r="F145" i="23"/>
  <c r="F144" i="23"/>
  <c r="F143" i="23"/>
  <c r="F142" i="23"/>
  <c r="F141" i="23"/>
  <c r="F140" i="23"/>
  <c r="F139" i="23"/>
  <c r="F138" i="23"/>
  <c r="F137" i="23"/>
  <c r="F136" i="23"/>
  <c r="F135" i="23"/>
  <c r="F134" i="23"/>
  <c r="F133" i="23"/>
  <c r="F132" i="23"/>
  <c r="F131" i="23"/>
  <c r="F130" i="23"/>
  <c r="F129" i="23"/>
  <c r="F128" i="23"/>
  <c r="F127" i="23"/>
  <c r="F126" i="23"/>
  <c r="F125" i="23"/>
  <c r="F124" i="23"/>
  <c r="F123" i="23"/>
  <c r="F122" i="23"/>
  <c r="F121" i="23"/>
  <c r="F119" i="23"/>
  <c r="F118" i="23"/>
  <c r="F117" i="23"/>
  <c r="F116" i="23"/>
  <c r="F115" i="23"/>
  <c r="F113" i="23"/>
  <c r="F112" i="23"/>
  <c r="F111" i="23"/>
  <c r="F110" i="23"/>
  <c r="F109" i="23"/>
  <c r="F108" i="23"/>
  <c r="F107" i="23"/>
  <c r="F106" i="23"/>
  <c r="F105" i="23"/>
  <c r="F104" i="23"/>
  <c r="F103" i="23"/>
  <c r="F102" i="23"/>
  <c r="F101" i="23"/>
  <c r="F99" i="23"/>
  <c r="F98" i="23"/>
  <c r="F96" i="23"/>
  <c r="F95" i="23"/>
  <c r="F94" i="23"/>
  <c r="F93" i="23"/>
  <c r="F92" i="23"/>
  <c r="F91" i="23"/>
  <c r="F90" i="23"/>
  <c r="F89" i="23"/>
  <c r="F88" i="23"/>
  <c r="F87" i="23"/>
  <c r="F86" i="23"/>
  <c r="F85" i="23"/>
  <c r="F83" i="23"/>
  <c r="F82" i="23"/>
  <c r="F81" i="23"/>
  <c r="F80" i="23"/>
  <c r="F79" i="23"/>
  <c r="F78" i="23"/>
  <c r="F77" i="23"/>
  <c r="F76" i="23"/>
  <c r="F75" i="23"/>
  <c r="F74" i="23"/>
  <c r="F73" i="23"/>
  <c r="F72" i="23"/>
  <c r="F71" i="23"/>
  <c r="F70" i="23"/>
  <c r="F69" i="23"/>
  <c r="F68" i="23"/>
  <c r="F67" i="23"/>
  <c r="F66" i="23"/>
  <c r="F65" i="23"/>
  <c r="F64" i="23"/>
  <c r="F63" i="23"/>
  <c r="F62" i="23"/>
  <c r="F61" i="23"/>
  <c r="F60" i="23"/>
  <c r="F57" i="23"/>
  <c r="F54" i="23"/>
  <c r="F53" i="23"/>
  <c r="F52" i="23"/>
  <c r="F50" i="23"/>
  <c r="F49" i="23"/>
  <c r="F48" i="23"/>
  <c r="F47" i="23"/>
  <c r="F46" i="23"/>
  <c r="F45" i="23"/>
  <c r="F44" i="23"/>
  <c r="F43" i="23"/>
  <c r="F42" i="23"/>
  <c r="F41" i="23"/>
  <c r="F40" i="23"/>
  <c r="F39" i="23"/>
  <c r="F38" i="23"/>
  <c r="F37" i="23"/>
  <c r="F36" i="23"/>
  <c r="F35" i="23"/>
  <c r="F34" i="23"/>
  <c r="F33" i="23"/>
  <c r="F32" i="23"/>
  <c r="F31" i="23"/>
  <c r="F30" i="23"/>
  <c r="F28" i="23"/>
  <c r="F27" i="23"/>
  <c r="F26" i="23"/>
  <c r="F25" i="23"/>
  <c r="F24" i="23"/>
  <c r="F23" i="23"/>
  <c r="F22" i="23"/>
  <c r="F21" i="23"/>
  <c r="F20" i="23"/>
  <c r="F19" i="23"/>
  <c r="F18" i="23"/>
  <c r="F16" i="23"/>
  <c r="F15" i="23"/>
  <c r="O12" i="23"/>
  <c r="J12" i="23"/>
  <c r="I12" i="23"/>
  <c r="F13" i="23" l="1"/>
  <c r="F205" i="23"/>
  <c r="F210" i="23"/>
  <c r="F203" i="23" s="1"/>
  <c r="F12" i="23" l="1"/>
  <c r="V11" i="23" s="1"/>
  <c r="T22" i="23"/>
  <c r="H12" i="23"/>
  <c r="V13" i="23" l="1"/>
  <c r="D16" i="15"/>
  <c r="M30" i="1"/>
  <c r="B18" i="15" l="1"/>
  <c r="B15" i="15"/>
  <c r="B14" i="15"/>
  <c r="C17" i="16"/>
  <c r="C13" i="11" l="1"/>
  <c r="B26" i="11"/>
  <c r="C10" i="11" l="1"/>
  <c r="G80" i="5" l="1"/>
  <c r="G101" i="4" l="1"/>
  <c r="D39" i="3" l="1"/>
  <c r="D37" i="3" s="1"/>
  <c r="E18" i="31"/>
  <c r="E16" i="31" s="1"/>
  <c r="E18" i="1"/>
  <c r="E16" i="1" s="1"/>
  <c r="D47" i="4"/>
  <c r="F9" i="5" l="1"/>
  <c r="J9" i="1" s="1"/>
  <c r="I9" i="1" s="1"/>
  <c r="D104" i="4"/>
  <c r="D103" i="4"/>
  <c r="D102" i="4"/>
  <c r="D100" i="4"/>
  <c r="E107" i="5" l="1"/>
  <c r="E48" i="2" s="1"/>
  <c r="F48" i="2" s="1"/>
  <c r="AZ17" i="22" l="1"/>
  <c r="AZ18" i="22"/>
  <c r="AZ19" i="22"/>
  <c r="AZ20" i="22"/>
  <c r="AZ21" i="22"/>
  <c r="AZ22" i="22"/>
  <c r="AZ23" i="22"/>
  <c r="AZ24" i="22"/>
  <c r="AZ25" i="22"/>
  <c r="AZ26" i="22"/>
  <c r="AZ27" i="22"/>
  <c r="AZ28" i="22"/>
  <c r="AZ29" i="22"/>
  <c r="AZ30" i="22"/>
  <c r="AZ31" i="22"/>
  <c r="AZ32" i="22"/>
  <c r="AZ41" i="22"/>
  <c r="AZ16" i="22"/>
  <c r="AW17" i="22"/>
  <c r="AW18" i="22"/>
  <c r="AW19" i="22"/>
  <c r="AW20" i="22"/>
  <c r="AW21" i="22"/>
  <c r="AW22" i="22"/>
  <c r="AW23" i="22"/>
  <c r="AW24" i="22"/>
  <c r="AW25" i="22"/>
  <c r="AW26" i="22"/>
  <c r="AW27" i="22"/>
  <c r="AW28" i="22"/>
  <c r="AW29" i="22"/>
  <c r="AW30" i="22"/>
  <c r="AW31" i="22"/>
  <c r="AW32" i="22"/>
  <c r="AW41" i="22"/>
  <c r="AW16" i="22"/>
  <c r="AW15" i="22"/>
  <c r="AV22" i="22"/>
  <c r="AS16" i="22"/>
  <c r="AS17" i="22"/>
  <c r="AS18" i="22"/>
  <c r="AS19" i="22"/>
  <c r="AS20" i="22"/>
  <c r="AS21" i="22"/>
  <c r="AS22" i="22"/>
  <c r="AS23" i="22"/>
  <c r="AS24" i="22"/>
  <c r="AS25" i="22"/>
  <c r="AS26" i="22"/>
  <c r="AS27" i="22"/>
  <c r="AS28" i="22"/>
  <c r="AS29" i="22"/>
  <c r="AS30" i="22"/>
  <c r="AS31" i="22"/>
  <c r="AS32" i="22"/>
  <c r="AS41" i="22"/>
  <c r="AS15" i="22"/>
  <c r="AP16" i="22"/>
  <c r="AP17" i="22"/>
  <c r="AP18" i="22"/>
  <c r="AP19" i="22"/>
  <c r="AP20" i="22"/>
  <c r="AP21" i="22"/>
  <c r="AP22" i="22"/>
  <c r="AP23" i="22"/>
  <c r="AP24" i="22"/>
  <c r="AP25" i="22"/>
  <c r="AP26" i="22"/>
  <c r="AP27" i="22"/>
  <c r="AP28" i="22"/>
  <c r="AP29" i="22"/>
  <c r="AP30" i="22"/>
  <c r="AP31" i="22"/>
  <c r="AP32" i="22"/>
  <c r="AP41" i="22"/>
  <c r="AP15" i="22"/>
  <c r="AL22" i="22"/>
  <c r="AE21" i="22"/>
  <c r="X24" i="22"/>
  <c r="U23" i="22"/>
  <c r="Q22" i="22"/>
  <c r="AL18" i="22"/>
  <c r="AE30" i="22"/>
  <c r="AB28" i="22"/>
  <c r="X27" i="22"/>
  <c r="Q18" i="22"/>
  <c r="AL16" i="22"/>
  <c r="AL17" i="22"/>
  <c r="AL19" i="22"/>
  <c r="AL20" i="22"/>
  <c r="AL21" i="22"/>
  <c r="AL23" i="22"/>
  <c r="AL24" i="22"/>
  <c r="AL25" i="22"/>
  <c r="AL26" i="22"/>
  <c r="AL27" i="22"/>
  <c r="AL28" i="22"/>
  <c r="AL29" i="22"/>
  <c r="AL30" i="22"/>
  <c r="AL31" i="22"/>
  <c r="AL32" i="22"/>
  <c r="AL41" i="22"/>
  <c r="AL15" i="22"/>
  <c r="AI16" i="22"/>
  <c r="AI17" i="22"/>
  <c r="AI18" i="22"/>
  <c r="AH18" i="22" s="1"/>
  <c r="AI19" i="22"/>
  <c r="AI20" i="22"/>
  <c r="AI21" i="22"/>
  <c r="AI22" i="22"/>
  <c r="AI23" i="22"/>
  <c r="AI24" i="22"/>
  <c r="AI25" i="22"/>
  <c r="AI26" i="22"/>
  <c r="AI27" i="22"/>
  <c r="AI28" i="22"/>
  <c r="AI29" i="22"/>
  <c r="AI30" i="22"/>
  <c r="AI31" i="22"/>
  <c r="AI32" i="22"/>
  <c r="K32" i="22" s="1"/>
  <c r="AI41" i="22"/>
  <c r="AI15" i="22"/>
  <c r="AE16" i="22"/>
  <c r="AE17" i="22"/>
  <c r="AE18" i="22"/>
  <c r="AE19" i="22"/>
  <c r="AE20" i="22"/>
  <c r="AE22" i="22"/>
  <c r="AE23" i="22"/>
  <c r="AE24" i="22"/>
  <c r="AE25" i="22"/>
  <c r="AE26" i="22"/>
  <c r="AE27" i="22"/>
  <c r="AE28" i="22"/>
  <c r="AE29" i="22"/>
  <c r="AE31" i="22"/>
  <c r="AE32" i="22"/>
  <c r="AA32" i="22" s="1"/>
  <c r="AE41" i="22"/>
  <c r="AE15" i="22"/>
  <c r="AB16" i="22"/>
  <c r="AB17" i="22"/>
  <c r="AB18" i="22"/>
  <c r="AB19" i="22"/>
  <c r="AB20" i="22"/>
  <c r="AB21" i="22"/>
  <c r="AA21" i="22" s="1"/>
  <c r="AB22" i="22"/>
  <c r="AB23" i="22"/>
  <c r="AB24" i="22"/>
  <c r="AB25" i="22"/>
  <c r="AB26" i="22"/>
  <c r="AB27" i="22"/>
  <c r="AB29" i="22"/>
  <c r="AB30" i="22"/>
  <c r="AB31" i="22"/>
  <c r="AB41" i="22"/>
  <c r="AB15" i="22"/>
  <c r="X15" i="22"/>
  <c r="Z14" i="22"/>
  <c r="X16" i="22"/>
  <c r="X17" i="22"/>
  <c r="X18" i="22"/>
  <c r="X19" i="22"/>
  <c r="X20" i="22"/>
  <c r="X21" i="22"/>
  <c r="X22" i="22"/>
  <c r="X23" i="22"/>
  <c r="X25" i="22"/>
  <c r="X26" i="22"/>
  <c r="X28" i="22"/>
  <c r="X29" i="22"/>
  <c r="X30" i="22"/>
  <c r="X31" i="22"/>
  <c r="X32" i="22"/>
  <c r="T32" i="22" s="1"/>
  <c r="X41" i="22"/>
  <c r="U16" i="22"/>
  <c r="U17" i="22"/>
  <c r="T17" i="22" s="1"/>
  <c r="U18" i="22"/>
  <c r="U19" i="22"/>
  <c r="U20" i="22"/>
  <c r="U21" i="22"/>
  <c r="T21" i="22" s="1"/>
  <c r="U22" i="22"/>
  <c r="U24" i="22"/>
  <c r="U25" i="22"/>
  <c r="T25" i="22" s="1"/>
  <c r="U26" i="22"/>
  <c r="U27" i="22"/>
  <c r="T27" i="22" s="1"/>
  <c r="U28" i="22"/>
  <c r="U29" i="22"/>
  <c r="U30" i="22"/>
  <c r="U31" i="22"/>
  <c r="U41" i="22"/>
  <c r="U15" i="22"/>
  <c r="Q19" i="22"/>
  <c r="Q20" i="22"/>
  <c r="Q21" i="22"/>
  <c r="Q23" i="22"/>
  <c r="Q24" i="22"/>
  <c r="Q25" i="22"/>
  <c r="Q26" i="22"/>
  <c r="Q27" i="22"/>
  <c r="Q28" i="22"/>
  <c r="L28" i="22" s="1"/>
  <c r="Q29" i="22"/>
  <c r="Q30" i="22"/>
  <c r="Q31" i="22"/>
  <c r="L32" i="22"/>
  <c r="Q17" i="22"/>
  <c r="Q16" i="22"/>
  <c r="Q15" i="22"/>
  <c r="N16" i="22"/>
  <c r="N17" i="22"/>
  <c r="M17" i="22" s="1"/>
  <c r="N18" i="22"/>
  <c r="N19" i="22"/>
  <c r="M19" i="22" s="1"/>
  <c r="N20" i="22"/>
  <c r="N21" i="22"/>
  <c r="M21" i="22" s="1"/>
  <c r="N22" i="22"/>
  <c r="N23" i="22"/>
  <c r="N24" i="22"/>
  <c r="N25" i="22"/>
  <c r="N26" i="22"/>
  <c r="N27" i="22"/>
  <c r="N28" i="22"/>
  <c r="N29" i="22"/>
  <c r="N30" i="22"/>
  <c r="N31" i="22"/>
  <c r="N15" i="22"/>
  <c r="BP14" i="22"/>
  <c r="BO14" i="22"/>
  <c r="BN14" i="22"/>
  <c r="BM14" i="22"/>
  <c r="BL14" i="22"/>
  <c r="BK14" i="22"/>
  <c r="BJ14" i="22"/>
  <c r="BI14" i="22"/>
  <c r="BH14" i="22"/>
  <c r="BG14" i="22"/>
  <c r="BF14" i="22"/>
  <c r="BE14" i="22"/>
  <c r="BD14" i="22"/>
  <c r="BC14" i="22"/>
  <c r="BB14" i="22"/>
  <c r="BA14" i="22"/>
  <c r="AY14" i="22"/>
  <c r="AX14" i="22"/>
  <c r="AU14" i="22"/>
  <c r="AT14" i="22"/>
  <c r="AS14" i="22"/>
  <c r="AR14" i="22"/>
  <c r="AQ14" i="22"/>
  <c r="AN14" i="22"/>
  <c r="AM14" i="22"/>
  <c r="AK14" i="22"/>
  <c r="AJ14" i="22"/>
  <c r="AG14" i="22"/>
  <c r="AF14" i="22"/>
  <c r="AD14" i="22"/>
  <c r="AC14" i="22"/>
  <c r="Y14" i="22"/>
  <c r="W14" i="22"/>
  <c r="V14" i="22"/>
  <c r="S14" i="22"/>
  <c r="P14" i="22"/>
  <c r="O14" i="22"/>
  <c r="AZ15" i="22"/>
  <c r="J69" i="22"/>
  <c r="P69" i="22"/>
  <c r="O62" i="22"/>
  <c r="O69" i="22" s="1"/>
  <c r="N61" i="22"/>
  <c r="N63" i="22"/>
  <c r="N64" i="22"/>
  <c r="N65" i="22"/>
  <c r="N66" i="22"/>
  <c r="N67" i="22"/>
  <c r="N68" i="22"/>
  <c r="N60" i="22"/>
  <c r="X51" i="22"/>
  <c r="X50" i="22"/>
  <c r="N48" i="22"/>
  <c r="U48" i="22"/>
  <c r="U47" i="22"/>
  <c r="X47" i="22"/>
  <c r="Q47" i="22"/>
  <c r="N47" i="22"/>
  <c r="X49" i="22"/>
  <c r="Q49" i="22"/>
  <c r="U49" i="22"/>
  <c r="N49" i="22"/>
  <c r="Q50" i="22"/>
  <c r="U50" i="22"/>
  <c r="N50" i="22"/>
  <c r="Q51" i="22"/>
  <c r="U51" i="22"/>
  <c r="N51" i="22"/>
  <c r="O42" i="22"/>
  <c r="X45" i="22"/>
  <c r="U46" i="22"/>
  <c r="U45" i="22"/>
  <c r="Q45" i="22"/>
  <c r="P42" i="22"/>
  <c r="R42" i="22"/>
  <c r="S42" i="22"/>
  <c r="W42" i="22"/>
  <c r="Z42" i="22"/>
  <c r="AC42" i="22"/>
  <c r="AD42" i="22"/>
  <c r="AF42" i="22"/>
  <c r="AG42" i="22"/>
  <c r="AJ42" i="22"/>
  <c r="AK42" i="22"/>
  <c r="AM42" i="22"/>
  <c r="AN42" i="22"/>
  <c r="AQ42" i="22"/>
  <c r="AR42" i="22"/>
  <c r="AT42" i="22"/>
  <c r="AU42" i="22"/>
  <c r="AX42" i="22"/>
  <c r="AY42" i="22"/>
  <c r="BA42" i="22"/>
  <c r="BB42" i="22"/>
  <c r="BE42" i="22"/>
  <c r="BF42" i="22"/>
  <c r="BH42" i="22"/>
  <c r="BI42" i="22"/>
  <c r="BL42" i="22"/>
  <c r="BM42" i="22"/>
  <c r="BO42" i="22"/>
  <c r="BP42" i="22"/>
  <c r="BK51" i="22"/>
  <c r="X46" i="22"/>
  <c r="N45" i="22"/>
  <c r="AL46" i="22"/>
  <c r="AE46" i="22"/>
  <c r="Q46" i="22"/>
  <c r="AE47" i="22"/>
  <c r="AA47" i="22" s="1"/>
  <c r="X48" i="22"/>
  <c r="Q48" i="22"/>
  <c r="M48" i="22" s="1"/>
  <c r="AE51" i="22"/>
  <c r="BN51" i="22"/>
  <c r="BN45" i="22"/>
  <c r="BN46" i="22"/>
  <c r="BN47" i="22"/>
  <c r="BN48" i="22"/>
  <c r="BN49" i="22"/>
  <c r="BN50" i="22"/>
  <c r="BK45" i="22"/>
  <c r="BJ45" i="22" s="1"/>
  <c r="BK46" i="22"/>
  <c r="BJ46" i="22" s="1"/>
  <c r="BK47" i="22"/>
  <c r="BK48" i="22"/>
  <c r="BK49" i="22"/>
  <c r="BJ49" i="22" s="1"/>
  <c r="BK50" i="22"/>
  <c r="BJ50" i="22" s="1"/>
  <c r="BG45" i="22"/>
  <c r="BG46" i="22"/>
  <c r="BG47" i="22"/>
  <c r="BG48" i="22"/>
  <c r="BG49" i="22"/>
  <c r="BG50" i="22"/>
  <c r="BG51" i="22"/>
  <c r="BD45" i="22"/>
  <c r="BD46" i="22"/>
  <c r="BD47" i="22"/>
  <c r="BD48" i="22"/>
  <c r="BD49" i="22"/>
  <c r="BD50" i="22"/>
  <c r="BD51" i="22"/>
  <c r="AZ45" i="22"/>
  <c r="AZ46" i="22"/>
  <c r="AZ47" i="22"/>
  <c r="AZ48" i="22"/>
  <c r="AZ49" i="22"/>
  <c r="AZ50" i="22"/>
  <c r="AZ51" i="22"/>
  <c r="AW45" i="22"/>
  <c r="AW46" i="22"/>
  <c r="AW47" i="22"/>
  <c r="AW48" i="22"/>
  <c r="AW49" i="22"/>
  <c r="AW50" i="22"/>
  <c r="AW51" i="22"/>
  <c r="AS45" i="22"/>
  <c r="AS46" i="22"/>
  <c r="AS47" i="22"/>
  <c r="AS48" i="22"/>
  <c r="AS49" i="22"/>
  <c r="AS50" i="22"/>
  <c r="AS51" i="22"/>
  <c r="AP45" i="22"/>
  <c r="AP46" i="22"/>
  <c r="AP47" i="22"/>
  <c r="AP48" i="22"/>
  <c r="AP49" i="22"/>
  <c r="AP50" i="22"/>
  <c r="AP51" i="22"/>
  <c r="AL45" i="22"/>
  <c r="AL47" i="22"/>
  <c r="AL48" i="22"/>
  <c r="AL49" i="22"/>
  <c r="AL50" i="22"/>
  <c r="AL51" i="22"/>
  <c r="AI45" i="22"/>
  <c r="AI46" i="22"/>
  <c r="AI47" i="22"/>
  <c r="AI48" i="22"/>
  <c r="AI49" i="22"/>
  <c r="AI50" i="22"/>
  <c r="AI51" i="22"/>
  <c r="AE45" i="22"/>
  <c r="AA45" i="22" s="1"/>
  <c r="AE48" i="22"/>
  <c r="AA48" i="22" s="1"/>
  <c r="AE49" i="22"/>
  <c r="AA49" i="22" s="1"/>
  <c r="AE50" i="22"/>
  <c r="AA46" i="22"/>
  <c r="AA51" i="22"/>
  <c r="Q44" i="22"/>
  <c r="N44" i="22"/>
  <c r="U44" i="22"/>
  <c r="X44" i="22"/>
  <c r="C45" i="22"/>
  <c r="C46" i="22"/>
  <c r="C47" i="22"/>
  <c r="C48" i="22"/>
  <c r="C49" i="22"/>
  <c r="C50" i="22"/>
  <c r="C51" i="22"/>
  <c r="C16" i="2"/>
  <c r="C15" i="2" s="1"/>
  <c r="G20" i="2"/>
  <c r="C7" i="3"/>
  <c r="C23" i="3"/>
  <c r="C39" i="3"/>
  <c r="Q5" i="1"/>
  <c r="N7" i="1"/>
  <c r="I10" i="1"/>
  <c r="C11" i="1"/>
  <c r="I11" i="1"/>
  <c r="C15" i="1"/>
  <c r="N16" i="1"/>
  <c r="P16" i="1" s="1"/>
  <c r="R16" i="1"/>
  <c r="C17" i="1"/>
  <c r="M20" i="1"/>
  <c r="C27" i="1"/>
  <c r="M34" i="1"/>
  <c r="M40" i="1"/>
  <c r="B42" i="1"/>
  <c r="N43" i="22"/>
  <c r="U43" i="22"/>
  <c r="AB43" i="22"/>
  <c r="AI43" i="22"/>
  <c r="AP43" i="22"/>
  <c r="AW43" i="22"/>
  <c r="BD43" i="22"/>
  <c r="BK43" i="22"/>
  <c r="Q43" i="22"/>
  <c r="X43" i="22"/>
  <c r="AE43" i="22"/>
  <c r="AL43" i="22"/>
  <c r="AS43" i="22"/>
  <c r="AZ43" i="22"/>
  <c r="BG43" i="22"/>
  <c r="BN43" i="22"/>
  <c r="AB44" i="22"/>
  <c r="AI44" i="22"/>
  <c r="AP44" i="22"/>
  <c r="AW44" i="22"/>
  <c r="BD44" i="22"/>
  <c r="BK44" i="22"/>
  <c r="AE44" i="22"/>
  <c r="AL44" i="22"/>
  <c r="AS44" i="22"/>
  <c r="AZ44" i="22"/>
  <c r="BG44" i="22"/>
  <c r="BN44" i="22"/>
  <c r="D12" i="4"/>
  <c r="D21" i="4"/>
  <c r="D22" i="4"/>
  <c r="D14" i="4"/>
  <c r="D23" i="4"/>
  <c r="J23" i="4" s="1"/>
  <c r="D16" i="4"/>
  <c r="I16" i="4" s="1"/>
  <c r="D25" i="4"/>
  <c r="J25" i="4" s="1"/>
  <c r="D17" i="4"/>
  <c r="D26" i="4"/>
  <c r="K26" i="4" s="1"/>
  <c r="D19" i="4"/>
  <c r="D28" i="4"/>
  <c r="D30" i="4"/>
  <c r="D31" i="4"/>
  <c r="I31" i="4" s="1"/>
  <c r="D35" i="4"/>
  <c r="D33" i="4"/>
  <c r="D34" i="4"/>
  <c r="D36" i="4"/>
  <c r="J38" i="4"/>
  <c r="D39" i="4"/>
  <c r="D40" i="4"/>
  <c r="I40" i="4" s="1"/>
  <c r="D41" i="4"/>
  <c r="D42" i="4"/>
  <c r="I47" i="4"/>
  <c r="F49" i="4"/>
  <c r="G49" i="4"/>
  <c r="I51" i="4"/>
  <c r="D73" i="4"/>
  <c r="D74" i="4"/>
  <c r="I74" i="4" s="1"/>
  <c r="D75" i="4"/>
  <c r="D108" i="4"/>
  <c r="D35" i="5"/>
  <c r="D8" i="5" s="1"/>
  <c r="E26" i="5"/>
  <c r="E42" i="5"/>
  <c r="P42" i="5" s="1"/>
  <c r="E40" i="5"/>
  <c r="P40" i="5" s="1"/>
  <c r="E48" i="5"/>
  <c r="P48" i="5" s="1"/>
  <c r="E21" i="5"/>
  <c r="E45" i="5"/>
  <c r="P45" i="5" s="1"/>
  <c r="E46" i="5"/>
  <c r="P46" i="5" s="1"/>
  <c r="E47" i="5"/>
  <c r="P47" i="5" s="1"/>
  <c r="E12" i="5"/>
  <c r="E14" i="5"/>
  <c r="E15" i="5"/>
  <c r="E17" i="5"/>
  <c r="E19" i="5"/>
  <c r="E22" i="5"/>
  <c r="E24" i="5"/>
  <c r="E25" i="5"/>
  <c r="D104" i="5"/>
  <c r="D102" i="5" s="1"/>
  <c r="O27" i="5"/>
  <c r="P27" i="5"/>
  <c r="O28" i="5"/>
  <c r="P28" i="5"/>
  <c r="E29" i="5"/>
  <c r="J29" i="5"/>
  <c r="E30" i="5"/>
  <c r="O30" i="5" s="1"/>
  <c r="E31" i="5"/>
  <c r="E32" i="5"/>
  <c r="P32" i="5" s="1"/>
  <c r="E33" i="5"/>
  <c r="O33" i="5" s="1"/>
  <c r="E34" i="5"/>
  <c r="O34" i="5" s="1"/>
  <c r="H35" i="5"/>
  <c r="K35" i="5"/>
  <c r="E36" i="5"/>
  <c r="P36" i="5" s="1"/>
  <c r="E37" i="5"/>
  <c r="P37" i="5" s="1"/>
  <c r="E39" i="5"/>
  <c r="O39" i="5" s="1"/>
  <c r="E43" i="5"/>
  <c r="P43" i="5" s="1"/>
  <c r="E44" i="5"/>
  <c r="O44" i="5" s="1"/>
  <c r="O49" i="5"/>
  <c r="P49" i="5"/>
  <c r="O50" i="5"/>
  <c r="P50" i="5"/>
  <c r="E51" i="5"/>
  <c r="O51" i="5" s="1"/>
  <c r="E53" i="5"/>
  <c r="P53" i="5" s="1"/>
  <c r="E54" i="5"/>
  <c r="E55" i="5"/>
  <c r="P55" i="5" s="1"/>
  <c r="F52" i="5"/>
  <c r="G52" i="5"/>
  <c r="H52" i="5"/>
  <c r="I52" i="5"/>
  <c r="J52" i="5"/>
  <c r="K52" i="5"/>
  <c r="L52" i="5"/>
  <c r="M52" i="5"/>
  <c r="N52" i="5"/>
  <c r="O53" i="5"/>
  <c r="F56" i="5"/>
  <c r="I56" i="5"/>
  <c r="L56" i="5"/>
  <c r="G56" i="5"/>
  <c r="H56" i="5"/>
  <c r="J56" i="5"/>
  <c r="K56" i="5"/>
  <c r="M56" i="5"/>
  <c r="E57" i="5"/>
  <c r="O57" i="5" s="1"/>
  <c r="E58" i="5"/>
  <c r="O58" i="5" s="1"/>
  <c r="E59" i="5"/>
  <c r="O59" i="5" s="1"/>
  <c r="E60" i="5"/>
  <c r="O60" i="5" s="1"/>
  <c r="E61" i="5"/>
  <c r="P61" i="5" s="1"/>
  <c r="E62" i="5"/>
  <c r="O62" i="5" s="1"/>
  <c r="E63" i="5"/>
  <c r="P63" i="5" s="1"/>
  <c r="E64" i="5"/>
  <c r="E65" i="5"/>
  <c r="O65" i="5" s="1"/>
  <c r="E66" i="5"/>
  <c r="O66" i="5" s="1"/>
  <c r="E68" i="5"/>
  <c r="P68" i="5" s="1"/>
  <c r="E69" i="5"/>
  <c r="P69" i="5" s="1"/>
  <c r="E70" i="5"/>
  <c r="P70" i="5" s="1"/>
  <c r="F67" i="5"/>
  <c r="G67" i="5"/>
  <c r="H67" i="5"/>
  <c r="I67" i="5"/>
  <c r="J67" i="5"/>
  <c r="L67" i="5"/>
  <c r="M67" i="5"/>
  <c r="O70" i="5"/>
  <c r="E71" i="5"/>
  <c r="E72" i="5"/>
  <c r="E73" i="5"/>
  <c r="E74" i="5"/>
  <c r="E75" i="5"/>
  <c r="O76" i="5"/>
  <c r="P76" i="5"/>
  <c r="Q78" i="5"/>
  <c r="Q79" i="5"/>
  <c r="J80" i="5"/>
  <c r="M80" i="5"/>
  <c r="N80" i="5"/>
  <c r="E101" i="5"/>
  <c r="C104" i="5"/>
  <c r="C102" i="5" s="1"/>
  <c r="I104" i="5"/>
  <c r="I102" i="5" s="1"/>
  <c r="K15" i="1" s="1"/>
  <c r="L104" i="5"/>
  <c r="L102" i="5" s="1"/>
  <c r="G102" i="5"/>
  <c r="H102" i="5"/>
  <c r="H108" i="5" s="1"/>
  <c r="J102" i="5"/>
  <c r="J108" i="5" s="1"/>
  <c r="K102" i="5"/>
  <c r="M102" i="5"/>
  <c r="E103" i="5"/>
  <c r="Q103" i="5" s="1"/>
  <c r="E105" i="5"/>
  <c r="G108" i="5"/>
  <c r="K108" i="5"/>
  <c r="F11" i="4"/>
  <c r="F20" i="4"/>
  <c r="F77" i="4"/>
  <c r="F85" i="4"/>
  <c r="F88" i="4"/>
  <c r="F92" i="4"/>
  <c r="F95" i="4"/>
  <c r="E11" i="4"/>
  <c r="H11" i="4"/>
  <c r="E20" i="4"/>
  <c r="G20" i="4"/>
  <c r="G10" i="4" s="1"/>
  <c r="H20" i="4"/>
  <c r="H37" i="4"/>
  <c r="D57" i="4"/>
  <c r="I58" i="4"/>
  <c r="I62" i="4"/>
  <c r="J44" i="4"/>
  <c r="J16" i="4"/>
  <c r="C20" i="4"/>
  <c r="C29" i="4"/>
  <c r="C37" i="4"/>
  <c r="C92" i="4"/>
  <c r="C95" i="4"/>
  <c r="C101" i="4"/>
  <c r="C99" i="4" s="1"/>
  <c r="C98" i="4" s="1"/>
  <c r="B11" i="4"/>
  <c r="B10" i="4" s="1"/>
  <c r="B85" i="4"/>
  <c r="B88" i="4"/>
  <c r="B92" i="4"/>
  <c r="B95" i="4"/>
  <c r="B101" i="4"/>
  <c r="B99" i="4" s="1"/>
  <c r="B98" i="4" s="1"/>
  <c r="D78" i="4"/>
  <c r="I79" i="4"/>
  <c r="D81" i="4"/>
  <c r="K81" i="4" s="1"/>
  <c r="D82" i="4"/>
  <c r="I82" i="4" s="1"/>
  <c r="D83" i="4"/>
  <c r="D84" i="4"/>
  <c r="E85" i="4"/>
  <c r="G85" i="4"/>
  <c r="H85" i="4"/>
  <c r="E88" i="4"/>
  <c r="G88" i="4"/>
  <c r="H88" i="4"/>
  <c r="E92" i="4"/>
  <c r="E95" i="4"/>
  <c r="G92" i="4"/>
  <c r="G95" i="4"/>
  <c r="H92" i="4"/>
  <c r="H95" i="4"/>
  <c r="E101" i="4"/>
  <c r="E99" i="4" s="1"/>
  <c r="E98" i="4" s="1"/>
  <c r="G99" i="4"/>
  <c r="G98" i="4" s="1"/>
  <c r="H101" i="4"/>
  <c r="D129" i="4"/>
  <c r="G77" i="4"/>
  <c r="H77" i="4"/>
  <c r="D13" i="4"/>
  <c r="K12" i="4"/>
  <c r="K14" i="4"/>
  <c r="D15" i="4"/>
  <c r="K17" i="4"/>
  <c r="D18" i="4"/>
  <c r="K19" i="4"/>
  <c r="J21" i="4"/>
  <c r="K22" i="4"/>
  <c r="I23" i="4"/>
  <c r="K23" i="4"/>
  <c r="D24" i="4"/>
  <c r="D27" i="4"/>
  <c r="K27" i="4" s="1"/>
  <c r="I30" i="4"/>
  <c r="K30" i="4"/>
  <c r="K31" i="4"/>
  <c r="I34" i="4"/>
  <c r="J34" i="4"/>
  <c r="K34" i="4"/>
  <c r="I39" i="4"/>
  <c r="J39" i="4"/>
  <c r="K39" i="4"/>
  <c r="K40" i="4"/>
  <c r="I41" i="4"/>
  <c r="J41" i="4"/>
  <c r="I45" i="4"/>
  <c r="K45" i="4"/>
  <c r="I46" i="4"/>
  <c r="J47" i="4"/>
  <c r="K47" i="4"/>
  <c r="I48" i="4"/>
  <c r="I50" i="4"/>
  <c r="K50" i="4"/>
  <c r="K51" i="4"/>
  <c r="I52" i="4"/>
  <c r="I53" i="4"/>
  <c r="D72" i="4"/>
  <c r="I72" i="4" s="1"/>
  <c r="I73" i="4"/>
  <c r="K74" i="4"/>
  <c r="I75" i="4"/>
  <c r="K75" i="4"/>
  <c r="K79" i="4"/>
  <c r="L82" i="4"/>
  <c r="C85" i="4"/>
  <c r="D86" i="4"/>
  <c r="D87" i="4"/>
  <c r="C88" i="4"/>
  <c r="D89" i="4"/>
  <c r="D90" i="4"/>
  <c r="D93" i="4"/>
  <c r="D94" i="4"/>
  <c r="D96" i="4"/>
  <c r="D97" i="4"/>
  <c r="L97" i="4"/>
  <c r="M105" i="4"/>
  <c r="D107" i="4"/>
  <c r="K108" i="4"/>
  <c r="D109" i="4"/>
  <c r="K109" i="4" s="1"/>
  <c r="D110" i="4"/>
  <c r="K110" i="4" s="1"/>
  <c r="B111" i="4"/>
  <c r="C111" i="4"/>
  <c r="D113" i="4"/>
  <c r="K113" i="4" s="1"/>
  <c r="D114" i="4"/>
  <c r="D116" i="4"/>
  <c r="D117" i="4"/>
  <c r="K117" i="4" s="1"/>
  <c r="D118" i="4"/>
  <c r="K118" i="4" s="1"/>
  <c r="D119" i="4"/>
  <c r="K119" i="4" s="1"/>
  <c r="D120" i="4"/>
  <c r="E115" i="4"/>
  <c r="E111" i="4" s="1"/>
  <c r="F115" i="4"/>
  <c r="F111" i="4" s="1"/>
  <c r="G115" i="4"/>
  <c r="G111" i="4" s="1"/>
  <c r="H115" i="4"/>
  <c r="H111" i="4" s="1"/>
  <c r="B123" i="4"/>
  <c r="B121" i="4" s="1"/>
  <c r="C123" i="4"/>
  <c r="C121" i="4" s="1"/>
  <c r="E123" i="4"/>
  <c r="E121" i="4" s="1"/>
  <c r="F124" i="4"/>
  <c r="D124" i="4" s="1"/>
  <c r="K124" i="4" s="1"/>
  <c r="G123" i="4"/>
  <c r="G121" i="4" s="1"/>
  <c r="H123" i="4"/>
  <c r="H121" i="4" s="1"/>
  <c r="D127" i="4"/>
  <c r="K127" i="4" s="1"/>
  <c r="D122" i="4"/>
  <c r="K122" i="4" s="1"/>
  <c r="D125" i="4"/>
  <c r="K125" i="4" s="1"/>
  <c r="D126" i="4"/>
  <c r="B9" i="11"/>
  <c r="B11" i="11"/>
  <c r="B12" i="11"/>
  <c r="B14" i="11"/>
  <c r="B15" i="11"/>
  <c r="B16" i="11"/>
  <c r="B17" i="11"/>
  <c r="B18" i="11"/>
  <c r="B19" i="11"/>
  <c r="B20" i="11"/>
  <c r="B21" i="11"/>
  <c r="B22" i="11"/>
  <c r="B23" i="11"/>
  <c r="B24" i="11"/>
  <c r="B25" i="11"/>
  <c r="D10" i="11"/>
  <c r="C12" i="16"/>
  <c r="C13" i="16"/>
  <c r="C14" i="16"/>
  <c r="C18" i="16"/>
  <c r="C19" i="16"/>
  <c r="C20" i="16"/>
  <c r="E10" i="15"/>
  <c r="B12" i="15"/>
  <c r="B17" i="15"/>
  <c r="B16" i="15" s="1"/>
  <c r="C16" i="15"/>
  <c r="C13" i="9"/>
  <c r="C15" i="9"/>
  <c r="C16" i="9"/>
  <c r="C17" i="9"/>
  <c r="C18" i="9"/>
  <c r="C19" i="9"/>
  <c r="C20" i="9"/>
  <c r="D11" i="9"/>
  <c r="G11" i="9"/>
  <c r="H15" i="9"/>
  <c r="H16" i="9"/>
  <c r="H17" i="9"/>
  <c r="H18" i="9"/>
  <c r="H19" i="9"/>
  <c r="AH15" i="22"/>
  <c r="AI14" i="22"/>
  <c r="K31" i="22"/>
  <c r="K27" i="22"/>
  <c r="K23" i="22"/>
  <c r="K19" i="22"/>
  <c r="AA30" i="22"/>
  <c r="AA28" i="22"/>
  <c r="AA26" i="22"/>
  <c r="AA24" i="22"/>
  <c r="AA22" i="22"/>
  <c r="AA20" i="22"/>
  <c r="AA18" i="22"/>
  <c r="AA16" i="22"/>
  <c r="AE14" i="22"/>
  <c r="AA15" i="22"/>
  <c r="L30" i="22"/>
  <c r="L26" i="22"/>
  <c r="L24" i="22"/>
  <c r="L22" i="22"/>
  <c r="L20" i="22"/>
  <c r="L18" i="22"/>
  <c r="T28" i="22"/>
  <c r="T26" i="22"/>
  <c r="T24" i="22"/>
  <c r="T22" i="22"/>
  <c r="T20" i="22"/>
  <c r="T18" i="22"/>
  <c r="T15" i="22"/>
  <c r="U14" i="22"/>
  <c r="Q14" i="22"/>
  <c r="M30" i="22"/>
  <c r="M28" i="22"/>
  <c r="M26" i="22"/>
  <c r="M24" i="22"/>
  <c r="M22" i="22"/>
  <c r="M20" i="22"/>
  <c r="M18" i="22"/>
  <c r="J32" i="22"/>
  <c r="K30" i="22"/>
  <c r="K28" i="22"/>
  <c r="K26" i="22"/>
  <c r="K24" i="22"/>
  <c r="J24" i="22" s="1"/>
  <c r="K22" i="22"/>
  <c r="K20" i="22"/>
  <c r="K18" i="22"/>
  <c r="K16" i="22"/>
  <c r="O69" i="5"/>
  <c r="P60" i="5"/>
  <c r="P51" i="5"/>
  <c r="P34" i="5"/>
  <c r="O31" i="5"/>
  <c r="E13" i="5"/>
  <c r="O73" i="5"/>
  <c r="O72" i="5"/>
  <c r="O71" i="5"/>
  <c r="BJ44" i="22"/>
  <c r="AH44" i="22"/>
  <c r="BJ43" i="22"/>
  <c r="AV43" i="22"/>
  <c r="AH43" i="22"/>
  <c r="BN42" i="22"/>
  <c r="AL42" i="22"/>
  <c r="BD42" i="22"/>
  <c r="AP42" i="22"/>
  <c r="N9" i="1"/>
  <c r="N10" i="1" s="1"/>
  <c r="K48" i="22"/>
  <c r="K44" i="22"/>
  <c r="L46" i="22"/>
  <c r="M51" i="22"/>
  <c r="M49" i="22"/>
  <c r="M47" i="22"/>
  <c r="M45" i="22"/>
  <c r="AB14" i="22"/>
  <c r="K25" i="22"/>
  <c r="M23" i="22"/>
  <c r="AH32" i="22"/>
  <c r="AH28" i="22"/>
  <c r="AH26" i="22"/>
  <c r="K49" i="22"/>
  <c r="M31" i="22"/>
  <c r="M27" i="22"/>
  <c r="AA17" i="22"/>
  <c r="AH24" i="22"/>
  <c r="L48" i="22"/>
  <c r="K45" i="22"/>
  <c r="AH51" i="22"/>
  <c r="AH49" i="22"/>
  <c r="K50" i="22"/>
  <c r="L27" i="22"/>
  <c r="J27" i="22" s="1"/>
  <c r="AH29" i="22"/>
  <c r="AO31" i="22"/>
  <c r="AO27" i="22"/>
  <c r="AO23" i="22"/>
  <c r="AO19" i="22"/>
  <c r="M29" i="22"/>
  <c r="M25" i="22"/>
  <c r="K17" i="22"/>
  <c r="T41" i="22"/>
  <c r="T29" i="22"/>
  <c r="AA29" i="22"/>
  <c r="AA19" i="22"/>
  <c r="AH31" i="22"/>
  <c r="AH23" i="22"/>
  <c r="L31" i="22"/>
  <c r="L23" i="22"/>
  <c r="T19" i="22"/>
  <c r="AH30" i="22"/>
  <c r="AH19" i="22"/>
  <c r="T23" i="22"/>
  <c r="AA50" i="22"/>
  <c r="M43" i="22"/>
  <c r="AV15" i="22"/>
  <c r="L29" i="22"/>
  <c r="L25" i="22"/>
  <c r="L21" i="22"/>
  <c r="L17" i="22"/>
  <c r="K29" i="22"/>
  <c r="K21" i="22"/>
  <c r="N14" i="22"/>
  <c r="AZ14" i="22"/>
  <c r="AO32" i="22"/>
  <c r="AO30" i="22"/>
  <c r="AO28" i="22"/>
  <c r="AO26" i="22"/>
  <c r="AO24" i="22"/>
  <c r="AO22" i="22"/>
  <c r="AO20" i="22"/>
  <c r="AO18" i="22"/>
  <c r="AO16" i="22"/>
  <c r="AO15" i="22"/>
  <c r="AP14" i="22"/>
  <c r="C11" i="9" l="1"/>
  <c r="AB42" i="22"/>
  <c r="C42" i="22"/>
  <c r="L15" i="22"/>
  <c r="L16" i="22"/>
  <c r="R16" i="9"/>
  <c r="T46" i="22"/>
  <c r="K43" i="22"/>
  <c r="L49" i="22"/>
  <c r="J49" i="22" s="1"/>
  <c r="K66" i="22" s="1"/>
  <c r="L66" i="22" s="1"/>
  <c r="M44" i="22"/>
  <c r="M50" i="22"/>
  <c r="K47" i="22"/>
  <c r="K15" i="22"/>
  <c r="J31" i="22"/>
  <c r="T30" i="22"/>
  <c r="K41" i="22"/>
  <c r="L41" i="22"/>
  <c r="K51" i="22"/>
  <c r="J51" i="22" s="1"/>
  <c r="K68" i="22" s="1"/>
  <c r="L68" i="22" s="1"/>
  <c r="L51" i="22"/>
  <c r="BJ51" i="22"/>
  <c r="J21" i="22"/>
  <c r="Q42" i="22"/>
  <c r="T43" i="22"/>
  <c r="T44" i="22"/>
  <c r="J25" i="22"/>
  <c r="J23" i="22"/>
  <c r="L47" i="22"/>
  <c r="T16" i="22"/>
  <c r="X14" i="22"/>
  <c r="T49" i="22"/>
  <c r="J16" i="22"/>
  <c r="AV31" i="22"/>
  <c r="L19" i="22"/>
  <c r="J19" i="22" s="1"/>
  <c r="AH21" i="22"/>
  <c r="AV27" i="22"/>
  <c r="AV23" i="22"/>
  <c r="AV19" i="22"/>
  <c r="AV25" i="22"/>
  <c r="AV21" i="22"/>
  <c r="AV17" i="22"/>
  <c r="AH27" i="22"/>
  <c r="AO41" i="22"/>
  <c r="AO29" i="22"/>
  <c r="AO25" i="22"/>
  <c r="AO21" i="22"/>
  <c r="AO17" i="22"/>
  <c r="BC43" i="22"/>
  <c r="AA31" i="22"/>
  <c r="AV41" i="22"/>
  <c r="AH17" i="22"/>
  <c r="BJ48" i="22"/>
  <c r="AV29" i="22"/>
  <c r="AH20" i="22"/>
  <c r="BG42" i="22"/>
  <c r="AE42" i="22"/>
  <c r="AH45" i="22"/>
  <c r="AO50" i="22"/>
  <c r="AO46" i="22"/>
  <c r="AV48" i="22"/>
  <c r="BC50" i="22"/>
  <c r="BC46" i="22"/>
  <c r="N46" i="22"/>
  <c r="K46" i="22" s="1"/>
  <c r="AV30" i="22"/>
  <c r="AV26" i="22"/>
  <c r="AV18" i="22"/>
  <c r="X42" i="22"/>
  <c r="U42" i="22"/>
  <c r="AH50" i="22"/>
  <c r="AO51" i="22"/>
  <c r="AO47" i="22"/>
  <c r="AV49" i="22"/>
  <c r="AV45" i="22"/>
  <c r="BC51" i="22"/>
  <c r="BC47" i="22"/>
  <c r="V42" i="22"/>
  <c r="AA41" i="22"/>
  <c r="AH16" i="22"/>
  <c r="F18" i="31"/>
  <c r="F18" i="1"/>
  <c r="F16" i="1" s="1"/>
  <c r="C16" i="1" s="1"/>
  <c r="D21" i="3"/>
  <c r="D20" i="31"/>
  <c r="D20" i="1"/>
  <c r="D42" i="3"/>
  <c r="E20" i="31"/>
  <c r="E20" i="1"/>
  <c r="K42" i="4"/>
  <c r="C37" i="3"/>
  <c r="E39" i="3"/>
  <c r="I80" i="5"/>
  <c r="E100" i="5"/>
  <c r="Q100" i="5" s="1"/>
  <c r="E104" i="5"/>
  <c r="O32" i="5"/>
  <c r="F102" i="5"/>
  <c r="J15" i="1" s="1"/>
  <c r="P66" i="5"/>
  <c r="O63" i="5"/>
  <c r="D92" i="4"/>
  <c r="D108" i="5"/>
  <c r="BJ47" i="22"/>
  <c r="BJ42" i="22" s="1"/>
  <c r="AA27" i="22"/>
  <c r="AA23" i="22"/>
  <c r="AV16" i="22"/>
  <c r="J22" i="22"/>
  <c r="P58" i="5"/>
  <c r="P30" i="5"/>
  <c r="H99" i="4"/>
  <c r="H98" i="4" s="1"/>
  <c r="O26" i="5"/>
  <c r="AH41" i="22"/>
  <c r="AH25" i="22"/>
  <c r="P39" i="5"/>
  <c r="R13" i="9"/>
  <c r="M16" i="22"/>
  <c r="H20" i="9"/>
  <c r="R20" i="9" s="1"/>
  <c r="C10" i="4"/>
  <c r="C9" i="4" s="1"/>
  <c r="C128" i="4" s="1"/>
  <c r="M35" i="5"/>
  <c r="O61" i="5"/>
  <c r="P59" i="5"/>
  <c r="AH48" i="22"/>
  <c r="AO49" i="22"/>
  <c r="AO45" i="22"/>
  <c r="AV51" i="22"/>
  <c r="AV47" i="22"/>
  <c r="BC49" i="22"/>
  <c r="BC45" i="22"/>
  <c r="H14" i="9"/>
  <c r="R14" i="9" s="1"/>
  <c r="P75" i="5"/>
  <c r="O75" i="5"/>
  <c r="AH47" i="22"/>
  <c r="AO48" i="22"/>
  <c r="AV50" i="22"/>
  <c r="BC48" i="22"/>
  <c r="K73" i="4"/>
  <c r="D69" i="4"/>
  <c r="K69" i="4" s="1"/>
  <c r="B9" i="4"/>
  <c r="F10" i="4"/>
  <c r="O12" i="4" s="1"/>
  <c r="D12" i="3" s="1"/>
  <c r="G91" i="4"/>
  <c r="E10" i="4"/>
  <c r="E9" i="4" s="1"/>
  <c r="L113" i="4"/>
  <c r="H91" i="4"/>
  <c r="D88" i="4"/>
  <c r="C91" i="4"/>
  <c r="K78" i="4"/>
  <c r="D77" i="4"/>
  <c r="J77" i="4" s="1"/>
  <c r="D85" i="4"/>
  <c r="E33" i="2" s="1"/>
  <c r="F33" i="2" s="1"/>
  <c r="D11" i="4"/>
  <c r="K11" i="4" s="1"/>
  <c r="J29" i="22"/>
  <c r="BC44" i="22"/>
  <c r="AA44" i="22"/>
  <c r="AO43" i="22"/>
  <c r="L50" i="22"/>
  <c r="J50" i="22" s="1"/>
  <c r="K67" i="22" s="1"/>
  <c r="L67" i="22" s="1"/>
  <c r="T50" i="22"/>
  <c r="AV32" i="22"/>
  <c r="AV28" i="22"/>
  <c r="AV24" i="22"/>
  <c r="AV20" i="22"/>
  <c r="AH46" i="22"/>
  <c r="T47" i="22"/>
  <c r="AL14" i="22"/>
  <c r="R19" i="9"/>
  <c r="R15" i="9"/>
  <c r="R17" i="9"/>
  <c r="K82" i="4"/>
  <c r="J30" i="4"/>
  <c r="E9" i="15"/>
  <c r="B13" i="11"/>
  <c r="B10" i="11" s="1"/>
  <c r="C108" i="5"/>
  <c r="J48" i="22"/>
  <c r="K65" i="22" s="1"/>
  <c r="L65" i="22" s="1"/>
  <c r="J26" i="22"/>
  <c r="F123" i="4"/>
  <c r="D123" i="4" s="1"/>
  <c r="K123" i="4" s="1"/>
  <c r="P31" i="5"/>
  <c r="Q31" i="5"/>
  <c r="P29" i="5"/>
  <c r="O29" i="5"/>
  <c r="H49" i="4"/>
  <c r="B91" i="4"/>
  <c r="O68" i="5"/>
  <c r="E67" i="5"/>
  <c r="O55" i="5"/>
  <c r="J48" i="4"/>
  <c r="J17" i="22"/>
  <c r="J18" i="22"/>
  <c r="J20" i="22"/>
  <c r="K114" i="4"/>
  <c r="L9" i="5"/>
  <c r="N10" i="5"/>
  <c r="E16" i="5"/>
  <c r="P26" i="5"/>
  <c r="AZ42" i="22"/>
  <c r="J30" i="22"/>
  <c r="F91" i="4"/>
  <c r="AV44" i="22"/>
  <c r="AA43" i="22"/>
  <c r="G19" i="2"/>
  <c r="AV46" i="22"/>
  <c r="T51" i="22"/>
  <c r="T31" i="22"/>
  <c r="AA25" i="22"/>
  <c r="T48" i="22"/>
  <c r="Y42" i="22"/>
  <c r="M15" i="22"/>
  <c r="AH22" i="22"/>
  <c r="AW14" i="22"/>
  <c r="F99" i="4"/>
  <c r="F98" i="4" s="1"/>
  <c r="D101" i="4"/>
  <c r="E91" i="4"/>
  <c r="D95" i="4"/>
  <c r="P73" i="5"/>
  <c r="Q73" i="5"/>
  <c r="P71" i="5"/>
  <c r="Q71" i="5"/>
  <c r="E56" i="5"/>
  <c r="P54" i="5"/>
  <c r="E52" i="5"/>
  <c r="O54" i="5"/>
  <c r="L81" i="5"/>
  <c r="L80" i="5" s="1"/>
  <c r="L14" i="1" s="1"/>
  <c r="L35" i="5"/>
  <c r="F80" i="5"/>
  <c r="G35" i="5"/>
  <c r="E20" i="5"/>
  <c r="K33" i="4"/>
  <c r="J31" i="4"/>
  <c r="K28" i="4"/>
  <c r="I25" i="4"/>
  <c r="K25" i="4"/>
  <c r="I21" i="4"/>
  <c r="K21" i="4"/>
  <c r="L43" i="22"/>
  <c r="BK42" i="22"/>
  <c r="AW42" i="22"/>
  <c r="AI42" i="22"/>
  <c r="J28" i="22"/>
  <c r="R18" i="9"/>
  <c r="D115" i="4"/>
  <c r="K116" i="4"/>
  <c r="I44" i="4"/>
  <c r="D20" i="4"/>
  <c r="O74" i="5"/>
  <c r="P74" i="5"/>
  <c r="P72" i="5"/>
  <c r="Q72" i="5"/>
  <c r="P67" i="5"/>
  <c r="O67" i="5"/>
  <c r="P65" i="5"/>
  <c r="O64" i="5"/>
  <c r="P64" i="5"/>
  <c r="P62" i="5"/>
  <c r="P57" i="5"/>
  <c r="P44" i="5"/>
  <c r="P33" i="5"/>
  <c r="I35" i="5"/>
  <c r="J35" i="5"/>
  <c r="J46" i="4"/>
  <c r="J45" i="4"/>
  <c r="M45" i="4"/>
  <c r="D43" i="4"/>
  <c r="G9" i="4"/>
  <c r="J40" i="4"/>
  <c r="I38" i="4"/>
  <c r="K38" i="4"/>
  <c r="K36" i="4"/>
  <c r="I22" i="4"/>
  <c r="AO44" i="22"/>
  <c r="L44" i="22"/>
  <c r="J44" i="22" s="1"/>
  <c r="K61" i="22" s="1"/>
  <c r="L61" i="22" s="1"/>
  <c r="AS42" i="22"/>
  <c r="T45" i="22"/>
  <c r="L45" i="22"/>
  <c r="J45" i="22" s="1"/>
  <c r="K62" i="22" s="1"/>
  <c r="L62" i="22" s="1"/>
  <c r="N62" i="22"/>
  <c r="N69" i="22" s="1"/>
  <c r="J15" i="22" l="1"/>
  <c r="R91" i="36"/>
  <c r="R85" i="5"/>
  <c r="J43" i="22"/>
  <c r="J47" i="22"/>
  <c r="K64" i="22" s="1"/>
  <c r="L64" i="22" s="1"/>
  <c r="K42" i="22"/>
  <c r="L14" i="22"/>
  <c r="J41" i="22"/>
  <c r="K14" i="22"/>
  <c r="T14" i="22"/>
  <c r="J46" i="22"/>
  <c r="K63" i="22" s="1"/>
  <c r="L63" i="22" s="1"/>
  <c r="M46" i="22"/>
  <c r="M42" i="22" s="1"/>
  <c r="AO14" i="22"/>
  <c r="AH42" i="22"/>
  <c r="N42" i="22"/>
  <c r="AO42" i="22"/>
  <c r="M14" i="22"/>
  <c r="BC42" i="22"/>
  <c r="AH14" i="22"/>
  <c r="AA14" i="22"/>
  <c r="F16" i="31"/>
  <c r="C16" i="31" s="1"/>
  <c r="C18" i="31"/>
  <c r="C20" i="1"/>
  <c r="C20" i="31"/>
  <c r="B8" i="4"/>
  <c r="B128" i="4" s="1"/>
  <c r="D91" i="4"/>
  <c r="D17" i="3"/>
  <c r="D12" i="31"/>
  <c r="C12" i="31" s="1"/>
  <c r="D12" i="1"/>
  <c r="C12" i="1" s="1"/>
  <c r="E29" i="2"/>
  <c r="F29" i="2" s="1"/>
  <c r="D11" i="3"/>
  <c r="E12" i="3"/>
  <c r="C33" i="3"/>
  <c r="E37" i="3"/>
  <c r="P100" i="5"/>
  <c r="O100" i="5"/>
  <c r="E80" i="5"/>
  <c r="E102" i="5"/>
  <c r="Q102" i="5" s="1"/>
  <c r="L8" i="1"/>
  <c r="L7" i="1" s="1"/>
  <c r="M17" i="1"/>
  <c r="F9" i="4"/>
  <c r="F8" i="4" s="1"/>
  <c r="AA42" i="22"/>
  <c r="I11" i="4"/>
  <c r="T42" i="22"/>
  <c r="C18" i="1"/>
  <c r="AV42" i="22"/>
  <c r="Q82" i="5"/>
  <c r="AV14" i="22"/>
  <c r="H11" i="9"/>
  <c r="R11" i="9" s="1"/>
  <c r="J11" i="4"/>
  <c r="F121" i="4"/>
  <c r="D121" i="4" s="1"/>
  <c r="L121" i="4" s="1"/>
  <c r="C8" i="4"/>
  <c r="M5" i="4" s="1"/>
  <c r="E8" i="4"/>
  <c r="N5" i="4" s="1"/>
  <c r="H10" i="4"/>
  <c r="G8" i="4"/>
  <c r="D49" i="4"/>
  <c r="L8" i="5"/>
  <c r="L108" i="5" s="1"/>
  <c r="L115" i="5" s="1"/>
  <c r="D99" i="4"/>
  <c r="K43" i="4"/>
  <c r="J43" i="4"/>
  <c r="K20" i="4"/>
  <c r="I20" i="4"/>
  <c r="J20" i="4"/>
  <c r="L42" i="22"/>
  <c r="P52" i="5"/>
  <c r="O52" i="5"/>
  <c r="O56" i="5"/>
  <c r="P56" i="5"/>
  <c r="J29" i="4"/>
  <c r="K29" i="4"/>
  <c r="I29" i="4"/>
  <c r="I9" i="5"/>
  <c r="D37" i="4"/>
  <c r="D10" i="4" s="1"/>
  <c r="I77" i="4"/>
  <c r="K77" i="4"/>
  <c r="L78" i="4"/>
  <c r="D111" i="4"/>
  <c r="K115" i="4"/>
  <c r="J115" i="4"/>
  <c r="K121" i="4"/>
  <c r="E38" i="5"/>
  <c r="F35" i="5"/>
  <c r="J12" i="1" s="1"/>
  <c r="I12" i="1" s="1"/>
  <c r="E41" i="5"/>
  <c r="P41" i="5" s="1"/>
  <c r="E128" i="4"/>
  <c r="J14" i="22" l="1"/>
  <c r="L50" i="4"/>
  <c r="F9" i="31"/>
  <c r="F9" i="1"/>
  <c r="O15" i="4"/>
  <c r="P5" i="4"/>
  <c r="M6" i="4"/>
  <c r="O8" i="4"/>
  <c r="O9" i="4" s="1"/>
  <c r="L5" i="4"/>
  <c r="E11" i="3"/>
  <c r="D10" i="3"/>
  <c r="E10" i="3" s="1"/>
  <c r="O5" i="4"/>
  <c r="O80" i="5"/>
  <c r="P80" i="5"/>
  <c r="J8" i="1"/>
  <c r="F8" i="5"/>
  <c r="D9" i="4"/>
  <c r="I8" i="5"/>
  <c r="I108" i="5" s="1"/>
  <c r="I114" i="5" s="1"/>
  <c r="H9" i="4"/>
  <c r="H8" i="4" s="1"/>
  <c r="Q5" i="4" s="1"/>
  <c r="G18" i="2"/>
  <c r="Q80" i="5"/>
  <c r="E35" i="5"/>
  <c r="E38" i="2" s="1"/>
  <c r="F38" i="2" s="1"/>
  <c r="F128" i="4"/>
  <c r="J128" i="4" s="1"/>
  <c r="K49" i="4"/>
  <c r="I49" i="4"/>
  <c r="D98" i="4"/>
  <c r="K111" i="4"/>
  <c r="J111" i="4"/>
  <c r="G128" i="4"/>
  <c r="O81" i="5"/>
  <c r="J42" i="22"/>
  <c r="K60" i="22"/>
  <c r="P38" i="5"/>
  <c r="O38" i="5"/>
  <c r="J37" i="4"/>
  <c r="K37" i="4"/>
  <c r="L38" i="4"/>
  <c r="I37" i="4"/>
  <c r="E9" i="5"/>
  <c r="E37" i="2" s="1"/>
  <c r="R94" i="36" l="1"/>
  <c r="R87" i="5"/>
  <c r="D35" i="3"/>
  <c r="O16" i="4"/>
  <c r="E9" i="1" s="1"/>
  <c r="F8" i="31"/>
  <c r="F7" i="31" s="1"/>
  <c r="C37" i="31"/>
  <c r="H128" i="4"/>
  <c r="D8" i="4"/>
  <c r="E17" i="2"/>
  <c r="F108" i="5"/>
  <c r="F114" i="5" s="1"/>
  <c r="D24" i="3"/>
  <c r="F37" i="2"/>
  <c r="E36" i="2"/>
  <c r="N86" i="4"/>
  <c r="F8" i="1"/>
  <c r="F7" i="1" s="1"/>
  <c r="P35" i="5"/>
  <c r="J7" i="1"/>
  <c r="I43" i="1" s="1"/>
  <c r="O86" i="4"/>
  <c r="N25" i="1"/>
  <c r="K8" i="1"/>
  <c r="K7" i="1" s="1"/>
  <c r="O35" i="5"/>
  <c r="Q35" i="5"/>
  <c r="K9" i="4"/>
  <c r="J10" i="4"/>
  <c r="K10" i="4"/>
  <c r="I10" i="4"/>
  <c r="M3" i="4"/>
  <c r="O1" i="4"/>
  <c r="C37" i="1"/>
  <c r="K69" i="22"/>
  <c r="L60" i="22"/>
  <c r="L69" i="22" s="1"/>
  <c r="E8" i="5"/>
  <c r="P9" i="5"/>
  <c r="Q9" i="5"/>
  <c r="E9" i="31" l="1"/>
  <c r="E8" i="31" s="1"/>
  <c r="E7" i="31" s="1"/>
  <c r="E42" i="31"/>
  <c r="F23" i="31"/>
  <c r="E8" i="1"/>
  <c r="E7" i="1" s="1"/>
  <c r="D42" i="1" s="1"/>
  <c r="D32" i="1"/>
  <c r="O13" i="4"/>
  <c r="D9" i="31" s="1"/>
  <c r="E35" i="3"/>
  <c r="D34" i="3"/>
  <c r="F17" i="2"/>
  <c r="E16" i="2"/>
  <c r="G16" i="2" s="1"/>
  <c r="E24" i="3"/>
  <c r="D23" i="3"/>
  <c r="F36" i="2"/>
  <c r="E35" i="2"/>
  <c r="N88" i="4"/>
  <c r="N91" i="4" s="1"/>
  <c r="G38" i="2"/>
  <c r="M86" i="4"/>
  <c r="L87" i="4" s="1"/>
  <c r="I8" i="1"/>
  <c r="F23" i="1"/>
  <c r="E42" i="1"/>
  <c r="I9" i="4"/>
  <c r="D128" i="4"/>
  <c r="J9" i="4"/>
  <c r="E108" i="5"/>
  <c r="Q8" i="5"/>
  <c r="P8" i="5"/>
  <c r="O8" i="5"/>
  <c r="D32" i="31" l="1"/>
  <c r="D9" i="1"/>
  <c r="D8" i="1" s="1"/>
  <c r="D7" i="1" s="1"/>
  <c r="D42" i="31"/>
  <c r="E23" i="31"/>
  <c r="E34" i="3"/>
  <c r="D33" i="3"/>
  <c r="E23" i="1"/>
  <c r="M23" i="1" s="1"/>
  <c r="F16" i="2"/>
  <c r="E15" i="2"/>
  <c r="E49" i="2" s="1"/>
  <c r="I49" i="2" s="1"/>
  <c r="C9" i="31"/>
  <c r="D8" i="31"/>
  <c r="H32" i="31"/>
  <c r="H33" i="31" s="1"/>
  <c r="R113" i="5"/>
  <c r="D31" i="3"/>
  <c r="E23" i="3"/>
  <c r="F35" i="2"/>
  <c r="E114" i="5"/>
  <c r="O108" i="5"/>
  <c r="I7" i="1"/>
  <c r="H37" i="1" s="1"/>
  <c r="G17" i="2"/>
  <c r="I8" i="4"/>
  <c r="L2" i="4"/>
  <c r="J8" i="4"/>
  <c r="H32" i="1"/>
  <c r="P108" i="5"/>
  <c r="G37" i="2"/>
  <c r="H34" i="1" l="1"/>
  <c r="C9" i="1"/>
  <c r="M8" i="1"/>
  <c r="D48" i="3"/>
  <c r="E33" i="3"/>
  <c r="F48" i="3"/>
  <c r="M23" i="31"/>
  <c r="H34" i="31"/>
  <c r="C8" i="1"/>
  <c r="D7" i="31"/>
  <c r="M8" i="31"/>
  <c r="C8" i="31"/>
  <c r="F15" i="2"/>
  <c r="G15" i="2"/>
  <c r="H33" i="1"/>
  <c r="P7" i="1"/>
  <c r="C42" i="1"/>
  <c r="C7" i="1"/>
  <c r="H36" i="1" s="1"/>
  <c r="H38" i="1" s="1"/>
  <c r="M7" i="1"/>
  <c r="D23" i="1"/>
  <c r="G35" i="2"/>
  <c r="F49" i="3" l="1"/>
  <c r="C7" i="31"/>
  <c r="D23" i="31"/>
  <c r="M7" i="31"/>
  <c r="C42" i="31"/>
  <c r="C23" i="1"/>
  <c r="D25" i="1"/>
  <c r="E35" i="1"/>
  <c r="B44" i="1"/>
  <c r="B45" i="1" s="1"/>
  <c r="B47" i="1" s="1"/>
  <c r="P8" i="1"/>
  <c r="R8" i="1" s="1"/>
  <c r="C38" i="1"/>
  <c r="D38" i="31" l="1"/>
  <c r="E35" i="31"/>
  <c r="C23" i="31"/>
  <c r="D25" i="31"/>
  <c r="H36" i="31"/>
  <c r="H38" i="31" s="1"/>
  <c r="P8" i="31"/>
  <c r="R8" i="31" s="1"/>
  <c r="B44" i="31"/>
  <c r="B45" i="31" s="1"/>
  <c r="B47" i="31" s="1"/>
  <c r="C38" i="31"/>
  <c r="C36" i="1"/>
  <c r="B35" i="1"/>
  <c r="B35" i="31" l="1"/>
  <c r="C36" i="31"/>
</calcChain>
</file>

<file path=xl/comments1.xml><?xml version="1.0" encoding="utf-8"?>
<comments xmlns="http://schemas.openxmlformats.org/spreadsheetml/2006/main">
  <authors>
    <author>THANH CHONG</author>
    <author>Dell 04</author>
  </authors>
  <commentList>
    <comment ref="B32" authorId="0">
      <text>
        <r>
          <rPr>
            <b/>
            <sz val="9"/>
            <color indexed="81"/>
            <rFont val="Tahoma"/>
            <family val="2"/>
          </rPr>
          <t>THANH CHONG:</t>
        </r>
        <r>
          <rPr>
            <sz val="9"/>
            <color indexed="81"/>
            <rFont val="Tahoma"/>
            <family val="2"/>
          </rPr>
          <t xml:space="preserve">
SỐ DƯ TỪ TRÁI PHIẾU CP</t>
        </r>
      </text>
    </comment>
    <comment ref="H32" authorId="1">
      <text>
        <r>
          <rPr>
            <b/>
            <sz val="9"/>
            <color indexed="81"/>
            <rFont val="Tahoma"/>
            <family val="2"/>
          </rPr>
          <t>Dell 04:</t>
        </r>
        <r>
          <rPr>
            <sz val="9"/>
            <color indexed="81"/>
            <rFont val="Tahoma"/>
            <family val="2"/>
          </rPr>
          <t xml:space="preserve">
CHI TỈNH HUYEN XÃ</t>
        </r>
      </text>
    </comment>
    <comment ref="C37" authorId="1">
      <text>
        <r>
          <rPr>
            <b/>
            <sz val="9"/>
            <color indexed="81"/>
            <rFont val="Tahoma"/>
            <family val="2"/>
          </rPr>
          <t>Dell 04:</t>
        </r>
        <r>
          <rPr>
            <sz val="9"/>
            <color indexed="81"/>
            <rFont val="Tahoma"/>
            <family val="2"/>
          </rPr>
          <t xml:space="preserve">
THU TINH HUYEN XA</t>
        </r>
      </text>
    </comment>
  </commentList>
</comments>
</file>

<file path=xl/comments10.xml><?xml version="1.0" encoding="utf-8"?>
<comments xmlns="http://schemas.openxmlformats.org/spreadsheetml/2006/main">
  <authors>
    <author>Administrator</author>
    <author/>
    <author>THANH CHONG</author>
    <author>Dell 04</author>
  </authors>
  <commentList>
    <comment ref="I24" authorId="0">
      <text>
        <r>
          <rPr>
            <b/>
            <sz val="9"/>
            <color indexed="81"/>
            <rFont val="Tahoma"/>
            <family val="2"/>
          </rPr>
          <t>Administrator:</t>
        </r>
        <r>
          <rPr>
            <sz val="9"/>
            <color indexed="81"/>
            <rFont val="Tahoma"/>
            <family val="2"/>
          </rPr>
          <t xml:space="preserve">
VỐN TPCP 124.421,143373TRĐ</t>
        </r>
      </text>
    </comment>
    <comment ref="J24" authorId="1">
      <text>
        <r>
          <rPr>
            <b/>
            <sz val="9"/>
            <color indexed="8"/>
            <rFont val="Tahoma"/>
            <family val="2"/>
            <charset val="1"/>
          </rPr>
          <t xml:space="preserve">THANH CHONG:
</t>
        </r>
        <r>
          <rPr>
            <sz val="9"/>
            <color indexed="8"/>
            <rFont val="Tahoma"/>
            <family val="2"/>
            <charset val="1"/>
          </rPr>
          <t>ODA</t>
        </r>
      </text>
    </comment>
    <comment ref="H33" authorId="1">
      <text>
        <r>
          <rPr>
            <b/>
            <sz val="9"/>
            <color indexed="8"/>
            <rFont val="Tahoma"/>
            <family val="2"/>
            <charset val="1"/>
          </rPr>
          <t xml:space="preserve">Nhu:
</t>
        </r>
        <r>
          <rPr>
            <sz val="9"/>
            <color indexed="8"/>
            <rFont val="Tahoma"/>
            <family val="2"/>
            <charset val="1"/>
          </rPr>
          <t>-CTMT GD: 4.231,05
-XSKT: 182.168,29</t>
        </r>
      </text>
    </comment>
    <comment ref="H35" authorId="1">
      <text>
        <r>
          <rPr>
            <b/>
            <sz val="9"/>
            <color indexed="8"/>
            <rFont val="Tahoma"/>
            <family val="2"/>
            <charset val="1"/>
          </rPr>
          <t xml:space="preserve">ADMIN:
</t>
        </r>
        <r>
          <rPr>
            <sz val="9"/>
            <color indexed="8"/>
            <rFont val="Tahoma"/>
            <family val="2"/>
            <charset val="1"/>
          </rPr>
          <t>CO GHI THU CHI VON DP</t>
        </r>
      </text>
    </comment>
    <comment ref="J40" authorId="0">
      <text>
        <r>
          <rPr>
            <b/>
            <sz val="9"/>
            <color indexed="81"/>
            <rFont val="Tahoma"/>
            <family val="2"/>
          </rPr>
          <t>Administrator:</t>
        </r>
        <r>
          <rPr>
            <sz val="9"/>
            <color indexed="81"/>
            <rFont val="Tahoma"/>
            <family val="2"/>
          </rPr>
          <t xml:space="preserve">
bổ sung đào tạo quân sự cấp xã 3.850 trđ</t>
        </r>
      </text>
    </comment>
    <comment ref="J41" authorId="0">
      <text>
        <r>
          <rPr>
            <b/>
            <sz val="9"/>
            <color indexed="81"/>
            <rFont val="Tahoma"/>
            <family val="2"/>
          </rPr>
          <t>Administrator: bổ sung công an tinh 9.153 trđ qd 2176</t>
        </r>
      </text>
    </comment>
    <comment ref="M41" authorId="0">
      <text>
        <r>
          <rPr>
            <b/>
            <sz val="9"/>
            <color indexed="81"/>
            <rFont val="Tahoma"/>
            <family val="2"/>
          </rPr>
          <t>Administrator:</t>
        </r>
        <r>
          <rPr>
            <sz val="9"/>
            <color indexed="81"/>
            <rFont val="Tahoma"/>
            <family val="2"/>
          </rPr>
          <t xml:space="preserve">
8.942 hõ trợ kp an toàn giao thông tại huyện</t>
        </r>
      </text>
    </comment>
    <comment ref="H43" authorId="0">
      <text>
        <r>
          <rPr>
            <b/>
            <sz val="9"/>
            <color indexed="81"/>
            <rFont val="Tahoma"/>
            <family val="2"/>
          </rPr>
          <t>Administrator:</t>
        </r>
        <r>
          <rPr>
            <sz val="9"/>
            <color indexed="81"/>
            <rFont val="Tahoma"/>
            <family val="2"/>
          </rPr>
          <t xml:space="preserve">
BỔ SUNG CHO SƠ GD HOÀN ỨNG TB 734, 14950,371</t>
        </r>
      </text>
    </comment>
    <comment ref="J46" authorId="0">
      <text>
        <r>
          <rPr>
            <b/>
            <sz val="9"/>
            <color indexed="81"/>
            <rFont val="Tahoma"/>
            <family val="2"/>
          </rPr>
          <t>Administrator:</t>
        </r>
        <r>
          <rPr>
            <sz val="9"/>
            <color indexed="81"/>
            <rFont val="Tahoma"/>
            <family val="2"/>
          </rPr>
          <t xml:space="preserve">
chi vh:560, 110 hỗ trợ hội tại qđ 2176</t>
        </r>
      </text>
    </comment>
    <comment ref="M52" authorId="0">
      <text>
        <r>
          <rPr>
            <b/>
            <sz val="9"/>
            <color indexed="81"/>
            <rFont val="Tahoma"/>
            <family val="2"/>
          </rPr>
          <t>Administrator:</t>
        </r>
        <r>
          <rPr>
            <sz val="9"/>
            <color indexed="81"/>
            <rFont val="Tahoma"/>
            <family val="2"/>
          </rPr>
          <t xml:space="preserve">
bs mục tiêu chính sách bt xã hội nghị định 136</t>
        </r>
      </text>
    </comment>
    <comment ref="P52" authorId="0">
      <text>
        <r>
          <rPr>
            <b/>
            <sz val="9"/>
            <color indexed="81"/>
            <rFont val="Tahoma"/>
            <family val="2"/>
          </rPr>
          <t>Administrator:</t>
        </r>
        <r>
          <rPr>
            <sz val="9"/>
            <color indexed="81"/>
            <rFont val="Tahoma"/>
            <family val="2"/>
          </rPr>
          <t xml:space="preserve">
bổ sung mục tiêu tiền điện hộ nghèo giải ngân tại xã 1.471 trđ</t>
        </r>
      </text>
    </comment>
    <comment ref="G66" authorId="0">
      <text>
        <r>
          <rPr>
            <b/>
            <sz val="9"/>
            <color indexed="81"/>
            <rFont val="Tahoma"/>
            <family val="2"/>
          </rPr>
          <t>Administrator:</t>
        </r>
        <r>
          <rPr>
            <sz val="9"/>
            <color indexed="81"/>
            <rFont val="Tahoma"/>
            <family val="2"/>
          </rPr>
          <t xml:space="preserve">
có sử dụng vốn đối ứng của tỉnh, vốn năm trước chuyển sang</t>
        </r>
      </text>
    </comment>
    <comment ref="R66" authorId="0">
      <text>
        <r>
          <rPr>
            <b/>
            <sz val="9"/>
            <color indexed="81"/>
            <rFont val="Tahoma"/>
            <family val="2"/>
          </rPr>
          <t>Administrator:</t>
        </r>
        <r>
          <rPr>
            <sz val="9"/>
            <color indexed="81"/>
            <rFont val="Tahoma"/>
            <family val="2"/>
          </rPr>
          <t xml:space="preserve">
có chi từ vốn đối ứng của tỉnh</t>
        </r>
      </text>
    </comment>
    <comment ref="D72" authorId="0">
      <text>
        <r>
          <rPr>
            <b/>
            <sz val="9"/>
            <color indexed="81"/>
            <rFont val="Tahoma"/>
            <family val="2"/>
          </rPr>
          <t>Administrator:</t>
        </r>
        <r>
          <rPr>
            <sz val="9"/>
            <color indexed="81"/>
            <rFont val="Tahoma"/>
            <family val="2"/>
          </rPr>
          <t xml:space="preserve">
có vốn đầu tư và vốn tx</t>
        </r>
      </text>
    </comment>
    <comment ref="D79" authorId="0">
      <text>
        <r>
          <rPr>
            <b/>
            <sz val="9"/>
            <color indexed="81"/>
            <rFont val="Tahoma"/>
            <family val="2"/>
          </rPr>
          <t>Administrator:</t>
        </r>
        <r>
          <rPr>
            <sz val="9"/>
            <color indexed="81"/>
            <rFont val="Tahoma"/>
            <family val="2"/>
          </rPr>
          <t xml:space="preserve">
còn mục tiêu khác như nhà 22, bhyt</t>
        </r>
      </text>
    </comment>
    <comment ref="P79" authorId="0">
      <text>
        <r>
          <rPr>
            <b/>
            <sz val="9"/>
            <color indexed="81"/>
            <rFont val="Tahoma"/>
            <family val="2"/>
          </rPr>
          <t>Administrator:</t>
        </r>
        <r>
          <rPr>
            <sz val="9"/>
            <color indexed="81"/>
            <rFont val="Tahoma"/>
            <family val="2"/>
          </rPr>
          <t xml:space="preserve">
tỉnh bổ sung mục tiêu tiền điện giải ngân tại xã</t>
        </r>
      </text>
    </comment>
    <comment ref="I80" authorId="1">
      <text>
        <r>
          <rPr>
            <b/>
            <sz val="9"/>
            <color indexed="8"/>
            <rFont val="Tahoma"/>
            <family val="2"/>
            <charset val="1"/>
          </rPr>
          <t xml:space="preserve">THANH CHONG:
</t>
        </r>
        <r>
          <rPr>
            <sz val="9"/>
            <color indexed="8"/>
            <rFont val="Tahoma"/>
            <family val="2"/>
            <charset val="1"/>
          </rPr>
          <t>ghi thu ghi chi nguyon vien tro SOS</t>
        </r>
      </text>
    </comment>
    <comment ref="H81" authorId="2">
      <text>
        <r>
          <rPr>
            <b/>
            <sz val="9"/>
            <color indexed="81"/>
            <rFont val="Tahoma"/>
            <family val="2"/>
          </rPr>
          <t>THANH CHONG:</t>
        </r>
        <r>
          <rPr>
            <sz val="9"/>
            <color indexed="81"/>
            <rFont val="Tahoma"/>
            <family val="2"/>
          </rPr>
          <t xml:space="preserve">
CHUYỂN NGUỒN CHỐT NGÀY 05112018</t>
        </r>
      </text>
    </comment>
    <comment ref="G95" authorId="3">
      <text>
        <r>
          <rPr>
            <b/>
            <sz val="9"/>
            <color indexed="81"/>
            <rFont val="Tahoma"/>
            <family val="2"/>
          </rPr>
          <t>Dell 04:</t>
        </r>
        <r>
          <rPr>
            <sz val="9"/>
            <color indexed="81"/>
            <rFont val="Tahoma"/>
            <family val="2"/>
          </rPr>
          <t xml:space="preserve">
CHUYỂN NGUỒN NGÂN SÁCH TỈNH NĂM 2017</t>
        </r>
      </text>
    </comment>
    <comment ref="K95" authorId="3">
      <text>
        <r>
          <rPr>
            <b/>
            <sz val="9"/>
            <color indexed="81"/>
            <rFont val="Tahoma"/>
            <family val="2"/>
          </rPr>
          <t>Dell 04:</t>
        </r>
        <r>
          <rPr>
            <sz val="9"/>
            <color indexed="81"/>
            <rFont val="Tahoma"/>
            <family val="2"/>
          </rPr>
          <t xml:space="preserve">
CHI HUYỆN</t>
        </r>
      </text>
    </comment>
  </commentList>
</comments>
</file>

<file path=xl/comments11.xml><?xml version="1.0" encoding="utf-8"?>
<comments xmlns="http://schemas.openxmlformats.org/spreadsheetml/2006/main">
  <authors>
    <author>Administrator</author>
    <author/>
    <author>THANH CHONG</author>
    <author>Dell 04</author>
  </authors>
  <commentList>
    <comment ref="G26" authorId="0">
      <text>
        <r>
          <rPr>
            <b/>
            <sz val="9"/>
            <color indexed="81"/>
            <rFont val="Tahoma"/>
            <family val="2"/>
          </rPr>
          <t>Administrator:</t>
        </r>
        <r>
          <rPr>
            <sz val="9"/>
            <color indexed="81"/>
            <rFont val="Tahoma"/>
            <family val="2"/>
          </rPr>
          <t xml:space="preserve">
VỐN TPCP 124.421,143373TRĐ</t>
        </r>
      </text>
    </comment>
    <comment ref="H26" authorId="1">
      <text>
        <r>
          <rPr>
            <b/>
            <sz val="9"/>
            <color indexed="8"/>
            <rFont val="Tahoma"/>
            <family val="2"/>
            <charset val="1"/>
          </rPr>
          <t xml:space="preserve">THANH CHONG:
</t>
        </r>
        <r>
          <rPr>
            <sz val="9"/>
            <color indexed="8"/>
            <rFont val="Tahoma"/>
            <family val="2"/>
            <charset val="1"/>
          </rPr>
          <t>ODA</t>
        </r>
      </text>
    </comment>
    <comment ref="H33" authorId="0">
      <text>
        <r>
          <rPr>
            <b/>
            <sz val="9"/>
            <color indexed="81"/>
            <rFont val="Tahoma"/>
            <family val="2"/>
          </rPr>
          <t>Administrator:</t>
        </r>
        <r>
          <rPr>
            <sz val="9"/>
            <color indexed="81"/>
            <rFont val="Tahoma"/>
            <family val="2"/>
          </rPr>
          <t xml:space="preserve">
bổ sung đào tạo quân sự cấp xã 3.850 trđ</t>
        </r>
      </text>
    </comment>
    <comment ref="H34" authorId="0">
      <text>
        <r>
          <rPr>
            <b/>
            <sz val="9"/>
            <color indexed="81"/>
            <rFont val="Tahoma"/>
            <family val="2"/>
          </rPr>
          <t>Administrator: bổ sung công an tinh 9.153 trđ qd 2176</t>
        </r>
      </text>
    </comment>
    <comment ref="K34" authorId="0">
      <text>
        <r>
          <rPr>
            <b/>
            <sz val="9"/>
            <color indexed="81"/>
            <rFont val="Tahoma"/>
            <family val="2"/>
          </rPr>
          <t>Administrator:</t>
        </r>
        <r>
          <rPr>
            <sz val="9"/>
            <color indexed="81"/>
            <rFont val="Tahoma"/>
            <family val="2"/>
          </rPr>
          <t xml:space="preserve">
8.942 hõ trợ kp an toàn giao thông tại huyện</t>
        </r>
      </text>
    </comment>
    <comment ref="F36" authorId="0">
      <text>
        <r>
          <rPr>
            <b/>
            <sz val="9"/>
            <color indexed="81"/>
            <rFont val="Tahoma"/>
            <family val="2"/>
          </rPr>
          <t>Administrator:</t>
        </r>
        <r>
          <rPr>
            <sz val="9"/>
            <color indexed="81"/>
            <rFont val="Tahoma"/>
            <family val="2"/>
          </rPr>
          <t xml:space="preserve">
BỔ SUNG CHO SƠ GD HOÀN ỨNG TB 734, 14950,371</t>
        </r>
      </text>
    </comment>
    <comment ref="H39" authorId="0">
      <text>
        <r>
          <rPr>
            <b/>
            <sz val="9"/>
            <color indexed="81"/>
            <rFont val="Tahoma"/>
            <family val="2"/>
          </rPr>
          <t>Administrator:</t>
        </r>
        <r>
          <rPr>
            <sz val="9"/>
            <color indexed="81"/>
            <rFont val="Tahoma"/>
            <family val="2"/>
          </rPr>
          <t xml:space="preserve">
chi vh:560, 110 hỗ trợ hội tại qđ 2176</t>
        </r>
      </text>
    </comment>
    <comment ref="K45" authorId="0">
      <text>
        <r>
          <rPr>
            <b/>
            <sz val="9"/>
            <color indexed="81"/>
            <rFont val="Tahoma"/>
            <family val="2"/>
          </rPr>
          <t>Administrator:</t>
        </r>
        <r>
          <rPr>
            <sz val="9"/>
            <color indexed="81"/>
            <rFont val="Tahoma"/>
            <family val="2"/>
          </rPr>
          <t xml:space="preserve">
bs mục tiêu chính sách bt xã hội nghị định 136</t>
        </r>
      </text>
    </comment>
    <comment ref="N45" authorId="0">
      <text>
        <r>
          <rPr>
            <b/>
            <sz val="9"/>
            <color indexed="81"/>
            <rFont val="Tahoma"/>
            <family val="2"/>
          </rPr>
          <t>Administrator:</t>
        </r>
        <r>
          <rPr>
            <sz val="9"/>
            <color indexed="81"/>
            <rFont val="Tahoma"/>
            <family val="2"/>
          </rPr>
          <t xml:space="preserve">
bổ sung mục tiêu tiền điện hộ nghèo giải ngân tại xã 1.471 trđ</t>
        </r>
      </text>
    </comment>
    <comment ref="S45" authorId="1">
      <text>
        <r>
          <rPr>
            <b/>
            <sz val="9"/>
            <color indexed="8"/>
            <rFont val="Tahoma"/>
            <family val="2"/>
            <charset val="1"/>
          </rPr>
          <t xml:space="preserve">THANH CHONG:
</t>
        </r>
        <r>
          <rPr>
            <sz val="9"/>
            <color indexed="8"/>
            <rFont val="Tahoma"/>
            <family val="2"/>
            <charset val="1"/>
          </rPr>
          <t>+ chuyển cấp tỉnh 37667,779756 p. HCSN, oda 65018, chuyển nguồn tạm ứng đt xd cb theo hợp đồng 488732</t>
        </r>
      </text>
    </comment>
    <comment ref="F54" authorId="2">
      <text>
        <r>
          <rPr>
            <b/>
            <sz val="9"/>
            <color indexed="81"/>
            <rFont val="Tahoma"/>
            <family val="2"/>
          </rPr>
          <t>THANH CHONG:</t>
        </r>
        <r>
          <rPr>
            <sz val="9"/>
            <color indexed="81"/>
            <rFont val="Tahoma"/>
            <family val="2"/>
          </rPr>
          <t xml:space="preserve">
CHUYỂN NGUỒN CHỐT NGÀY 05112018</t>
        </r>
      </text>
    </comment>
    <comment ref="E68" authorId="3">
      <text>
        <r>
          <rPr>
            <b/>
            <sz val="9"/>
            <color indexed="81"/>
            <rFont val="Tahoma"/>
            <family val="2"/>
          </rPr>
          <t>Dell 04:</t>
        </r>
        <r>
          <rPr>
            <sz val="9"/>
            <color indexed="81"/>
            <rFont val="Tahoma"/>
            <family val="2"/>
          </rPr>
          <t xml:space="preserve">
CHUYỂN NGUỒN NGÂN SÁCH TỈNH NĂM 2017</t>
        </r>
      </text>
    </comment>
    <comment ref="I68" authorId="3">
      <text>
        <r>
          <rPr>
            <b/>
            <sz val="9"/>
            <color indexed="81"/>
            <rFont val="Tahoma"/>
            <family val="2"/>
          </rPr>
          <t>Dell 04:</t>
        </r>
        <r>
          <rPr>
            <sz val="9"/>
            <color indexed="81"/>
            <rFont val="Tahoma"/>
            <family val="2"/>
          </rPr>
          <t xml:space="preserve">
CHI HUYỆN</t>
        </r>
      </text>
    </comment>
  </commentList>
</comments>
</file>

<file path=xl/comments12.xml><?xml version="1.0" encoding="utf-8"?>
<comments xmlns="http://schemas.openxmlformats.org/spreadsheetml/2006/main">
  <authors>
    <author>Administrator</author>
    <author>THANH CHONG</author>
  </authors>
  <commentList>
    <comment ref="G193" authorId="0">
      <text>
        <r>
          <rPr>
            <b/>
            <sz val="9"/>
            <color indexed="81"/>
            <rFont val="Tahoma"/>
            <family val="2"/>
          </rPr>
          <t>Administrator:</t>
        </r>
        <r>
          <rPr>
            <sz val="9"/>
            <color indexed="81"/>
            <rFont val="Tahoma"/>
            <family val="2"/>
          </rPr>
          <t xml:space="preserve">
không mục tiêu qg và mục tiêu khác của chi 8211</t>
        </r>
      </text>
    </comment>
    <comment ref="H205" authorId="1">
      <text>
        <r>
          <rPr>
            <b/>
            <sz val="9"/>
            <color indexed="81"/>
            <rFont val="Tahoma"/>
            <family val="2"/>
          </rPr>
          <t>THANH CHONG:</t>
        </r>
        <r>
          <rPr>
            <sz val="9"/>
            <color indexed="81"/>
            <rFont val="Tahoma"/>
            <family val="2"/>
          </rPr>
          <t xml:space="preserve">
đã loại trừ mtqg</t>
        </r>
      </text>
    </comment>
    <comment ref="F243" authorId="0">
      <text>
        <r>
          <rPr>
            <b/>
            <sz val="9"/>
            <color indexed="81"/>
            <rFont val="Tahoma"/>
            <family val="2"/>
          </rPr>
          <t>Administrator:</t>
        </r>
        <r>
          <rPr>
            <sz val="9"/>
            <color indexed="81"/>
            <rFont val="Tahoma"/>
            <family val="2"/>
          </rPr>
          <t xml:space="preserve">
có trả vay nl điện nông thôn</t>
        </r>
      </text>
    </comment>
  </commentList>
</comments>
</file>

<file path=xl/comments13.xml><?xml version="1.0" encoding="utf-8"?>
<comments xmlns="http://schemas.openxmlformats.org/spreadsheetml/2006/main">
  <authors>
    <author>THANH CHONG</author>
  </authors>
  <commentList>
    <comment ref="F55" authorId="0">
      <text>
        <r>
          <rPr>
            <b/>
            <sz val="9"/>
            <color indexed="81"/>
            <rFont val="Tahoma"/>
            <family val="2"/>
          </rPr>
          <t>THANH CHONG:</t>
        </r>
        <r>
          <rPr>
            <sz val="9"/>
            <color indexed="81"/>
            <rFont val="Tahoma"/>
            <family val="2"/>
          </rPr>
          <t xml:space="preserve">
chưa phân bổ</t>
        </r>
      </text>
    </comment>
  </commentList>
</comments>
</file>

<file path=xl/comments14.xml><?xml version="1.0" encoding="utf-8"?>
<comments xmlns="http://schemas.openxmlformats.org/spreadsheetml/2006/main">
  <authors>
    <author>Administrator</author>
    <author/>
    <author>THANH CHONG</author>
    <author>Dell 04</author>
  </authors>
  <commentList>
    <comment ref="G23" authorId="0">
      <text>
        <r>
          <rPr>
            <b/>
            <sz val="9"/>
            <color indexed="81"/>
            <rFont val="Tahoma"/>
            <family val="2"/>
          </rPr>
          <t>Administrator:</t>
        </r>
        <r>
          <rPr>
            <sz val="9"/>
            <color indexed="81"/>
            <rFont val="Tahoma"/>
            <family val="2"/>
          </rPr>
          <t xml:space="preserve">
VỐN TPCP 124.421,143373TRĐ</t>
        </r>
      </text>
    </comment>
    <comment ref="H23" authorId="1">
      <text>
        <r>
          <rPr>
            <b/>
            <sz val="9"/>
            <color indexed="8"/>
            <rFont val="Tahoma"/>
            <family val="2"/>
            <charset val="1"/>
          </rPr>
          <t xml:space="preserve">THANH CHONG:
</t>
        </r>
        <r>
          <rPr>
            <sz val="9"/>
            <color indexed="8"/>
            <rFont val="Tahoma"/>
            <family val="2"/>
            <charset val="1"/>
          </rPr>
          <t>ODA</t>
        </r>
      </text>
    </comment>
    <comment ref="F32" authorId="1">
      <text>
        <r>
          <rPr>
            <b/>
            <sz val="9"/>
            <color indexed="8"/>
            <rFont val="Tahoma"/>
            <family val="2"/>
            <charset val="1"/>
          </rPr>
          <t xml:space="preserve">Nhu:
</t>
        </r>
        <r>
          <rPr>
            <sz val="9"/>
            <color indexed="8"/>
            <rFont val="Tahoma"/>
            <family val="2"/>
            <charset val="1"/>
          </rPr>
          <t>-CTMT GD: 4.231,05
-XSKT: 182.168,29</t>
        </r>
      </text>
    </comment>
    <comment ref="F34" authorId="1">
      <text>
        <r>
          <rPr>
            <b/>
            <sz val="9"/>
            <color indexed="8"/>
            <rFont val="Tahoma"/>
            <family val="2"/>
            <charset val="1"/>
          </rPr>
          <t xml:space="preserve">ADMIN:
</t>
        </r>
        <r>
          <rPr>
            <sz val="9"/>
            <color indexed="8"/>
            <rFont val="Tahoma"/>
            <family val="2"/>
            <charset val="1"/>
          </rPr>
          <t>CO GHI THU CHI VON DP</t>
        </r>
      </text>
    </comment>
    <comment ref="H39" authorId="0">
      <text>
        <r>
          <rPr>
            <b/>
            <sz val="9"/>
            <color indexed="81"/>
            <rFont val="Tahoma"/>
            <family val="2"/>
          </rPr>
          <t>Administrator:</t>
        </r>
        <r>
          <rPr>
            <sz val="9"/>
            <color indexed="81"/>
            <rFont val="Tahoma"/>
            <family val="2"/>
          </rPr>
          <t xml:space="preserve">
bổ sung đào tạo quân sự cấp xã 3.850 trđ</t>
        </r>
      </text>
    </comment>
    <comment ref="H40" authorId="0">
      <text>
        <r>
          <rPr>
            <b/>
            <sz val="9"/>
            <color indexed="81"/>
            <rFont val="Tahoma"/>
            <family val="2"/>
          </rPr>
          <t>Administrator: bổ sung công an tinh 9.153 trđ qd 2176</t>
        </r>
      </text>
    </comment>
    <comment ref="K40" authorId="0">
      <text>
        <r>
          <rPr>
            <b/>
            <sz val="9"/>
            <color indexed="81"/>
            <rFont val="Tahoma"/>
            <family val="2"/>
          </rPr>
          <t>Administrator:</t>
        </r>
        <r>
          <rPr>
            <sz val="9"/>
            <color indexed="81"/>
            <rFont val="Tahoma"/>
            <family val="2"/>
          </rPr>
          <t xml:space="preserve">
8.942 hõ trợ kp an toàn giao thông tại huyện</t>
        </r>
      </text>
    </comment>
    <comment ref="F42" authorId="0">
      <text>
        <r>
          <rPr>
            <b/>
            <sz val="9"/>
            <color indexed="81"/>
            <rFont val="Tahoma"/>
            <family val="2"/>
          </rPr>
          <t>Administrator:</t>
        </r>
        <r>
          <rPr>
            <sz val="9"/>
            <color indexed="81"/>
            <rFont val="Tahoma"/>
            <family val="2"/>
          </rPr>
          <t xml:space="preserve">
BỔ SUNG CHO SƠ GD HOÀN ỨNG TB 734, 14950,371</t>
        </r>
      </text>
    </comment>
    <comment ref="H45" authorId="0">
      <text>
        <r>
          <rPr>
            <b/>
            <sz val="9"/>
            <color indexed="81"/>
            <rFont val="Tahoma"/>
            <family val="2"/>
          </rPr>
          <t>Administrator:</t>
        </r>
        <r>
          <rPr>
            <sz val="9"/>
            <color indexed="81"/>
            <rFont val="Tahoma"/>
            <family val="2"/>
          </rPr>
          <t xml:space="preserve">
chi vh:560, 110 hỗ trợ hội tại qđ 2176</t>
        </r>
      </text>
    </comment>
    <comment ref="K51" authorId="0">
      <text>
        <r>
          <rPr>
            <b/>
            <sz val="9"/>
            <color indexed="81"/>
            <rFont val="Tahoma"/>
            <family val="2"/>
          </rPr>
          <t>Administrator:</t>
        </r>
        <r>
          <rPr>
            <sz val="9"/>
            <color indexed="81"/>
            <rFont val="Tahoma"/>
            <family val="2"/>
          </rPr>
          <t xml:space="preserve">
bs mục tiêu chính sách bt xã hội nghị định 136</t>
        </r>
      </text>
    </comment>
    <comment ref="N51" authorId="0">
      <text>
        <r>
          <rPr>
            <b/>
            <sz val="9"/>
            <color indexed="81"/>
            <rFont val="Tahoma"/>
            <family val="2"/>
          </rPr>
          <t>Administrator:</t>
        </r>
        <r>
          <rPr>
            <sz val="9"/>
            <color indexed="81"/>
            <rFont val="Tahoma"/>
            <family val="2"/>
          </rPr>
          <t xml:space="preserve">
bổ sung mục tiêu tiền điện hộ nghèo giải ngân tại xã 1.471 trđ</t>
        </r>
      </text>
    </comment>
    <comment ref="R51" authorId="1">
      <text>
        <r>
          <rPr>
            <b/>
            <sz val="9"/>
            <color indexed="8"/>
            <rFont val="Tahoma"/>
            <family val="2"/>
            <charset val="1"/>
          </rPr>
          <t xml:space="preserve">THANH CHONG:
</t>
        </r>
        <r>
          <rPr>
            <sz val="9"/>
            <color indexed="8"/>
            <rFont val="Tahoma"/>
            <family val="2"/>
            <charset val="1"/>
          </rPr>
          <t>+ chuyển cấp tỉnh 37667,779756 p. HCSN, oda 65018, chuyển nguồn tạm ứng đt xd cb theo hợp đồng 488732</t>
        </r>
      </text>
    </comment>
    <comment ref="H57" authorId="1">
      <text>
        <r>
          <rPr>
            <sz val="8"/>
            <color indexed="8"/>
            <rFont val="Tahoma"/>
            <family val="2"/>
            <charset val="1"/>
          </rPr>
          <t>CT giảm nghèo</t>
        </r>
      </text>
    </comment>
    <comment ref="G70" authorId="1">
      <text>
        <r>
          <rPr>
            <b/>
            <sz val="9"/>
            <color indexed="8"/>
            <rFont val="Tahoma"/>
            <family val="2"/>
            <charset val="1"/>
          </rPr>
          <t xml:space="preserve">THANH CHONG:
</t>
        </r>
        <r>
          <rPr>
            <sz val="9"/>
            <color indexed="8"/>
            <rFont val="Tahoma"/>
            <family val="2"/>
            <charset val="1"/>
          </rPr>
          <t>ghi chi nguon vien tro cho SOS</t>
        </r>
      </text>
    </comment>
    <comment ref="F76" authorId="1">
      <text>
        <r>
          <rPr>
            <b/>
            <sz val="8"/>
            <color indexed="8"/>
            <rFont val="Tahoma"/>
            <family val="2"/>
            <charset val="1"/>
          </rPr>
          <t xml:space="preserve">phamminhxuan:
</t>
        </r>
        <r>
          <rPr>
            <sz val="8"/>
            <color indexed="8"/>
            <rFont val="Tahoma"/>
            <family val="2"/>
            <charset val="1"/>
          </rPr>
          <t>-CTMT QG phong chong toi pham: 940 tr.
- CTMT ma tuy: 1.100 tr</t>
        </r>
      </text>
    </comment>
    <comment ref="E94" authorId="0">
      <text>
        <r>
          <rPr>
            <b/>
            <sz val="9"/>
            <color indexed="81"/>
            <rFont val="Tahoma"/>
            <family val="2"/>
          </rPr>
          <t>Administrator:</t>
        </r>
        <r>
          <rPr>
            <sz val="9"/>
            <color indexed="81"/>
            <rFont val="Tahoma"/>
            <family val="2"/>
          </rPr>
          <t xml:space="preserve">
có sử dụng vốn đối ứng của tỉnh, vốn năm trước chuyển sang</t>
        </r>
      </text>
    </comment>
    <comment ref="P94" authorId="0">
      <text>
        <r>
          <rPr>
            <b/>
            <sz val="9"/>
            <color indexed="81"/>
            <rFont val="Tahoma"/>
            <family val="2"/>
          </rPr>
          <t>Administrator:</t>
        </r>
        <r>
          <rPr>
            <sz val="9"/>
            <color indexed="81"/>
            <rFont val="Tahoma"/>
            <family val="2"/>
          </rPr>
          <t xml:space="preserve">
có chi từ vốn đối ứng của tỉnh</t>
        </r>
      </text>
    </comment>
    <comment ref="D100" authorId="0">
      <text>
        <r>
          <rPr>
            <b/>
            <sz val="9"/>
            <color indexed="81"/>
            <rFont val="Tahoma"/>
            <family val="2"/>
          </rPr>
          <t>Administrator:</t>
        </r>
        <r>
          <rPr>
            <sz val="9"/>
            <color indexed="81"/>
            <rFont val="Tahoma"/>
            <family val="2"/>
          </rPr>
          <t xml:space="preserve">
có vốn đầu tư và vốn tx</t>
        </r>
      </text>
    </comment>
    <comment ref="D107" authorId="0">
      <text>
        <r>
          <rPr>
            <b/>
            <sz val="9"/>
            <color indexed="81"/>
            <rFont val="Tahoma"/>
            <family val="2"/>
          </rPr>
          <t>Administrator:</t>
        </r>
        <r>
          <rPr>
            <sz val="9"/>
            <color indexed="81"/>
            <rFont val="Tahoma"/>
            <family val="2"/>
          </rPr>
          <t xml:space="preserve">
còn mục tiêu khác như nhà 22, bhyt</t>
        </r>
      </text>
    </comment>
    <comment ref="N107" authorId="0">
      <text>
        <r>
          <rPr>
            <b/>
            <sz val="9"/>
            <color indexed="81"/>
            <rFont val="Tahoma"/>
            <family val="2"/>
          </rPr>
          <t>Administrator:</t>
        </r>
        <r>
          <rPr>
            <sz val="9"/>
            <color indexed="81"/>
            <rFont val="Tahoma"/>
            <family val="2"/>
          </rPr>
          <t xml:space="preserve">
tỉnh bổ sung mục tiêu tiền điện giải ngân tại xã</t>
        </r>
      </text>
    </comment>
    <comment ref="G108" authorId="1">
      <text>
        <r>
          <rPr>
            <b/>
            <sz val="9"/>
            <color indexed="8"/>
            <rFont val="Tahoma"/>
            <family val="2"/>
            <charset val="1"/>
          </rPr>
          <t xml:space="preserve">THANH CHONG:
</t>
        </r>
        <r>
          <rPr>
            <sz val="9"/>
            <color indexed="8"/>
            <rFont val="Tahoma"/>
            <family val="2"/>
            <charset val="1"/>
          </rPr>
          <t>ghi thu ghi chi nguyon vien tro SOS</t>
        </r>
      </text>
    </comment>
    <comment ref="F109" authorId="2">
      <text>
        <r>
          <rPr>
            <b/>
            <sz val="9"/>
            <color indexed="81"/>
            <rFont val="Tahoma"/>
            <family val="2"/>
          </rPr>
          <t>THANH CHONG:</t>
        </r>
        <r>
          <rPr>
            <sz val="9"/>
            <color indexed="81"/>
            <rFont val="Tahoma"/>
            <family val="2"/>
          </rPr>
          <t xml:space="preserve">
CHUYỂN NGUỒN CHỐT NGÀY 05112018</t>
        </r>
      </text>
    </comment>
    <comment ref="E123" authorId="3">
      <text>
        <r>
          <rPr>
            <b/>
            <sz val="9"/>
            <color indexed="81"/>
            <rFont val="Tahoma"/>
            <family val="2"/>
          </rPr>
          <t>Dell 04:</t>
        </r>
        <r>
          <rPr>
            <sz val="9"/>
            <color indexed="81"/>
            <rFont val="Tahoma"/>
            <family val="2"/>
          </rPr>
          <t xml:space="preserve">
CHUYỂN NGUỒN NGÂN SÁCH TỈNH NĂM 2017</t>
        </r>
      </text>
    </comment>
    <comment ref="I123" authorId="3">
      <text>
        <r>
          <rPr>
            <b/>
            <sz val="9"/>
            <color indexed="81"/>
            <rFont val="Tahoma"/>
            <family val="2"/>
          </rPr>
          <t>Dell 04:</t>
        </r>
        <r>
          <rPr>
            <sz val="9"/>
            <color indexed="81"/>
            <rFont val="Tahoma"/>
            <family val="2"/>
          </rPr>
          <t xml:space="preserve">
CHI HUYỆN</t>
        </r>
      </text>
    </comment>
  </commentList>
</comments>
</file>

<file path=xl/comments15.xml><?xml version="1.0" encoding="utf-8"?>
<comments xmlns="http://schemas.openxmlformats.org/spreadsheetml/2006/main">
  <authors>
    <author>Administrator</author>
    <author/>
    <author>THANH CHONG</author>
    <author>Dell 04</author>
  </authors>
  <commentList>
    <comment ref="I22" authorId="0">
      <text>
        <r>
          <rPr>
            <b/>
            <sz val="9"/>
            <color indexed="81"/>
            <rFont val="Tahoma"/>
            <family val="2"/>
          </rPr>
          <t>Administrator:</t>
        </r>
        <r>
          <rPr>
            <sz val="9"/>
            <color indexed="81"/>
            <rFont val="Tahoma"/>
            <family val="2"/>
          </rPr>
          <t xml:space="preserve">
VỐN TPCP 124.421,143373TRĐ</t>
        </r>
      </text>
    </comment>
    <comment ref="J22" authorId="1">
      <text>
        <r>
          <rPr>
            <b/>
            <sz val="9"/>
            <color indexed="8"/>
            <rFont val="Tahoma"/>
            <family val="2"/>
            <charset val="1"/>
          </rPr>
          <t xml:space="preserve">THANH CHONG:
</t>
        </r>
        <r>
          <rPr>
            <sz val="9"/>
            <color indexed="8"/>
            <rFont val="Tahoma"/>
            <family val="2"/>
            <charset val="1"/>
          </rPr>
          <t>ODA</t>
        </r>
      </text>
    </comment>
    <comment ref="H31" authorId="1">
      <text>
        <r>
          <rPr>
            <b/>
            <sz val="9"/>
            <color indexed="8"/>
            <rFont val="Tahoma"/>
            <family val="2"/>
            <charset val="1"/>
          </rPr>
          <t xml:space="preserve">Nhu:
</t>
        </r>
        <r>
          <rPr>
            <sz val="9"/>
            <color indexed="8"/>
            <rFont val="Tahoma"/>
            <family val="2"/>
            <charset val="1"/>
          </rPr>
          <t>-CTMT GD: 4.231,05
-XSKT: 182.168,29</t>
        </r>
      </text>
    </comment>
    <comment ref="H33" authorId="1">
      <text>
        <r>
          <rPr>
            <b/>
            <sz val="9"/>
            <color indexed="8"/>
            <rFont val="Tahoma"/>
            <family val="2"/>
            <charset val="1"/>
          </rPr>
          <t xml:space="preserve">ADMIN:
</t>
        </r>
        <r>
          <rPr>
            <sz val="9"/>
            <color indexed="8"/>
            <rFont val="Tahoma"/>
            <family val="2"/>
            <charset val="1"/>
          </rPr>
          <t>CO GHI THU CHI VON DP</t>
        </r>
      </text>
    </comment>
    <comment ref="J38" authorId="0">
      <text>
        <r>
          <rPr>
            <b/>
            <sz val="9"/>
            <color indexed="81"/>
            <rFont val="Tahoma"/>
            <family val="2"/>
          </rPr>
          <t>Administrator:</t>
        </r>
        <r>
          <rPr>
            <sz val="9"/>
            <color indexed="81"/>
            <rFont val="Tahoma"/>
            <family val="2"/>
          </rPr>
          <t xml:space="preserve">
bổ sung đào tạo quân sự cấp xã 3.850 trđ</t>
        </r>
      </text>
    </comment>
    <comment ref="J39" authorId="0">
      <text>
        <r>
          <rPr>
            <b/>
            <sz val="9"/>
            <color indexed="81"/>
            <rFont val="Tahoma"/>
            <family val="2"/>
          </rPr>
          <t>Administrator: bổ sung công an tinh 9.153 trđ qd 2176</t>
        </r>
      </text>
    </comment>
    <comment ref="M39" authorId="0">
      <text>
        <r>
          <rPr>
            <b/>
            <sz val="9"/>
            <color indexed="81"/>
            <rFont val="Tahoma"/>
            <family val="2"/>
          </rPr>
          <t>Administrator:</t>
        </r>
        <r>
          <rPr>
            <sz val="9"/>
            <color indexed="81"/>
            <rFont val="Tahoma"/>
            <family val="2"/>
          </rPr>
          <t xml:space="preserve">
8.942 hõ trợ kp an toàn giao thông tại huyện</t>
        </r>
      </text>
    </comment>
    <comment ref="H41" authorId="0">
      <text>
        <r>
          <rPr>
            <b/>
            <sz val="9"/>
            <color indexed="81"/>
            <rFont val="Tahoma"/>
            <family val="2"/>
          </rPr>
          <t>Administrator:</t>
        </r>
        <r>
          <rPr>
            <sz val="9"/>
            <color indexed="81"/>
            <rFont val="Tahoma"/>
            <family val="2"/>
          </rPr>
          <t xml:space="preserve">
BỔ SUNG CHO SƠ GD HOÀN ỨNG TB 734, 14950,371</t>
        </r>
      </text>
    </comment>
    <comment ref="J44" authorId="0">
      <text>
        <r>
          <rPr>
            <b/>
            <sz val="9"/>
            <color indexed="81"/>
            <rFont val="Tahoma"/>
            <family val="2"/>
          </rPr>
          <t>Administrator:</t>
        </r>
        <r>
          <rPr>
            <sz val="9"/>
            <color indexed="81"/>
            <rFont val="Tahoma"/>
            <family val="2"/>
          </rPr>
          <t xml:space="preserve">
chi vh:560, 110 hỗ trợ hội tại qđ 2176</t>
        </r>
      </text>
    </comment>
    <comment ref="M50" authorId="0">
      <text>
        <r>
          <rPr>
            <b/>
            <sz val="9"/>
            <color indexed="81"/>
            <rFont val="Tahoma"/>
            <family val="2"/>
          </rPr>
          <t>Administrator:</t>
        </r>
        <r>
          <rPr>
            <sz val="9"/>
            <color indexed="81"/>
            <rFont val="Tahoma"/>
            <family val="2"/>
          </rPr>
          <t xml:space="preserve">
bs mục tiêu chính sách bt xã hội nghị định 136</t>
        </r>
      </text>
    </comment>
    <comment ref="P50" authorId="0">
      <text>
        <r>
          <rPr>
            <b/>
            <sz val="9"/>
            <color indexed="81"/>
            <rFont val="Tahoma"/>
            <family val="2"/>
          </rPr>
          <t>Administrator:</t>
        </r>
        <r>
          <rPr>
            <sz val="9"/>
            <color indexed="81"/>
            <rFont val="Tahoma"/>
            <family val="2"/>
          </rPr>
          <t xml:space="preserve">
bổ sung mục tiêu tiền điện hộ nghèo giải ngân tại xã 1.471 trđ</t>
        </r>
      </text>
    </comment>
    <comment ref="G64" authorId="0">
      <text>
        <r>
          <rPr>
            <b/>
            <sz val="9"/>
            <color indexed="81"/>
            <rFont val="Tahoma"/>
            <family val="2"/>
          </rPr>
          <t>Administrator:</t>
        </r>
        <r>
          <rPr>
            <sz val="9"/>
            <color indexed="81"/>
            <rFont val="Tahoma"/>
            <family val="2"/>
          </rPr>
          <t xml:space="preserve">
có sử dụng vốn đối ứng của tỉnh, vốn năm trước chuyển sang</t>
        </r>
      </text>
    </comment>
    <comment ref="R64" authorId="0">
      <text>
        <r>
          <rPr>
            <b/>
            <sz val="9"/>
            <color indexed="81"/>
            <rFont val="Tahoma"/>
            <family val="2"/>
          </rPr>
          <t>Administrator:</t>
        </r>
        <r>
          <rPr>
            <sz val="9"/>
            <color indexed="81"/>
            <rFont val="Tahoma"/>
            <family val="2"/>
          </rPr>
          <t xml:space="preserve">
có chi từ vốn đối ứng của tỉnh</t>
        </r>
      </text>
    </comment>
    <comment ref="D70" authorId="0">
      <text>
        <r>
          <rPr>
            <b/>
            <sz val="9"/>
            <color indexed="81"/>
            <rFont val="Tahoma"/>
            <family val="2"/>
          </rPr>
          <t>Administrator:</t>
        </r>
        <r>
          <rPr>
            <sz val="9"/>
            <color indexed="81"/>
            <rFont val="Tahoma"/>
            <family val="2"/>
          </rPr>
          <t xml:space="preserve">
có vốn đầu tư và vốn tx</t>
        </r>
      </text>
    </comment>
    <comment ref="D77" authorId="0">
      <text>
        <r>
          <rPr>
            <b/>
            <sz val="9"/>
            <color indexed="81"/>
            <rFont val="Tahoma"/>
            <family val="2"/>
          </rPr>
          <t>Administrator:</t>
        </r>
        <r>
          <rPr>
            <sz val="9"/>
            <color indexed="81"/>
            <rFont val="Tahoma"/>
            <family val="2"/>
          </rPr>
          <t xml:space="preserve">
còn mục tiêu khác như nhà 22, bhyt</t>
        </r>
      </text>
    </comment>
    <comment ref="P77" authorId="0">
      <text>
        <r>
          <rPr>
            <b/>
            <sz val="9"/>
            <color indexed="81"/>
            <rFont val="Tahoma"/>
            <family val="2"/>
          </rPr>
          <t>Administrator:</t>
        </r>
        <r>
          <rPr>
            <sz val="9"/>
            <color indexed="81"/>
            <rFont val="Tahoma"/>
            <family val="2"/>
          </rPr>
          <t xml:space="preserve">
tỉnh bổ sung mục tiêu tiền điện giải ngân tại xã</t>
        </r>
      </text>
    </comment>
    <comment ref="I78" authorId="1">
      <text>
        <r>
          <rPr>
            <b/>
            <sz val="9"/>
            <color indexed="8"/>
            <rFont val="Tahoma"/>
            <family val="2"/>
            <charset val="1"/>
          </rPr>
          <t xml:space="preserve">THANH CHONG:
</t>
        </r>
        <r>
          <rPr>
            <sz val="9"/>
            <color indexed="8"/>
            <rFont val="Tahoma"/>
            <family val="2"/>
            <charset val="1"/>
          </rPr>
          <t>ghi thu ghi chi nguyon vien tro SOS</t>
        </r>
      </text>
    </comment>
    <comment ref="H79" authorId="2">
      <text>
        <r>
          <rPr>
            <b/>
            <sz val="9"/>
            <color indexed="81"/>
            <rFont val="Tahoma"/>
            <family val="2"/>
          </rPr>
          <t>THANH CHONG:</t>
        </r>
        <r>
          <rPr>
            <sz val="9"/>
            <color indexed="81"/>
            <rFont val="Tahoma"/>
            <family val="2"/>
          </rPr>
          <t xml:space="preserve">
CHUYỂN NGUỒN CHỐT NGÀY 05112018</t>
        </r>
      </text>
    </comment>
    <comment ref="G93" authorId="3">
      <text>
        <r>
          <rPr>
            <b/>
            <sz val="9"/>
            <color indexed="81"/>
            <rFont val="Tahoma"/>
            <family val="2"/>
          </rPr>
          <t>Dell 04:</t>
        </r>
        <r>
          <rPr>
            <sz val="9"/>
            <color indexed="81"/>
            <rFont val="Tahoma"/>
            <family val="2"/>
          </rPr>
          <t xml:space="preserve">
CHUYỂN NGUỒN NGÂN SÁCH TỈNH NĂM 2017</t>
        </r>
      </text>
    </comment>
    <comment ref="K93" authorId="3">
      <text>
        <r>
          <rPr>
            <b/>
            <sz val="9"/>
            <color indexed="81"/>
            <rFont val="Tahoma"/>
            <family val="2"/>
          </rPr>
          <t>Dell 04:</t>
        </r>
        <r>
          <rPr>
            <sz val="9"/>
            <color indexed="81"/>
            <rFont val="Tahoma"/>
            <family val="2"/>
          </rPr>
          <t xml:space="preserve">
CHI HUYỆN</t>
        </r>
      </text>
    </comment>
  </commentList>
</comments>
</file>

<file path=xl/comments16.xml><?xml version="1.0" encoding="utf-8"?>
<comments xmlns="http://schemas.openxmlformats.org/spreadsheetml/2006/main">
  <authors>
    <author>Administrator</author>
  </authors>
  <commentList>
    <comment ref="E13" authorId="0">
      <text>
        <r>
          <rPr>
            <b/>
            <sz val="9"/>
            <color indexed="81"/>
            <rFont val="Tahoma"/>
            <family val="2"/>
          </rPr>
          <t>Administrator:</t>
        </r>
        <r>
          <rPr>
            <sz val="9"/>
            <color indexed="81"/>
            <rFont val="Tahoma"/>
            <family val="2"/>
          </rPr>
          <t xml:space="preserve">
trong đó trả nợ vay nl điện nong thôn: 3.785 trđ; còn lại trả nợ vay kiên cố hóa kênh mương</t>
        </r>
      </text>
    </comment>
  </commentList>
</comments>
</file>

<file path=xl/comments17.xml><?xml version="1.0" encoding="utf-8"?>
<comments xmlns="http://schemas.openxmlformats.org/spreadsheetml/2006/main">
  <authors>
    <author>Administrator</author>
  </authors>
  <commentList>
    <comment ref="W5" authorId="0">
      <text>
        <r>
          <rPr>
            <b/>
            <sz val="9"/>
            <color indexed="81"/>
            <rFont val="Tahoma"/>
            <family val="2"/>
            <charset val="163"/>
          </rPr>
          <t>Administrator:</t>
        </r>
        <r>
          <rPr>
            <sz val="9"/>
            <color indexed="81"/>
            <rFont val="Tahoma"/>
            <family val="2"/>
            <charset val="163"/>
          </rPr>
          <t xml:space="preserve">
Số tạm ứng theo hợp đồng đã báo cáo sang 2019 650627.2689=647929</t>
        </r>
      </text>
    </comment>
    <comment ref="F97" authorId="0">
      <text>
        <r>
          <rPr>
            <b/>
            <sz val="9"/>
            <color indexed="81"/>
            <rFont val="Tahoma"/>
            <family val="2"/>
            <charset val="163"/>
          </rPr>
          <t>Administrator:</t>
        </r>
        <r>
          <rPr>
            <sz val="9"/>
            <color indexed="81"/>
            <rFont val="Tahoma"/>
            <family val="2"/>
            <charset val="163"/>
          </rPr>
          <t xml:space="preserve">
Kho bạc không cộng số 2 và 3</t>
        </r>
      </text>
    </comment>
    <comment ref="D130" authorId="0">
      <text>
        <r>
          <rPr>
            <b/>
            <sz val="9"/>
            <color indexed="81"/>
            <rFont val="Tahoma"/>
            <family val="2"/>
            <charset val="163"/>
          </rPr>
          <t>Administrator:</t>
        </r>
        <r>
          <rPr>
            <sz val="9"/>
            <color indexed="81"/>
            <rFont val="Tahoma"/>
            <family val="2"/>
            <charset val="163"/>
          </rPr>
          <t xml:space="preserve">
Mã nguồn 43 do TC nhập</t>
        </r>
      </text>
    </comment>
    <comment ref="P638" authorId="0">
      <text>
        <r>
          <rPr>
            <b/>
            <sz val="9"/>
            <color indexed="81"/>
            <rFont val="Tahoma"/>
            <family val="2"/>
            <charset val="163"/>
          </rPr>
          <t>Administrator:</t>
        </r>
        <r>
          <rPr>
            <sz val="9"/>
            <color indexed="81"/>
            <rFont val="Tahoma"/>
            <family val="2"/>
            <charset val="163"/>
          </rPr>
          <t xml:space="preserve">
Chênh lệch với kho bạc do kho bạc cộng 2 lần</t>
        </r>
      </text>
    </comment>
    <comment ref="Y672" authorId="0">
      <text>
        <r>
          <rPr>
            <b/>
            <sz val="9"/>
            <color indexed="81"/>
            <rFont val="Tahoma"/>
            <family val="2"/>
            <charset val="163"/>
          </rPr>
          <t>Administrator:</t>
        </r>
        <r>
          <rPr>
            <sz val="9"/>
            <color indexed="81"/>
            <rFont val="Tahoma"/>
            <family val="2"/>
            <charset val="163"/>
          </rPr>
          <t xml:space="preserve">
96B14E2010E904</t>
        </r>
      </text>
    </comment>
    <comment ref="Y675" authorId="0">
      <text>
        <r>
          <rPr>
            <b/>
            <sz val="9"/>
            <color indexed="81"/>
            <rFont val="Tahoma"/>
            <family val="2"/>
            <charset val="163"/>
          </rPr>
          <t>Administrator:</t>
        </r>
        <r>
          <rPr>
            <sz val="9"/>
            <color indexed="81"/>
            <rFont val="Tahoma"/>
            <family val="2"/>
            <charset val="163"/>
          </rPr>
          <t xml:space="preserve">
96B14E2010E904</t>
        </r>
      </text>
    </comment>
  </commentList>
</comments>
</file>

<file path=xl/comments18.xml><?xml version="1.0" encoding="utf-8"?>
<comments xmlns="http://schemas.openxmlformats.org/spreadsheetml/2006/main">
  <authors>
    <author>Administrator</author>
    <author/>
    <author>THANH CHONG</author>
    <author>Dell 04</author>
  </authors>
  <commentList>
    <comment ref="G20" authorId="0">
      <text>
        <r>
          <rPr>
            <b/>
            <sz val="9"/>
            <color indexed="81"/>
            <rFont val="Tahoma"/>
            <family val="2"/>
          </rPr>
          <t>Administrator:</t>
        </r>
        <r>
          <rPr>
            <sz val="9"/>
            <color indexed="81"/>
            <rFont val="Tahoma"/>
            <family val="2"/>
          </rPr>
          <t xml:space="preserve">
VỐN TPCP 124.421,143373TRĐ</t>
        </r>
      </text>
    </comment>
    <comment ref="H20" authorId="1">
      <text>
        <r>
          <rPr>
            <b/>
            <sz val="9"/>
            <color indexed="8"/>
            <rFont val="Tahoma"/>
            <family val="2"/>
            <charset val="1"/>
          </rPr>
          <t xml:space="preserve">THANH CHONG:
</t>
        </r>
        <r>
          <rPr>
            <sz val="9"/>
            <color indexed="8"/>
            <rFont val="Tahoma"/>
            <family val="2"/>
            <charset val="1"/>
          </rPr>
          <t>ODA</t>
        </r>
      </text>
    </comment>
    <comment ref="F29" authorId="1">
      <text>
        <r>
          <rPr>
            <b/>
            <sz val="9"/>
            <color indexed="8"/>
            <rFont val="Tahoma"/>
            <family val="2"/>
            <charset val="1"/>
          </rPr>
          <t xml:space="preserve">Nhu:
</t>
        </r>
        <r>
          <rPr>
            <sz val="9"/>
            <color indexed="8"/>
            <rFont val="Tahoma"/>
            <family val="2"/>
            <charset val="1"/>
          </rPr>
          <t>-CTMT GD: 4.231,05
-XSKT: 182.168,29</t>
        </r>
      </text>
    </comment>
    <comment ref="F31" authorId="1">
      <text>
        <r>
          <rPr>
            <b/>
            <sz val="9"/>
            <color indexed="8"/>
            <rFont val="Tahoma"/>
            <family val="2"/>
            <charset val="1"/>
          </rPr>
          <t xml:space="preserve">ADMIN:
</t>
        </r>
        <r>
          <rPr>
            <sz val="9"/>
            <color indexed="8"/>
            <rFont val="Tahoma"/>
            <family val="2"/>
            <charset val="1"/>
          </rPr>
          <t>CO GHI THU CHI VON DP</t>
        </r>
      </text>
    </comment>
    <comment ref="H36" authorId="0">
      <text>
        <r>
          <rPr>
            <b/>
            <sz val="9"/>
            <color indexed="81"/>
            <rFont val="Tahoma"/>
            <family val="2"/>
          </rPr>
          <t>Administrator:</t>
        </r>
        <r>
          <rPr>
            <sz val="9"/>
            <color indexed="81"/>
            <rFont val="Tahoma"/>
            <family val="2"/>
          </rPr>
          <t xml:space="preserve">
bổ sung đào tạo quân sự cấp xã 3.850 trđ</t>
        </r>
      </text>
    </comment>
    <comment ref="H37" authorId="0">
      <text>
        <r>
          <rPr>
            <b/>
            <sz val="9"/>
            <color indexed="81"/>
            <rFont val="Tahoma"/>
            <family val="2"/>
          </rPr>
          <t>Administrator: bổ sung công an tinh 9.153 trđ qd 2176</t>
        </r>
      </text>
    </comment>
    <comment ref="K37" authorId="0">
      <text>
        <r>
          <rPr>
            <b/>
            <sz val="9"/>
            <color indexed="81"/>
            <rFont val="Tahoma"/>
            <family val="2"/>
          </rPr>
          <t>Administrator:</t>
        </r>
        <r>
          <rPr>
            <sz val="9"/>
            <color indexed="81"/>
            <rFont val="Tahoma"/>
            <family val="2"/>
          </rPr>
          <t xml:space="preserve">
8.942 hõ trợ kp an toàn giao thông tại huyện</t>
        </r>
      </text>
    </comment>
    <comment ref="F38" authorId="0">
      <text>
        <r>
          <rPr>
            <b/>
            <sz val="9"/>
            <color indexed="81"/>
            <rFont val="Tahoma"/>
            <family val="2"/>
          </rPr>
          <t>Administrator:</t>
        </r>
        <r>
          <rPr>
            <sz val="9"/>
            <color indexed="81"/>
            <rFont val="Tahoma"/>
            <family val="2"/>
          </rPr>
          <t xml:space="preserve">
BỔ SUNG CHO SƠ GD HOÀN ỨNG TB 734, 14950,371</t>
        </r>
      </text>
    </comment>
    <comment ref="H41" authorId="0">
      <text>
        <r>
          <rPr>
            <b/>
            <sz val="9"/>
            <color indexed="81"/>
            <rFont val="Tahoma"/>
            <family val="2"/>
          </rPr>
          <t>Administrator:</t>
        </r>
        <r>
          <rPr>
            <sz val="9"/>
            <color indexed="81"/>
            <rFont val="Tahoma"/>
            <family val="2"/>
          </rPr>
          <t xml:space="preserve">
chi vh:560, 110 hỗ trợ hội tại qđ 2176</t>
        </r>
      </text>
    </comment>
    <comment ref="K47" authorId="0">
      <text>
        <r>
          <rPr>
            <b/>
            <sz val="9"/>
            <color indexed="81"/>
            <rFont val="Tahoma"/>
            <family val="2"/>
          </rPr>
          <t>Administrator:</t>
        </r>
        <r>
          <rPr>
            <sz val="9"/>
            <color indexed="81"/>
            <rFont val="Tahoma"/>
            <family val="2"/>
          </rPr>
          <t xml:space="preserve">
bs mục tiêu chính sách bt xã hội nghị định 136</t>
        </r>
      </text>
    </comment>
    <comment ref="N47" authorId="0">
      <text>
        <r>
          <rPr>
            <b/>
            <sz val="9"/>
            <color indexed="81"/>
            <rFont val="Tahoma"/>
            <family val="2"/>
          </rPr>
          <t>Administrator:</t>
        </r>
        <r>
          <rPr>
            <sz val="9"/>
            <color indexed="81"/>
            <rFont val="Tahoma"/>
            <family val="2"/>
          </rPr>
          <t xml:space="preserve">
bổ sung mục tiêu tiền điện hộ nghèo giải ngân tại xã 1.471 trđ</t>
        </r>
      </text>
    </comment>
    <comment ref="R47" authorId="1">
      <text>
        <r>
          <rPr>
            <b/>
            <sz val="9"/>
            <color indexed="8"/>
            <rFont val="Tahoma"/>
            <family val="2"/>
            <charset val="1"/>
          </rPr>
          <t xml:space="preserve">THANH CHONG:
</t>
        </r>
        <r>
          <rPr>
            <sz val="9"/>
            <color indexed="8"/>
            <rFont val="Tahoma"/>
            <family val="2"/>
            <charset val="1"/>
          </rPr>
          <t>+ chuyển cấp tỉnh 37667,779756 p. HCSN, oda 65018, chuyển nguồn tạm ứng đt xd cb theo hợp đồng 488732</t>
        </r>
      </text>
    </comment>
    <comment ref="H53" authorId="1">
      <text>
        <r>
          <rPr>
            <sz val="8"/>
            <color indexed="8"/>
            <rFont val="Tahoma"/>
            <family val="2"/>
            <charset val="1"/>
          </rPr>
          <t>CT giảm nghèo</t>
        </r>
      </text>
    </comment>
    <comment ref="G66" authorId="1">
      <text>
        <r>
          <rPr>
            <b/>
            <sz val="9"/>
            <color indexed="8"/>
            <rFont val="Tahoma"/>
            <family val="2"/>
            <charset val="1"/>
          </rPr>
          <t xml:space="preserve">THANH CHONG:
</t>
        </r>
        <r>
          <rPr>
            <sz val="9"/>
            <color indexed="8"/>
            <rFont val="Tahoma"/>
            <family val="2"/>
            <charset val="1"/>
          </rPr>
          <t>ghi chi nguon vien tro cho SOS</t>
        </r>
      </text>
    </comment>
    <comment ref="F72" authorId="1">
      <text>
        <r>
          <rPr>
            <b/>
            <sz val="8"/>
            <color indexed="8"/>
            <rFont val="Tahoma"/>
            <family val="2"/>
            <charset val="1"/>
          </rPr>
          <t xml:space="preserve">phamminhxuan:
</t>
        </r>
        <r>
          <rPr>
            <sz val="8"/>
            <color indexed="8"/>
            <rFont val="Tahoma"/>
            <family val="2"/>
            <charset val="1"/>
          </rPr>
          <t>-CTMT QG phong chong toi pham: 940 tr.
- CTMT ma tuy: 1.100 tr</t>
        </r>
      </text>
    </comment>
    <comment ref="F77" authorId="2">
      <text>
        <r>
          <rPr>
            <b/>
            <sz val="9"/>
            <color indexed="81"/>
            <rFont val="Tahoma"/>
            <family val="2"/>
          </rPr>
          <t>THANH CHONG:</t>
        </r>
        <r>
          <rPr>
            <sz val="9"/>
            <color indexed="81"/>
            <rFont val="Tahoma"/>
            <family val="2"/>
          </rPr>
          <t xml:space="preserve">
CHUYỂN NGUỒN CHỐT NGÀY 05112018</t>
        </r>
      </text>
    </comment>
    <comment ref="E87" authorId="0">
      <text>
        <r>
          <rPr>
            <b/>
            <sz val="9"/>
            <color indexed="81"/>
            <rFont val="Tahoma"/>
            <family val="2"/>
          </rPr>
          <t>Administrator:</t>
        </r>
        <r>
          <rPr>
            <sz val="9"/>
            <color indexed="81"/>
            <rFont val="Tahoma"/>
            <family val="2"/>
          </rPr>
          <t xml:space="preserve">
có sử dụng vốn đối ứng của tỉnh, vốn năm trước chuyển sang</t>
        </r>
      </text>
    </comment>
    <comment ref="P87" authorId="0">
      <text>
        <r>
          <rPr>
            <b/>
            <sz val="9"/>
            <color indexed="81"/>
            <rFont val="Tahoma"/>
            <family val="2"/>
          </rPr>
          <t>Administrator:</t>
        </r>
        <r>
          <rPr>
            <sz val="9"/>
            <color indexed="81"/>
            <rFont val="Tahoma"/>
            <family val="2"/>
          </rPr>
          <t xml:space="preserve">
có chi từ vốn đối ứng của tỉnh</t>
        </r>
      </text>
    </comment>
    <comment ref="D93" authorId="0">
      <text>
        <r>
          <rPr>
            <b/>
            <sz val="9"/>
            <color indexed="81"/>
            <rFont val="Tahoma"/>
            <family val="2"/>
          </rPr>
          <t>Administrator:</t>
        </r>
        <r>
          <rPr>
            <sz val="9"/>
            <color indexed="81"/>
            <rFont val="Tahoma"/>
            <family val="2"/>
          </rPr>
          <t xml:space="preserve">
có vốn đầu tư và vốn tx</t>
        </r>
      </text>
    </comment>
    <comment ref="D100" authorId="0">
      <text>
        <r>
          <rPr>
            <b/>
            <sz val="9"/>
            <color indexed="81"/>
            <rFont val="Tahoma"/>
            <family val="2"/>
          </rPr>
          <t>Administrator:</t>
        </r>
        <r>
          <rPr>
            <sz val="9"/>
            <color indexed="81"/>
            <rFont val="Tahoma"/>
            <family val="2"/>
          </rPr>
          <t xml:space="preserve">
còn mục tiêu khác như nhà 22, bhyt</t>
        </r>
      </text>
    </comment>
    <comment ref="N100" authorId="0">
      <text>
        <r>
          <rPr>
            <b/>
            <sz val="9"/>
            <color indexed="81"/>
            <rFont val="Tahoma"/>
            <family val="2"/>
          </rPr>
          <t>Administrator:</t>
        </r>
        <r>
          <rPr>
            <sz val="9"/>
            <color indexed="81"/>
            <rFont val="Tahoma"/>
            <family val="2"/>
          </rPr>
          <t xml:space="preserve">
tỉnh bổ sung mục tiêu tiền điện giải ngân tại xã</t>
        </r>
      </text>
    </comment>
    <comment ref="G101" authorId="1">
      <text>
        <r>
          <rPr>
            <b/>
            <sz val="9"/>
            <color indexed="8"/>
            <rFont val="Tahoma"/>
            <family val="2"/>
            <charset val="1"/>
          </rPr>
          <t xml:space="preserve">THANH CHONG:
</t>
        </r>
        <r>
          <rPr>
            <sz val="9"/>
            <color indexed="8"/>
            <rFont val="Tahoma"/>
            <family val="2"/>
            <charset val="1"/>
          </rPr>
          <t>ghi thu ghi chi nguyon vien tro SOS</t>
        </r>
      </text>
    </comment>
    <comment ref="E113" authorId="3">
      <text>
        <r>
          <rPr>
            <b/>
            <sz val="9"/>
            <color indexed="81"/>
            <rFont val="Tahoma"/>
            <family val="2"/>
          </rPr>
          <t>Dell 04:</t>
        </r>
        <r>
          <rPr>
            <sz val="9"/>
            <color indexed="81"/>
            <rFont val="Tahoma"/>
            <family val="2"/>
          </rPr>
          <t xml:space="preserve">
CHUYỂN NGUỒN NGÂN SÁCH TỈNH NĂM 2017</t>
        </r>
      </text>
    </comment>
    <comment ref="I113" authorId="3">
      <text>
        <r>
          <rPr>
            <b/>
            <sz val="9"/>
            <color indexed="81"/>
            <rFont val="Tahoma"/>
            <family val="2"/>
          </rPr>
          <t>Dell 04:</t>
        </r>
        <r>
          <rPr>
            <sz val="9"/>
            <color indexed="81"/>
            <rFont val="Tahoma"/>
            <family val="2"/>
          </rPr>
          <t xml:space="preserve">
CHI HUYỆN</t>
        </r>
      </text>
    </comment>
  </commentList>
</comments>
</file>

<file path=xl/comments19.xml><?xml version="1.0" encoding="utf-8"?>
<comments xmlns="http://schemas.openxmlformats.org/spreadsheetml/2006/main">
  <authors>
    <author>Administrator</author>
  </authors>
  <commentList>
    <comment ref="B13" authorId="0">
      <text>
        <r>
          <rPr>
            <b/>
            <sz val="9"/>
            <color indexed="81"/>
            <rFont val="Tahoma"/>
            <family val="2"/>
          </rPr>
          <t>Administrator:</t>
        </r>
        <r>
          <rPr>
            <sz val="9"/>
            <color indexed="81"/>
            <rFont val="Tahoma"/>
            <family val="2"/>
          </rPr>
          <t xml:space="preserve">
chi từ nguồn dự phòng</t>
        </r>
      </text>
    </comment>
  </commentList>
</comments>
</file>

<file path=xl/comments2.xml><?xml version="1.0" encoding="utf-8"?>
<comments xmlns="http://schemas.openxmlformats.org/spreadsheetml/2006/main">
  <authors>
    <author/>
    <author>THANH CHONG</author>
    <author>Dell 04</author>
  </authors>
  <commentList>
    <comment ref="J16" authorId="0">
      <text>
        <r>
          <rPr>
            <b/>
            <sz val="9"/>
            <color indexed="8"/>
            <rFont val="Tahoma"/>
            <family val="2"/>
            <charset val="1"/>
          </rPr>
          <t xml:space="preserve">THANH CHONG:
</t>
        </r>
        <r>
          <rPr>
            <sz val="9"/>
            <color indexed="8"/>
            <rFont val="Tahoma"/>
            <family val="2"/>
            <charset val="1"/>
          </rPr>
          <t>hcsn chuyển nguồn thường xuyên thêm 6007,950</t>
        </r>
      </text>
    </comment>
    <comment ref="D18" authorId="1">
      <text>
        <r>
          <rPr>
            <b/>
            <sz val="9"/>
            <color indexed="81"/>
            <rFont val="Tahoma"/>
            <family val="2"/>
          </rPr>
          <t>THANH CHONG:</t>
        </r>
        <r>
          <rPr>
            <sz val="9"/>
            <color indexed="81"/>
            <rFont val="Tahoma"/>
            <family val="2"/>
          </rPr>
          <t xml:space="preserve">
đã bao gồm số dự kiến bù hụt thu 273.600</t>
        </r>
      </text>
    </comment>
    <comment ref="D23" authorId="1">
      <text>
        <r>
          <rPr>
            <b/>
            <sz val="9"/>
            <color indexed="81"/>
            <rFont val="Tahoma"/>
            <family val="2"/>
          </rPr>
          <t>THANH CHONG:</t>
        </r>
        <r>
          <rPr>
            <sz val="9"/>
            <color indexed="81"/>
            <rFont val="Tahoma"/>
            <family val="2"/>
          </rPr>
          <t xml:space="preserve">
 kết dư xskt và sdd (162501)</t>
        </r>
      </text>
    </comment>
    <comment ref="B32" authorId="1">
      <text>
        <r>
          <rPr>
            <b/>
            <sz val="9"/>
            <color indexed="81"/>
            <rFont val="Tahoma"/>
            <family val="2"/>
          </rPr>
          <t>THANH CHONG:</t>
        </r>
        <r>
          <rPr>
            <sz val="9"/>
            <color indexed="81"/>
            <rFont val="Tahoma"/>
            <family val="2"/>
          </rPr>
          <t xml:space="preserve">
SỐ DƯ TỪ TRÁI PHIẾU CP</t>
        </r>
      </text>
    </comment>
    <comment ref="H32" authorId="2">
      <text>
        <r>
          <rPr>
            <b/>
            <sz val="9"/>
            <color indexed="81"/>
            <rFont val="Tahoma"/>
            <family val="2"/>
          </rPr>
          <t>Dell 04:</t>
        </r>
        <r>
          <rPr>
            <sz val="9"/>
            <color indexed="81"/>
            <rFont val="Tahoma"/>
            <family val="2"/>
          </rPr>
          <t xml:space="preserve">
CHI TỈNH HUYEN XÃ</t>
        </r>
      </text>
    </comment>
    <comment ref="C37" authorId="2">
      <text>
        <r>
          <rPr>
            <b/>
            <sz val="9"/>
            <color indexed="81"/>
            <rFont val="Tahoma"/>
            <family val="2"/>
          </rPr>
          <t>Dell 04:</t>
        </r>
        <r>
          <rPr>
            <sz val="9"/>
            <color indexed="81"/>
            <rFont val="Tahoma"/>
            <family val="2"/>
          </rPr>
          <t xml:space="preserve">
THU TINH HUYEN XA</t>
        </r>
      </text>
    </comment>
  </commentList>
</comments>
</file>

<file path=xl/comments20.xml><?xml version="1.0" encoding="utf-8"?>
<comments xmlns="http://schemas.openxmlformats.org/spreadsheetml/2006/main">
  <authors>
    <author/>
  </authors>
  <commentList>
    <comment ref="G11" authorId="0">
      <text>
        <r>
          <rPr>
            <b/>
            <sz val="9"/>
            <color indexed="8"/>
            <rFont val="Tahoma"/>
            <family val="2"/>
            <charset val="1"/>
          </rPr>
          <t xml:space="preserve">THANH CHONG:
</t>
        </r>
        <r>
          <rPr>
            <sz val="9"/>
            <color indexed="8"/>
            <rFont val="Tahoma"/>
            <family val="2"/>
            <charset val="1"/>
          </rPr>
          <t>các chính sách phu cấp cho các xã khó khăn theo 116</t>
        </r>
      </text>
    </comment>
  </commentList>
</comments>
</file>

<file path=xl/comments21.xml><?xml version="1.0" encoding="utf-8"?>
<comments xmlns="http://schemas.openxmlformats.org/spreadsheetml/2006/main">
  <authors>
    <author>Windows User</author>
    <author>Administrator</author>
  </authors>
  <commentList>
    <comment ref="C12" authorId="0">
      <text>
        <r>
          <rPr>
            <b/>
            <sz val="9"/>
            <color indexed="81"/>
            <rFont val="Tahoma"/>
            <family val="2"/>
          </rPr>
          <t>Windows User:</t>
        </r>
        <r>
          <rPr>
            <sz val="9"/>
            <color indexed="81"/>
            <rFont val="Tahoma"/>
            <family val="2"/>
          </rPr>
          <t xml:space="preserve">
Nguồn: CV 740/STC; Tờ trình 81/STC</t>
        </r>
      </text>
    </comment>
    <comment ref="D12" authorId="1">
      <text>
        <r>
          <rPr>
            <b/>
            <sz val="9"/>
            <color indexed="81"/>
            <rFont val="Tahoma"/>
            <family val="2"/>
          </rPr>
          <t>Administrator:</t>
        </r>
        <r>
          <rPr>
            <sz val="9"/>
            <color indexed="81"/>
            <rFont val="Tahoma"/>
            <family val="2"/>
          </rPr>
          <t xml:space="preserve">
mua sắm và cam kết chi</t>
        </r>
      </text>
    </comment>
    <comment ref="D14" authorId="1">
      <text>
        <r>
          <rPr>
            <b/>
            <sz val="9"/>
            <color indexed="81"/>
            <rFont val="Tahoma"/>
            <family val="2"/>
          </rPr>
          <t>Administrator:</t>
        </r>
        <r>
          <rPr>
            <sz val="9"/>
            <color indexed="81"/>
            <rFont val="Tahoma"/>
            <family val="2"/>
          </rPr>
          <t xml:space="preserve">
nguồn tự chủ+kp thường xuyên khác 54.204 trd</t>
        </r>
      </text>
    </comment>
  </commentList>
</comments>
</file>

<file path=xl/comments3.xml><?xml version="1.0" encoding="utf-8"?>
<comments xmlns="http://schemas.openxmlformats.org/spreadsheetml/2006/main">
  <authors>
    <author>Administrator</author>
    <author>THANH CHONG</author>
    <author>Dell 04</author>
  </authors>
  <commentList>
    <comment ref="C5" authorId="0">
      <text>
        <r>
          <rPr>
            <b/>
            <sz val="9"/>
            <color indexed="81"/>
            <rFont val="Tahoma"/>
            <family val="2"/>
          </rPr>
          <t>Administrator:</t>
        </r>
        <r>
          <rPr>
            <sz val="9"/>
            <color indexed="81"/>
            <rFont val="Tahoma"/>
            <family val="2"/>
          </rPr>
          <t xml:space="preserve">
dự toán hdnd tỉnh giao</t>
        </r>
      </text>
    </comment>
    <comment ref="D16" authorId="1">
      <text>
        <r>
          <rPr>
            <b/>
            <sz val="9"/>
            <color indexed="81"/>
            <rFont val="Tahoma"/>
            <family val="2"/>
          </rPr>
          <t>THANH CHONG:</t>
        </r>
        <r>
          <rPr>
            <sz val="9"/>
            <color indexed="81"/>
            <rFont val="Tahoma"/>
            <family val="2"/>
          </rPr>
          <t xml:space="preserve">
đã bao gồm bht</t>
        </r>
      </text>
    </comment>
    <comment ref="F37" authorId="2">
      <text>
        <r>
          <rPr>
            <b/>
            <sz val="9"/>
            <color indexed="81"/>
            <rFont val="Tahoma"/>
            <family val="2"/>
          </rPr>
          <t>Dell 04:</t>
        </r>
        <r>
          <rPr>
            <sz val="9"/>
            <color indexed="81"/>
            <rFont val="Tahoma"/>
            <family val="2"/>
          </rPr>
          <t xml:space="preserve">
kết dư huyện xã</t>
        </r>
      </text>
    </comment>
  </commentList>
</comments>
</file>

<file path=xl/comments4.xml><?xml version="1.0" encoding="utf-8"?>
<comments xmlns="http://schemas.openxmlformats.org/spreadsheetml/2006/main">
  <authors>
    <author>Dell 04</author>
    <author/>
    <author>THANH CHONG</author>
  </authors>
  <commentList>
    <comment ref="L2" authorId="0">
      <text>
        <r>
          <rPr>
            <b/>
            <sz val="9"/>
            <color indexed="81"/>
            <rFont val="Tahoma"/>
            <family val="2"/>
          </rPr>
          <t>Dell 04:</t>
        </r>
        <r>
          <rPr>
            <sz val="9"/>
            <color indexed="81"/>
            <rFont val="Tahoma"/>
            <family val="2"/>
          </rPr>
          <t xml:space="preserve">
DỰ KIẾN TRUNG ƯƠNG BÙ HỤT THU CHO TỈNH</t>
        </r>
      </text>
    </comment>
    <comment ref="L6" authorId="0">
      <text>
        <r>
          <rPr>
            <b/>
            <sz val="9"/>
            <color indexed="81"/>
            <rFont val="Tahoma"/>
            <family val="2"/>
          </rPr>
          <t>Dell 04:</t>
        </r>
        <r>
          <rPr>
            <sz val="9"/>
            <color indexed="81"/>
            <rFont val="Tahoma"/>
            <family val="2"/>
          </rPr>
          <t xml:space="preserve">
THU HUYỆN</t>
        </r>
      </text>
    </comment>
    <comment ref="L7" authorId="0">
      <text>
        <r>
          <rPr>
            <b/>
            <sz val="9"/>
            <color indexed="81"/>
            <rFont val="Tahoma"/>
            <family val="2"/>
          </rPr>
          <t>Dell 04:</t>
        </r>
        <r>
          <rPr>
            <sz val="9"/>
            <color indexed="81"/>
            <rFont val="Tahoma"/>
            <family val="2"/>
          </rPr>
          <t xml:space="preserve">
THU XÃ
</t>
        </r>
      </text>
    </comment>
    <comment ref="A46" authorId="1">
      <text>
        <r>
          <rPr>
            <b/>
            <sz val="9"/>
            <color indexed="8"/>
            <rFont val="Tahoma"/>
            <family val="2"/>
            <charset val="1"/>
          </rPr>
          <t xml:space="preserve">ADMIN:
</t>
        </r>
        <r>
          <rPr>
            <sz val="9"/>
            <color indexed="8"/>
            <rFont val="Tahoma"/>
            <family val="2"/>
            <charset val="1"/>
          </rPr>
          <t>TRONG CÁC KHOẢN THU VỀ NHÀ ĐẤT</t>
        </r>
      </text>
    </comment>
    <comment ref="A52" authorId="1">
      <text>
        <r>
          <rPr>
            <b/>
            <sz val="9"/>
            <color indexed="8"/>
            <rFont val="Tahoma"/>
            <family val="2"/>
            <charset val="1"/>
          </rPr>
          <t xml:space="preserve">ADMIN:
</t>
        </r>
        <r>
          <rPr>
            <sz val="9"/>
            <color indexed="8"/>
            <rFont val="Tahoma"/>
            <family val="2"/>
            <charset val="1"/>
          </rPr>
          <t>TRONG CÁC KHOẢN THU VỀ NHÀ ĐẤT</t>
        </r>
      </text>
    </comment>
    <comment ref="A53" authorId="1">
      <text>
        <r>
          <rPr>
            <b/>
            <sz val="9"/>
            <color indexed="8"/>
            <rFont val="Tahoma"/>
            <family val="2"/>
            <charset val="1"/>
          </rPr>
          <t xml:space="preserve">ADMIN:
</t>
        </r>
        <r>
          <rPr>
            <sz val="9"/>
            <color indexed="8"/>
            <rFont val="Tahoma"/>
            <family val="2"/>
            <charset val="1"/>
          </rPr>
          <t>TRONG CÁC KHOAN THU VE NHA DAT</t>
        </r>
      </text>
    </comment>
    <comment ref="A54" authorId="1">
      <text>
        <r>
          <rPr>
            <b/>
            <sz val="9"/>
            <color indexed="8"/>
            <rFont val="Tahoma"/>
            <family val="2"/>
            <charset val="1"/>
          </rPr>
          <t xml:space="preserve">ADMIN:
</t>
        </r>
        <r>
          <rPr>
            <sz val="9"/>
            <color indexed="8"/>
            <rFont val="Tahoma"/>
            <family val="2"/>
            <charset val="1"/>
          </rPr>
          <t>TRONG CÁC KHOAN THU VE NHA DAT</t>
        </r>
      </text>
    </comment>
    <comment ref="A55" authorId="1">
      <text>
        <r>
          <rPr>
            <b/>
            <sz val="9"/>
            <color indexed="8"/>
            <rFont val="Tahoma"/>
            <family val="2"/>
            <charset val="1"/>
          </rPr>
          <t xml:space="preserve">ADMIN:
</t>
        </r>
        <r>
          <rPr>
            <sz val="9"/>
            <color indexed="8"/>
            <rFont val="Tahoma"/>
            <family val="2"/>
            <charset val="1"/>
          </rPr>
          <t>TRONG CÁC KHOAN THU VE NHA DAT</t>
        </r>
      </text>
    </comment>
    <comment ref="A56" authorId="1">
      <text>
        <r>
          <rPr>
            <b/>
            <sz val="9"/>
            <color indexed="8"/>
            <rFont val="Tahoma"/>
            <family val="2"/>
            <charset val="1"/>
          </rPr>
          <t xml:space="preserve">ADMIN:
</t>
        </r>
        <r>
          <rPr>
            <sz val="9"/>
            <color indexed="8"/>
            <rFont val="Tahoma"/>
            <family val="2"/>
            <charset val="1"/>
          </rPr>
          <t>TRONG CÁC KHOAN THU VE NHA DAT</t>
        </r>
      </text>
    </comment>
    <comment ref="A57" authorId="1">
      <text>
        <r>
          <rPr>
            <b/>
            <sz val="9"/>
            <color indexed="8"/>
            <rFont val="Tahoma"/>
            <family val="2"/>
            <charset val="1"/>
          </rPr>
          <t xml:space="preserve">ADMIN:
</t>
        </r>
        <r>
          <rPr>
            <sz val="9"/>
            <color indexed="8"/>
            <rFont val="Tahoma"/>
            <family val="2"/>
            <charset val="1"/>
          </rPr>
          <t>TRONG CÁC KHOAN THU VE NHA DAT</t>
        </r>
      </text>
    </comment>
    <comment ref="A58" authorId="1">
      <text>
        <r>
          <rPr>
            <b/>
            <sz val="9"/>
            <color indexed="8"/>
            <rFont val="Tahoma"/>
            <family val="2"/>
            <charset val="1"/>
          </rPr>
          <t xml:space="preserve">ADMIN:
</t>
        </r>
        <r>
          <rPr>
            <sz val="9"/>
            <color indexed="8"/>
            <rFont val="Tahoma"/>
            <family val="2"/>
            <charset val="1"/>
          </rPr>
          <t xml:space="preserve">XEM LẠI CÓ CẦN CHI TiẾT PHÍA DƯỚI KHÔNG
</t>
        </r>
      </text>
    </comment>
    <comment ref="F58" authorId="2">
      <text>
        <r>
          <rPr>
            <b/>
            <sz val="9"/>
            <color indexed="81"/>
            <rFont val="Tahoma"/>
            <family val="2"/>
          </rPr>
          <t>THANH CHONG:</t>
        </r>
        <r>
          <rPr>
            <sz val="9"/>
            <color indexed="81"/>
            <rFont val="Tahoma"/>
            <family val="2"/>
          </rPr>
          <t xml:space="preserve">
có giảm 24230874657đ</t>
        </r>
      </text>
    </comment>
    <comment ref="A59" authorId="1">
      <text>
        <r>
          <rPr>
            <b/>
            <sz val="9"/>
            <color indexed="8"/>
            <rFont val="Tahoma"/>
            <family val="2"/>
            <charset val="1"/>
          </rPr>
          <t xml:space="preserve">ADMIN:
</t>
        </r>
        <r>
          <rPr>
            <sz val="9"/>
            <color indexed="8"/>
            <rFont val="Tahoma"/>
            <family val="2"/>
            <charset val="1"/>
          </rPr>
          <t xml:space="preserve">XEM LẠI CÓ CẦN CHI TiẾT PHÍA DƯỚI KHÔNG
</t>
        </r>
      </text>
    </comment>
    <comment ref="A60" authorId="1">
      <text>
        <r>
          <rPr>
            <b/>
            <sz val="9"/>
            <color indexed="8"/>
            <rFont val="Tahoma"/>
            <family val="2"/>
            <charset val="1"/>
          </rPr>
          <t xml:space="preserve">ADMIN:
</t>
        </r>
        <r>
          <rPr>
            <sz val="9"/>
            <color indexed="8"/>
            <rFont val="Tahoma"/>
            <family val="2"/>
            <charset val="1"/>
          </rPr>
          <t>TRONG THU TẠI XÃ</t>
        </r>
      </text>
    </comment>
    <comment ref="A61" authorId="1">
      <text>
        <r>
          <rPr>
            <b/>
            <sz val="9"/>
            <color indexed="8"/>
            <rFont val="Tahoma"/>
            <family val="2"/>
            <charset val="1"/>
          </rPr>
          <t xml:space="preserve">ADMIN:
</t>
        </r>
        <r>
          <rPr>
            <sz val="9"/>
            <color indexed="8"/>
            <rFont val="Tahoma"/>
            <family val="2"/>
            <charset val="1"/>
          </rPr>
          <t>TRONG THU TẠI XÃ</t>
        </r>
      </text>
    </comment>
    <comment ref="H71" authorId="1">
      <text>
        <r>
          <rPr>
            <b/>
            <sz val="9"/>
            <color indexed="8"/>
            <rFont val="Tahoma"/>
            <family val="2"/>
            <charset val="1"/>
          </rPr>
          <t xml:space="preserve">luu y chyen len thu tai xa
</t>
        </r>
      </text>
    </comment>
    <comment ref="A85" authorId="1">
      <text>
        <r>
          <rPr>
            <b/>
            <sz val="9"/>
            <color indexed="8"/>
            <rFont val="Tahoma"/>
            <family val="2"/>
            <charset val="1"/>
          </rPr>
          <t xml:space="preserve">ADMIN:
</t>
        </r>
        <r>
          <rPr>
            <sz val="9"/>
            <color indexed="8"/>
            <rFont val="Tahoma"/>
            <family val="2"/>
            <charset val="1"/>
          </rPr>
          <t>trong thu ql qua ns cũ</t>
        </r>
      </text>
    </comment>
    <comment ref="F102" authorId="2">
      <text>
        <r>
          <rPr>
            <b/>
            <sz val="9"/>
            <color indexed="81"/>
            <rFont val="Tahoma"/>
            <family val="2"/>
          </rPr>
          <t>THANH CHONG:</t>
        </r>
        <r>
          <rPr>
            <sz val="9"/>
            <color indexed="81"/>
            <rFont val="Tahoma"/>
            <family val="2"/>
          </rPr>
          <t xml:space="preserve">
có chi chuyển nguồn 15074 của quỹ bảo trì đường bộ cv 9294 của btc</t>
        </r>
      </text>
    </comment>
    <comment ref="F124" authorId="1">
      <text>
        <r>
          <rPr>
            <b/>
            <sz val="9"/>
            <color indexed="8"/>
            <rFont val="Tahoma"/>
            <family val="2"/>
            <charset val="1"/>
          </rPr>
          <t xml:space="preserve">THANH CHONG:
</t>
        </r>
        <r>
          <rPr>
            <sz val="9"/>
            <color indexed="8"/>
            <rFont val="Tahoma"/>
            <family val="2"/>
            <charset val="1"/>
          </rPr>
          <t>thu vao can doi so bu hut thu 150000 va tam ung cctl 26176 (đã loại trừ)</t>
        </r>
      </text>
    </comment>
    <comment ref="F129" authorId="1">
      <text>
        <r>
          <rPr>
            <b/>
            <sz val="9"/>
            <color indexed="8"/>
            <rFont val="Tahoma"/>
            <family val="2"/>
            <charset val="1"/>
          </rPr>
          <t xml:space="preserve">THANH CHONG:
</t>
        </r>
        <r>
          <rPr>
            <sz val="9"/>
            <color indexed="8"/>
            <rFont val="Tahoma"/>
            <family val="2"/>
            <charset val="1"/>
          </rPr>
          <t>chị hà chỉ đạo không đưa vào số tạm thu 193903</t>
        </r>
      </text>
    </comment>
    <comment ref="F146" authorId="1">
      <text>
        <r>
          <rPr>
            <b/>
            <sz val="9"/>
            <color indexed="8"/>
            <rFont val="Tahoma"/>
            <family val="2"/>
            <charset val="1"/>
          </rPr>
          <t xml:space="preserve">THANH CHONG:
</t>
        </r>
        <r>
          <rPr>
            <sz val="9"/>
            <color indexed="8"/>
            <rFont val="Tahoma"/>
            <family val="2"/>
            <charset val="1"/>
          </rPr>
          <t>chị hà giảm rút vượt mục tiêu và giảm 193,903</t>
        </r>
      </text>
    </comment>
  </commentList>
</comments>
</file>

<file path=xl/comments5.xml><?xml version="1.0" encoding="utf-8"?>
<comments xmlns="http://schemas.openxmlformats.org/spreadsheetml/2006/main">
  <authors>
    <author>Administrator</author>
    <author/>
    <author>THANH CHONG</author>
    <author>Dell 04</author>
  </authors>
  <commentList>
    <comment ref="G20" authorId="0">
      <text>
        <r>
          <rPr>
            <b/>
            <sz val="9"/>
            <color indexed="81"/>
            <rFont val="Tahoma"/>
            <family val="2"/>
          </rPr>
          <t>Administrator:</t>
        </r>
        <r>
          <rPr>
            <sz val="9"/>
            <color indexed="81"/>
            <rFont val="Tahoma"/>
            <family val="2"/>
          </rPr>
          <t xml:space="preserve">
VỐN TPCP 124.421,143373TRĐ</t>
        </r>
      </text>
    </comment>
    <comment ref="H20" authorId="1">
      <text>
        <r>
          <rPr>
            <b/>
            <sz val="9"/>
            <color indexed="8"/>
            <rFont val="Tahoma"/>
            <family val="2"/>
            <charset val="1"/>
          </rPr>
          <t xml:space="preserve">THANH CHONG:
</t>
        </r>
        <r>
          <rPr>
            <sz val="9"/>
            <color indexed="8"/>
            <rFont val="Tahoma"/>
            <family val="2"/>
            <charset val="1"/>
          </rPr>
          <t>ODA</t>
        </r>
      </text>
    </comment>
    <comment ref="F26" authorId="1">
      <text>
        <r>
          <rPr>
            <b/>
            <sz val="9"/>
            <color indexed="8"/>
            <rFont val="Tahoma"/>
            <family val="2"/>
            <charset val="1"/>
          </rPr>
          <t xml:space="preserve">THANH CHONG:
</t>
        </r>
        <r>
          <rPr>
            <sz val="9"/>
            <color indexed="8"/>
            <rFont val="Tahoma"/>
            <family val="2"/>
            <charset val="1"/>
          </rPr>
          <t>lãi vay 1132,343 tr d
trả vay nl điện: 3630,126 tr d
tra vay nh và kb 222.500 tr d</t>
        </r>
      </text>
    </comment>
    <comment ref="F29" authorId="1">
      <text>
        <r>
          <rPr>
            <b/>
            <sz val="9"/>
            <color indexed="8"/>
            <rFont val="Tahoma"/>
            <family val="2"/>
            <charset val="1"/>
          </rPr>
          <t xml:space="preserve">Nhu:
</t>
        </r>
        <r>
          <rPr>
            <sz val="9"/>
            <color indexed="8"/>
            <rFont val="Tahoma"/>
            <family val="2"/>
            <charset val="1"/>
          </rPr>
          <t>-CTMT GD: 4.231,05
-XSKT: 182.168,29</t>
        </r>
      </text>
    </comment>
    <comment ref="F31" authorId="1">
      <text>
        <r>
          <rPr>
            <b/>
            <sz val="9"/>
            <color indexed="8"/>
            <rFont val="Tahoma"/>
            <family val="2"/>
            <charset val="1"/>
          </rPr>
          <t xml:space="preserve">ADMIN:
</t>
        </r>
        <r>
          <rPr>
            <sz val="9"/>
            <color indexed="8"/>
            <rFont val="Tahoma"/>
            <family val="2"/>
            <charset val="1"/>
          </rPr>
          <t>CO GHI THU CHI VON DP</t>
        </r>
      </text>
    </comment>
    <comment ref="H36" authorId="0">
      <text>
        <r>
          <rPr>
            <b/>
            <sz val="9"/>
            <color indexed="81"/>
            <rFont val="Tahoma"/>
            <family val="2"/>
          </rPr>
          <t>Administrator:</t>
        </r>
        <r>
          <rPr>
            <sz val="9"/>
            <color indexed="81"/>
            <rFont val="Tahoma"/>
            <family val="2"/>
          </rPr>
          <t xml:space="preserve">
bổ sung đào tạo quân sự cấp xã 3.850 trđ</t>
        </r>
      </text>
    </comment>
    <comment ref="H37" authorId="0">
      <text>
        <r>
          <rPr>
            <b/>
            <sz val="9"/>
            <color indexed="81"/>
            <rFont val="Tahoma"/>
            <family val="2"/>
          </rPr>
          <t>Administrator: bổ sung công an tinh 9.153 trđ qd 2176</t>
        </r>
      </text>
    </comment>
    <comment ref="K37" authorId="0">
      <text>
        <r>
          <rPr>
            <b/>
            <sz val="9"/>
            <color indexed="81"/>
            <rFont val="Tahoma"/>
            <family val="2"/>
          </rPr>
          <t>Administrator:</t>
        </r>
        <r>
          <rPr>
            <sz val="9"/>
            <color indexed="81"/>
            <rFont val="Tahoma"/>
            <family val="2"/>
          </rPr>
          <t xml:space="preserve">
8.942 hõ trợ kp an toàn giao thông tại huyện</t>
        </r>
      </text>
    </comment>
    <comment ref="H41" authorId="0">
      <text>
        <r>
          <rPr>
            <b/>
            <sz val="9"/>
            <color indexed="81"/>
            <rFont val="Tahoma"/>
            <family val="2"/>
          </rPr>
          <t>Administrator:</t>
        </r>
        <r>
          <rPr>
            <sz val="9"/>
            <color indexed="81"/>
            <rFont val="Tahoma"/>
            <family val="2"/>
          </rPr>
          <t xml:space="preserve">
chi vh:560, 110 hỗ trợ hội tại qđ 2176</t>
        </r>
      </text>
    </comment>
    <comment ref="K47" authorId="0">
      <text>
        <r>
          <rPr>
            <b/>
            <sz val="9"/>
            <color indexed="81"/>
            <rFont val="Tahoma"/>
            <family val="2"/>
          </rPr>
          <t>Administrator:</t>
        </r>
        <r>
          <rPr>
            <sz val="9"/>
            <color indexed="81"/>
            <rFont val="Tahoma"/>
            <family val="2"/>
          </rPr>
          <t xml:space="preserve">
bs mục tiêu chính sách bt xã hội nghị định 136</t>
        </r>
      </text>
    </comment>
    <comment ref="N47" authorId="0">
      <text>
        <r>
          <rPr>
            <b/>
            <sz val="9"/>
            <color indexed="81"/>
            <rFont val="Tahoma"/>
            <family val="2"/>
          </rPr>
          <t>Administrator:</t>
        </r>
        <r>
          <rPr>
            <sz val="9"/>
            <color indexed="81"/>
            <rFont val="Tahoma"/>
            <family val="2"/>
          </rPr>
          <t xml:space="preserve">
bổ sung mục tiêu tiền điện hộ nghèo giải ngân tại xã 1.471 trđ</t>
        </r>
      </text>
    </comment>
    <comment ref="R47" authorId="1">
      <text>
        <r>
          <rPr>
            <b/>
            <sz val="9"/>
            <color indexed="8"/>
            <rFont val="Tahoma"/>
            <family val="2"/>
            <charset val="1"/>
          </rPr>
          <t xml:space="preserve">THANH CHONG:
</t>
        </r>
        <r>
          <rPr>
            <sz val="9"/>
            <color indexed="8"/>
            <rFont val="Tahoma"/>
            <family val="2"/>
            <charset val="1"/>
          </rPr>
          <t>+ chuyển cấp tỉnh 37667,779756 p. HCSN, oda 65018, chuyển nguồn tạm ứng đt xd cb theo hợp đồng 488732</t>
        </r>
      </text>
    </comment>
    <comment ref="H53" authorId="1">
      <text>
        <r>
          <rPr>
            <sz val="8"/>
            <color indexed="8"/>
            <rFont val="Tahoma"/>
            <family val="2"/>
            <charset val="1"/>
          </rPr>
          <t>CT giảm nghèo</t>
        </r>
      </text>
    </comment>
    <comment ref="G66" authorId="1">
      <text>
        <r>
          <rPr>
            <b/>
            <sz val="9"/>
            <color indexed="8"/>
            <rFont val="Tahoma"/>
            <family val="2"/>
            <charset val="1"/>
          </rPr>
          <t xml:space="preserve">THANH CHONG:
</t>
        </r>
        <r>
          <rPr>
            <sz val="9"/>
            <color indexed="8"/>
            <rFont val="Tahoma"/>
            <family val="2"/>
            <charset val="1"/>
          </rPr>
          <t>ghi chi nguon vien tro cho SOS</t>
        </r>
      </text>
    </comment>
    <comment ref="F72" authorId="1">
      <text>
        <r>
          <rPr>
            <b/>
            <sz val="8"/>
            <color indexed="8"/>
            <rFont val="Tahoma"/>
            <family val="2"/>
            <charset val="1"/>
          </rPr>
          <t xml:space="preserve">phamminhxuan:
</t>
        </r>
        <r>
          <rPr>
            <sz val="8"/>
            <color indexed="8"/>
            <rFont val="Tahoma"/>
            <family val="2"/>
            <charset val="1"/>
          </rPr>
          <t>-CTMT QG phong chong toi pham: 940 tr.
- CTMT ma tuy: 1.100 tr</t>
        </r>
      </text>
    </comment>
    <comment ref="F77" authorId="2">
      <text>
        <r>
          <rPr>
            <b/>
            <sz val="9"/>
            <color indexed="81"/>
            <rFont val="Tahoma"/>
            <family val="2"/>
          </rPr>
          <t>THANH CHONG:</t>
        </r>
        <r>
          <rPr>
            <sz val="9"/>
            <color indexed="81"/>
            <rFont val="Tahoma"/>
            <family val="2"/>
          </rPr>
          <t xml:space="preserve">
CHUYỂN NGUỒN CHỐT NGÀY 05112018</t>
        </r>
      </text>
    </comment>
    <comment ref="E87" authorId="0">
      <text>
        <r>
          <rPr>
            <b/>
            <sz val="9"/>
            <color indexed="81"/>
            <rFont val="Tahoma"/>
            <family val="2"/>
          </rPr>
          <t>Administrator:</t>
        </r>
        <r>
          <rPr>
            <sz val="9"/>
            <color indexed="81"/>
            <rFont val="Tahoma"/>
            <family val="2"/>
          </rPr>
          <t xml:space="preserve">
có sử dụng vốn đối ứng của tỉnh, vốn năm trước chuyển sang</t>
        </r>
      </text>
    </comment>
    <comment ref="P87" authorId="0">
      <text>
        <r>
          <rPr>
            <b/>
            <sz val="9"/>
            <color indexed="81"/>
            <rFont val="Tahoma"/>
            <family val="2"/>
          </rPr>
          <t>Administrator:</t>
        </r>
        <r>
          <rPr>
            <sz val="9"/>
            <color indexed="81"/>
            <rFont val="Tahoma"/>
            <family val="2"/>
          </rPr>
          <t xml:space="preserve">
có chi từ vốn đối ứng của tỉnh</t>
        </r>
      </text>
    </comment>
    <comment ref="D93" authorId="0">
      <text>
        <r>
          <rPr>
            <b/>
            <sz val="9"/>
            <color indexed="81"/>
            <rFont val="Tahoma"/>
            <family val="2"/>
          </rPr>
          <t>Administrator:</t>
        </r>
        <r>
          <rPr>
            <sz val="9"/>
            <color indexed="81"/>
            <rFont val="Tahoma"/>
            <family val="2"/>
          </rPr>
          <t xml:space="preserve">
có vốn đầu tư và vốn tx</t>
        </r>
      </text>
    </comment>
    <comment ref="D100" authorId="0">
      <text>
        <r>
          <rPr>
            <b/>
            <sz val="9"/>
            <color indexed="81"/>
            <rFont val="Tahoma"/>
            <family val="2"/>
          </rPr>
          <t>Administrator:</t>
        </r>
        <r>
          <rPr>
            <sz val="9"/>
            <color indexed="81"/>
            <rFont val="Tahoma"/>
            <family val="2"/>
          </rPr>
          <t xml:space="preserve">
còn mục tiêu khác như nhà 22, bhyt</t>
        </r>
      </text>
    </comment>
    <comment ref="N100" authorId="0">
      <text>
        <r>
          <rPr>
            <b/>
            <sz val="9"/>
            <color indexed="81"/>
            <rFont val="Tahoma"/>
            <family val="2"/>
          </rPr>
          <t>Administrator:</t>
        </r>
        <r>
          <rPr>
            <sz val="9"/>
            <color indexed="81"/>
            <rFont val="Tahoma"/>
            <family val="2"/>
          </rPr>
          <t xml:space="preserve">
tỉnh bổ sung mục tiêu tiền điện giải ngân tại xã</t>
        </r>
      </text>
    </comment>
    <comment ref="G101" authorId="1">
      <text>
        <r>
          <rPr>
            <b/>
            <sz val="9"/>
            <color indexed="8"/>
            <rFont val="Tahoma"/>
            <family val="2"/>
            <charset val="1"/>
          </rPr>
          <t xml:space="preserve">THANH CHONG:
</t>
        </r>
        <r>
          <rPr>
            <sz val="9"/>
            <color indexed="8"/>
            <rFont val="Tahoma"/>
            <family val="2"/>
            <charset val="1"/>
          </rPr>
          <t>ghi thu ghi chi nguyon vien tro SOS</t>
        </r>
      </text>
    </comment>
    <comment ref="F107" authorId="0">
      <text>
        <r>
          <rPr>
            <b/>
            <sz val="9"/>
            <color indexed="81"/>
            <rFont val="Tahoma"/>
            <family val="2"/>
          </rPr>
          <t>Administrator:</t>
        </r>
        <r>
          <rPr>
            <sz val="9"/>
            <color indexed="81"/>
            <rFont val="Tahoma"/>
            <family val="2"/>
          </rPr>
          <t xml:space="preserve">
có chi hoàn trả rút vượt 25.817 (cv 6780 ub)</t>
        </r>
      </text>
    </comment>
    <comment ref="E113" authorId="3">
      <text>
        <r>
          <rPr>
            <b/>
            <sz val="9"/>
            <color indexed="81"/>
            <rFont val="Tahoma"/>
            <family val="2"/>
          </rPr>
          <t>Dell 04:</t>
        </r>
        <r>
          <rPr>
            <sz val="9"/>
            <color indexed="81"/>
            <rFont val="Tahoma"/>
            <family val="2"/>
          </rPr>
          <t xml:space="preserve">
CHUYỂN NGUỒN NGÂN SÁCH TỈNH NĂM 2017</t>
        </r>
      </text>
    </comment>
    <comment ref="I113" authorId="3">
      <text>
        <r>
          <rPr>
            <b/>
            <sz val="9"/>
            <color indexed="81"/>
            <rFont val="Tahoma"/>
            <family val="2"/>
          </rPr>
          <t>Dell 04:</t>
        </r>
        <r>
          <rPr>
            <sz val="9"/>
            <color indexed="81"/>
            <rFont val="Tahoma"/>
            <family val="2"/>
          </rPr>
          <t xml:space="preserve">
CHI HUYỆN</t>
        </r>
      </text>
    </comment>
  </commentList>
</comments>
</file>

<file path=xl/comments6.xml><?xml version="1.0" encoding="utf-8"?>
<comments xmlns="http://schemas.openxmlformats.org/spreadsheetml/2006/main">
  <authors>
    <author>THANH CHONG</author>
  </authors>
  <commentList>
    <comment ref="E26" authorId="0">
      <text>
        <r>
          <rPr>
            <b/>
            <sz val="9"/>
            <color indexed="81"/>
            <rFont val="Tahoma"/>
            <family val="2"/>
          </rPr>
          <t>THANH CHONG:</t>
        </r>
        <r>
          <rPr>
            <sz val="9"/>
            <color indexed="81"/>
            <rFont val="Tahoma"/>
            <family val="2"/>
          </rPr>
          <t xml:space="preserve">
đã bao gồm bù hụt thu</t>
        </r>
      </text>
    </comment>
    <comment ref="H31" authorId="0">
      <text>
        <r>
          <rPr>
            <b/>
            <sz val="9"/>
            <color indexed="81"/>
            <rFont val="Tahoma"/>
            <family val="2"/>
          </rPr>
          <t>THANH CHONG:</t>
        </r>
        <r>
          <rPr>
            <sz val="9"/>
            <color indexed="81"/>
            <rFont val="Tahoma"/>
            <family val="2"/>
          </rPr>
          <t xml:space="preserve">
kết dư địa phương</t>
        </r>
      </text>
    </comment>
  </commentList>
</comments>
</file>

<file path=xl/comments7.xml><?xml version="1.0" encoding="utf-8"?>
<comments xmlns="http://schemas.openxmlformats.org/spreadsheetml/2006/main">
  <authors>
    <author>Dell 04</author>
    <author/>
    <author>THANH CHONG</author>
  </authors>
  <commentList>
    <comment ref="N2" authorId="0">
      <text>
        <r>
          <rPr>
            <b/>
            <sz val="9"/>
            <color indexed="81"/>
            <rFont val="Tahoma"/>
            <family val="2"/>
          </rPr>
          <t>Dell 04:</t>
        </r>
        <r>
          <rPr>
            <sz val="9"/>
            <color indexed="81"/>
            <rFont val="Tahoma"/>
            <family val="2"/>
          </rPr>
          <t xml:space="preserve">
DỰ KIẾN TRUNG ƯƠNG BÙ HỤT THU CHO TỈNH</t>
        </r>
      </text>
    </comment>
    <comment ref="N7" authorId="0">
      <text>
        <r>
          <rPr>
            <b/>
            <sz val="9"/>
            <color indexed="81"/>
            <rFont val="Tahoma"/>
            <family val="2"/>
          </rPr>
          <t>Dell 04:</t>
        </r>
        <r>
          <rPr>
            <sz val="9"/>
            <color indexed="81"/>
            <rFont val="Tahoma"/>
            <family val="2"/>
          </rPr>
          <t xml:space="preserve">
THU HUYỆN</t>
        </r>
      </text>
    </comment>
    <comment ref="N8" authorId="0">
      <text>
        <r>
          <rPr>
            <b/>
            <sz val="9"/>
            <color indexed="81"/>
            <rFont val="Tahoma"/>
            <family val="2"/>
          </rPr>
          <t>Dell 04:</t>
        </r>
        <r>
          <rPr>
            <sz val="9"/>
            <color indexed="81"/>
            <rFont val="Tahoma"/>
            <family val="2"/>
          </rPr>
          <t xml:space="preserve">
THU XÃ
</t>
        </r>
      </text>
    </comment>
    <comment ref="A47" authorId="1">
      <text>
        <r>
          <rPr>
            <b/>
            <sz val="9"/>
            <color indexed="8"/>
            <rFont val="Tahoma"/>
            <family val="2"/>
            <charset val="1"/>
          </rPr>
          <t xml:space="preserve">ADMIN:
</t>
        </r>
        <r>
          <rPr>
            <sz val="9"/>
            <color indexed="8"/>
            <rFont val="Tahoma"/>
            <family val="2"/>
            <charset val="1"/>
          </rPr>
          <t>TRONG CÁC KHOẢN THU VỀ NHÀ ĐẤT</t>
        </r>
      </text>
    </comment>
    <comment ref="A53" authorId="1">
      <text>
        <r>
          <rPr>
            <b/>
            <sz val="9"/>
            <color indexed="8"/>
            <rFont val="Tahoma"/>
            <family val="2"/>
            <charset val="1"/>
          </rPr>
          <t xml:space="preserve">ADMIN:
</t>
        </r>
        <r>
          <rPr>
            <sz val="9"/>
            <color indexed="8"/>
            <rFont val="Tahoma"/>
            <family val="2"/>
            <charset val="1"/>
          </rPr>
          <t>TRONG CÁC KHOẢN THU VỀ NHÀ ĐẤT</t>
        </r>
      </text>
    </comment>
    <comment ref="A54" authorId="1">
      <text>
        <r>
          <rPr>
            <b/>
            <sz val="9"/>
            <color indexed="8"/>
            <rFont val="Tahoma"/>
            <family val="2"/>
            <charset val="1"/>
          </rPr>
          <t xml:space="preserve">ADMIN:
</t>
        </r>
        <r>
          <rPr>
            <sz val="9"/>
            <color indexed="8"/>
            <rFont val="Tahoma"/>
            <family val="2"/>
            <charset val="1"/>
          </rPr>
          <t>TRONG CÁC KHOAN THU VE NHA DAT</t>
        </r>
      </text>
    </comment>
    <comment ref="A55" authorId="1">
      <text>
        <r>
          <rPr>
            <b/>
            <sz val="9"/>
            <color indexed="8"/>
            <rFont val="Tahoma"/>
            <family val="2"/>
            <charset val="1"/>
          </rPr>
          <t xml:space="preserve">ADMIN:
</t>
        </r>
        <r>
          <rPr>
            <sz val="9"/>
            <color indexed="8"/>
            <rFont val="Tahoma"/>
            <family val="2"/>
            <charset val="1"/>
          </rPr>
          <t>TRONG CÁC KHOAN THU VE NHA DAT</t>
        </r>
      </text>
    </comment>
    <comment ref="A56" authorId="1">
      <text>
        <r>
          <rPr>
            <b/>
            <sz val="9"/>
            <color indexed="8"/>
            <rFont val="Tahoma"/>
            <family val="2"/>
            <charset val="1"/>
          </rPr>
          <t xml:space="preserve">ADMIN:
</t>
        </r>
        <r>
          <rPr>
            <sz val="9"/>
            <color indexed="8"/>
            <rFont val="Tahoma"/>
            <family val="2"/>
            <charset val="1"/>
          </rPr>
          <t>TRONG CÁC KHOAN THU VE NHA DAT</t>
        </r>
      </text>
    </comment>
    <comment ref="A57" authorId="1">
      <text>
        <r>
          <rPr>
            <b/>
            <sz val="9"/>
            <color indexed="8"/>
            <rFont val="Tahoma"/>
            <family val="2"/>
            <charset val="1"/>
          </rPr>
          <t xml:space="preserve">ADMIN:
</t>
        </r>
        <r>
          <rPr>
            <sz val="9"/>
            <color indexed="8"/>
            <rFont val="Tahoma"/>
            <family val="2"/>
            <charset val="1"/>
          </rPr>
          <t>TRONG CÁC KHOAN THU VE NHA DAT</t>
        </r>
      </text>
    </comment>
    <comment ref="A58" authorId="1">
      <text>
        <r>
          <rPr>
            <b/>
            <sz val="9"/>
            <color indexed="8"/>
            <rFont val="Tahoma"/>
            <family val="2"/>
            <charset val="1"/>
          </rPr>
          <t xml:space="preserve">ADMIN:
</t>
        </r>
        <r>
          <rPr>
            <sz val="9"/>
            <color indexed="8"/>
            <rFont val="Tahoma"/>
            <family val="2"/>
            <charset val="1"/>
          </rPr>
          <t>TRONG CÁC KHOAN THU VE NHA DAT</t>
        </r>
      </text>
    </comment>
    <comment ref="A59" authorId="1">
      <text>
        <r>
          <rPr>
            <b/>
            <sz val="9"/>
            <color indexed="8"/>
            <rFont val="Tahoma"/>
            <family val="2"/>
            <charset val="1"/>
          </rPr>
          <t xml:space="preserve">ADMIN:
</t>
        </r>
        <r>
          <rPr>
            <sz val="9"/>
            <color indexed="8"/>
            <rFont val="Tahoma"/>
            <family val="2"/>
            <charset val="1"/>
          </rPr>
          <t xml:space="preserve">XEM LẠI CÓ CẦN CHI TiẾT PHÍA DƯỚI KHÔNG
</t>
        </r>
      </text>
    </comment>
    <comment ref="H59" authorId="2">
      <text>
        <r>
          <rPr>
            <b/>
            <sz val="9"/>
            <color indexed="81"/>
            <rFont val="Tahoma"/>
            <family val="2"/>
          </rPr>
          <t>THANH CHONG:</t>
        </r>
        <r>
          <rPr>
            <sz val="9"/>
            <color indexed="81"/>
            <rFont val="Tahoma"/>
            <family val="2"/>
          </rPr>
          <t xml:space="preserve">
có giảm 24230874657đ</t>
        </r>
      </text>
    </comment>
    <comment ref="A60" authorId="1">
      <text>
        <r>
          <rPr>
            <b/>
            <sz val="9"/>
            <color indexed="8"/>
            <rFont val="Tahoma"/>
            <family val="2"/>
            <charset val="1"/>
          </rPr>
          <t xml:space="preserve">ADMIN:
</t>
        </r>
        <r>
          <rPr>
            <sz val="9"/>
            <color indexed="8"/>
            <rFont val="Tahoma"/>
            <family val="2"/>
            <charset val="1"/>
          </rPr>
          <t xml:space="preserve">XEM LẠI CÓ CẦN CHI TiẾT PHÍA DƯỚI KHÔNG
</t>
        </r>
      </text>
    </comment>
    <comment ref="A61" authorId="1">
      <text>
        <r>
          <rPr>
            <b/>
            <sz val="9"/>
            <color indexed="8"/>
            <rFont val="Tahoma"/>
            <family val="2"/>
            <charset val="1"/>
          </rPr>
          <t xml:space="preserve">ADMIN:
</t>
        </r>
        <r>
          <rPr>
            <sz val="9"/>
            <color indexed="8"/>
            <rFont val="Tahoma"/>
            <family val="2"/>
            <charset val="1"/>
          </rPr>
          <t>TRONG THU TẠI XÃ</t>
        </r>
      </text>
    </comment>
    <comment ref="A62" authorId="1">
      <text>
        <r>
          <rPr>
            <b/>
            <sz val="9"/>
            <color indexed="8"/>
            <rFont val="Tahoma"/>
            <family val="2"/>
            <charset val="1"/>
          </rPr>
          <t xml:space="preserve">ADMIN:
</t>
        </r>
        <r>
          <rPr>
            <sz val="9"/>
            <color indexed="8"/>
            <rFont val="Tahoma"/>
            <family val="2"/>
            <charset val="1"/>
          </rPr>
          <t>TRONG THU TẠI XÃ</t>
        </r>
      </text>
    </comment>
    <comment ref="J72" authorId="1">
      <text>
        <r>
          <rPr>
            <b/>
            <sz val="9"/>
            <color indexed="8"/>
            <rFont val="Tahoma"/>
            <family val="2"/>
            <charset val="1"/>
          </rPr>
          <t xml:space="preserve">luu y chyen len thu tai xa
</t>
        </r>
      </text>
    </comment>
    <comment ref="A87" authorId="1">
      <text>
        <r>
          <rPr>
            <b/>
            <sz val="9"/>
            <color indexed="8"/>
            <rFont val="Tahoma"/>
            <family val="2"/>
            <charset val="1"/>
          </rPr>
          <t xml:space="preserve">ADMIN:
</t>
        </r>
        <r>
          <rPr>
            <sz val="9"/>
            <color indexed="8"/>
            <rFont val="Tahoma"/>
            <family val="2"/>
            <charset val="1"/>
          </rPr>
          <t>trong thu ql qua ns cũ</t>
        </r>
      </text>
    </comment>
    <comment ref="H104" authorId="2">
      <text>
        <r>
          <rPr>
            <b/>
            <sz val="9"/>
            <color indexed="81"/>
            <rFont val="Tahoma"/>
            <family val="2"/>
          </rPr>
          <t>THANH CHONG:</t>
        </r>
        <r>
          <rPr>
            <sz val="9"/>
            <color indexed="81"/>
            <rFont val="Tahoma"/>
            <family val="2"/>
          </rPr>
          <t xml:space="preserve">
có chi chuyển nguồn 15074 của quỹ bảo trì đường bộ cv 9294 của btc</t>
        </r>
      </text>
    </comment>
    <comment ref="H126" authorId="1">
      <text>
        <r>
          <rPr>
            <b/>
            <sz val="9"/>
            <color indexed="8"/>
            <rFont val="Tahoma"/>
            <family val="2"/>
            <charset val="1"/>
          </rPr>
          <t xml:space="preserve">THANH CHONG:
</t>
        </r>
        <r>
          <rPr>
            <sz val="9"/>
            <color indexed="8"/>
            <rFont val="Tahoma"/>
            <family val="2"/>
            <charset val="1"/>
          </rPr>
          <t>thu vao can doi so bu hut thu 150000 va tam ung cctl 26176 (đã loại trừ)</t>
        </r>
      </text>
    </comment>
    <comment ref="H131" authorId="1">
      <text>
        <r>
          <rPr>
            <b/>
            <sz val="9"/>
            <color indexed="8"/>
            <rFont val="Tahoma"/>
            <family val="2"/>
            <charset val="1"/>
          </rPr>
          <t xml:space="preserve">THANH CHONG:
</t>
        </r>
        <r>
          <rPr>
            <sz val="9"/>
            <color indexed="8"/>
            <rFont val="Tahoma"/>
            <family val="2"/>
            <charset val="1"/>
          </rPr>
          <t>chị hà chỉ đạo không đưa vào số tạm thu 193903</t>
        </r>
      </text>
    </comment>
    <comment ref="H148" authorId="1">
      <text>
        <r>
          <rPr>
            <b/>
            <sz val="9"/>
            <color indexed="8"/>
            <rFont val="Tahoma"/>
            <family val="2"/>
            <charset val="1"/>
          </rPr>
          <t xml:space="preserve">THANH CHONG:
</t>
        </r>
        <r>
          <rPr>
            <sz val="9"/>
            <color indexed="8"/>
            <rFont val="Tahoma"/>
            <family val="2"/>
            <charset val="1"/>
          </rPr>
          <t>chị hà giảm rút vượt mục tiêu và giảm 193,903</t>
        </r>
      </text>
    </comment>
  </commentList>
</comments>
</file>

<file path=xl/comments8.xml><?xml version="1.0" encoding="utf-8"?>
<comments xmlns="http://schemas.openxmlformats.org/spreadsheetml/2006/main">
  <authors>
    <author>THANH CHONG</author>
  </authors>
  <commentList>
    <comment ref="E26" authorId="0">
      <text>
        <r>
          <rPr>
            <b/>
            <sz val="9"/>
            <color indexed="81"/>
            <rFont val="Tahoma"/>
            <family val="2"/>
          </rPr>
          <t>THANH CHONG:</t>
        </r>
        <r>
          <rPr>
            <sz val="9"/>
            <color indexed="81"/>
            <rFont val="Tahoma"/>
            <family val="2"/>
          </rPr>
          <t xml:space="preserve">
đã bao gồm bù hụt thu</t>
        </r>
      </text>
    </comment>
    <comment ref="H31" authorId="0">
      <text>
        <r>
          <rPr>
            <b/>
            <sz val="9"/>
            <color indexed="81"/>
            <rFont val="Tahoma"/>
            <family val="2"/>
          </rPr>
          <t>THANH CHONG:</t>
        </r>
        <r>
          <rPr>
            <sz val="9"/>
            <color indexed="81"/>
            <rFont val="Tahoma"/>
            <family val="2"/>
          </rPr>
          <t xml:space="preserve">
kết dư địa phương</t>
        </r>
      </text>
    </comment>
  </commentList>
</comments>
</file>

<file path=xl/comments9.xml><?xml version="1.0" encoding="utf-8"?>
<comments xmlns="http://schemas.openxmlformats.org/spreadsheetml/2006/main">
  <authors>
    <author>Dell 04</author>
    <author/>
    <author>THANH CHONG</author>
  </authors>
  <commentList>
    <comment ref="M4" authorId="0">
      <text>
        <r>
          <rPr>
            <b/>
            <sz val="9"/>
            <color indexed="81"/>
            <rFont val="Tahoma"/>
            <family val="2"/>
          </rPr>
          <t>Dell 04:</t>
        </r>
        <r>
          <rPr>
            <sz val="9"/>
            <color indexed="81"/>
            <rFont val="Tahoma"/>
            <family val="2"/>
          </rPr>
          <t xml:space="preserve">
DỰ KIẾN TRUNG ƯƠNG BÙ HỤT THU CHO TỈNH</t>
        </r>
      </text>
    </comment>
    <comment ref="N10" authorId="0">
      <text>
        <r>
          <rPr>
            <b/>
            <sz val="9"/>
            <color indexed="81"/>
            <rFont val="Tahoma"/>
            <family val="2"/>
          </rPr>
          <t>Dell 04:</t>
        </r>
        <r>
          <rPr>
            <sz val="9"/>
            <color indexed="81"/>
            <rFont val="Tahoma"/>
            <family val="2"/>
          </rPr>
          <t xml:space="preserve">
THU XÃ
</t>
        </r>
      </text>
    </comment>
    <comment ref="A49" authorId="1">
      <text>
        <r>
          <rPr>
            <b/>
            <sz val="9"/>
            <color indexed="8"/>
            <rFont val="Tahoma"/>
            <family val="2"/>
            <charset val="1"/>
          </rPr>
          <t xml:space="preserve">ADMIN:
</t>
        </r>
        <r>
          <rPr>
            <sz val="9"/>
            <color indexed="8"/>
            <rFont val="Tahoma"/>
            <family val="2"/>
            <charset val="1"/>
          </rPr>
          <t>TRONG CÁC KHOẢN THU VỀ NHÀ ĐẤT</t>
        </r>
      </text>
    </comment>
    <comment ref="A55" authorId="1">
      <text>
        <r>
          <rPr>
            <b/>
            <sz val="9"/>
            <color indexed="8"/>
            <rFont val="Tahoma"/>
            <family val="2"/>
            <charset val="1"/>
          </rPr>
          <t xml:space="preserve">ADMIN:
</t>
        </r>
        <r>
          <rPr>
            <sz val="9"/>
            <color indexed="8"/>
            <rFont val="Tahoma"/>
            <family val="2"/>
            <charset val="1"/>
          </rPr>
          <t>TRONG CÁC KHOẢN THU VỀ NHÀ ĐẤT</t>
        </r>
      </text>
    </comment>
    <comment ref="A56" authorId="1">
      <text>
        <r>
          <rPr>
            <b/>
            <sz val="9"/>
            <color indexed="8"/>
            <rFont val="Tahoma"/>
            <family val="2"/>
            <charset val="1"/>
          </rPr>
          <t xml:space="preserve">ADMIN:
</t>
        </r>
        <r>
          <rPr>
            <sz val="9"/>
            <color indexed="8"/>
            <rFont val="Tahoma"/>
            <family val="2"/>
            <charset val="1"/>
          </rPr>
          <t>TRONG CÁC KHOAN THU VE NHA DAT</t>
        </r>
      </text>
    </comment>
    <comment ref="A57" authorId="1">
      <text>
        <r>
          <rPr>
            <b/>
            <sz val="9"/>
            <color indexed="8"/>
            <rFont val="Tahoma"/>
            <family val="2"/>
            <charset val="1"/>
          </rPr>
          <t xml:space="preserve">ADMIN:
</t>
        </r>
        <r>
          <rPr>
            <sz val="9"/>
            <color indexed="8"/>
            <rFont val="Tahoma"/>
            <family val="2"/>
            <charset val="1"/>
          </rPr>
          <t>TRONG CÁC KHOAN THU VE NHA DAT</t>
        </r>
      </text>
    </comment>
    <comment ref="A58" authorId="1">
      <text>
        <r>
          <rPr>
            <b/>
            <sz val="9"/>
            <color indexed="8"/>
            <rFont val="Tahoma"/>
            <family val="2"/>
            <charset val="1"/>
          </rPr>
          <t xml:space="preserve">ADMIN:
</t>
        </r>
        <r>
          <rPr>
            <sz val="9"/>
            <color indexed="8"/>
            <rFont val="Tahoma"/>
            <family val="2"/>
            <charset val="1"/>
          </rPr>
          <t>TRONG CÁC KHOAN THU VE NHA DAT</t>
        </r>
      </text>
    </comment>
    <comment ref="A59" authorId="1">
      <text>
        <r>
          <rPr>
            <b/>
            <sz val="9"/>
            <color indexed="8"/>
            <rFont val="Tahoma"/>
            <family val="2"/>
            <charset val="1"/>
          </rPr>
          <t xml:space="preserve">ADMIN:
</t>
        </r>
        <r>
          <rPr>
            <sz val="9"/>
            <color indexed="8"/>
            <rFont val="Tahoma"/>
            <family val="2"/>
            <charset val="1"/>
          </rPr>
          <t>TRONG CÁC KHOAN THU VE NHA DAT</t>
        </r>
      </text>
    </comment>
    <comment ref="A60" authorId="1">
      <text>
        <r>
          <rPr>
            <b/>
            <sz val="9"/>
            <color indexed="8"/>
            <rFont val="Tahoma"/>
            <family val="2"/>
            <charset val="1"/>
          </rPr>
          <t xml:space="preserve">ADMIN:
</t>
        </r>
        <r>
          <rPr>
            <sz val="9"/>
            <color indexed="8"/>
            <rFont val="Tahoma"/>
            <family val="2"/>
            <charset val="1"/>
          </rPr>
          <t>TRONG CÁC KHOAN THU VE NHA DAT</t>
        </r>
      </text>
    </comment>
    <comment ref="A61" authorId="1">
      <text>
        <r>
          <rPr>
            <b/>
            <sz val="9"/>
            <color indexed="8"/>
            <rFont val="Tahoma"/>
            <family val="2"/>
            <charset val="1"/>
          </rPr>
          <t xml:space="preserve">ADMIN:
</t>
        </r>
        <r>
          <rPr>
            <sz val="9"/>
            <color indexed="8"/>
            <rFont val="Tahoma"/>
            <family val="2"/>
            <charset val="1"/>
          </rPr>
          <t xml:space="preserve">XEM LẠI CÓ CẦN CHI TiẾT PHÍA DƯỚI KHÔNG
</t>
        </r>
      </text>
    </comment>
    <comment ref="H61" authorId="2">
      <text>
        <r>
          <rPr>
            <b/>
            <sz val="9"/>
            <color indexed="81"/>
            <rFont val="Tahoma"/>
            <family val="2"/>
          </rPr>
          <t>THANH CHONG:</t>
        </r>
        <r>
          <rPr>
            <sz val="9"/>
            <color indexed="81"/>
            <rFont val="Tahoma"/>
            <family val="2"/>
          </rPr>
          <t xml:space="preserve">
có giảm 24230874657đ</t>
        </r>
      </text>
    </comment>
    <comment ref="A62" authorId="1">
      <text>
        <r>
          <rPr>
            <b/>
            <sz val="9"/>
            <color indexed="8"/>
            <rFont val="Tahoma"/>
            <family val="2"/>
            <charset val="1"/>
          </rPr>
          <t xml:space="preserve">ADMIN:
</t>
        </r>
        <r>
          <rPr>
            <sz val="9"/>
            <color indexed="8"/>
            <rFont val="Tahoma"/>
            <family val="2"/>
            <charset val="1"/>
          </rPr>
          <t xml:space="preserve">XEM LẠI CÓ CẦN CHI TiẾT PHÍA DƯỚI KHÔNG
</t>
        </r>
      </text>
    </comment>
    <comment ref="A63" authorId="1">
      <text>
        <r>
          <rPr>
            <b/>
            <sz val="9"/>
            <color indexed="8"/>
            <rFont val="Tahoma"/>
            <family val="2"/>
            <charset val="1"/>
          </rPr>
          <t xml:space="preserve">ADMIN:
</t>
        </r>
        <r>
          <rPr>
            <sz val="9"/>
            <color indexed="8"/>
            <rFont val="Tahoma"/>
            <family val="2"/>
            <charset val="1"/>
          </rPr>
          <t>TRONG THU TẠI XÃ</t>
        </r>
      </text>
    </comment>
    <comment ref="A64" authorId="1">
      <text>
        <r>
          <rPr>
            <b/>
            <sz val="9"/>
            <color indexed="8"/>
            <rFont val="Tahoma"/>
            <family val="2"/>
            <charset val="1"/>
          </rPr>
          <t xml:space="preserve">ADMIN:
</t>
        </r>
        <r>
          <rPr>
            <sz val="9"/>
            <color indexed="8"/>
            <rFont val="Tahoma"/>
            <family val="2"/>
            <charset val="1"/>
          </rPr>
          <t>TRONG THU TẠI XÃ</t>
        </r>
      </text>
    </comment>
    <comment ref="J74" authorId="1">
      <text>
        <r>
          <rPr>
            <b/>
            <sz val="9"/>
            <color indexed="8"/>
            <rFont val="Tahoma"/>
            <family val="2"/>
            <charset val="1"/>
          </rPr>
          <t xml:space="preserve">luu y chyen len thu tai xa
</t>
        </r>
      </text>
    </comment>
    <comment ref="A89" authorId="1">
      <text>
        <r>
          <rPr>
            <b/>
            <sz val="9"/>
            <color indexed="8"/>
            <rFont val="Tahoma"/>
            <family val="2"/>
            <charset val="1"/>
          </rPr>
          <t xml:space="preserve">ADMIN:
</t>
        </r>
        <r>
          <rPr>
            <sz val="9"/>
            <color indexed="8"/>
            <rFont val="Tahoma"/>
            <family val="2"/>
            <charset val="1"/>
          </rPr>
          <t>trong thu ql qua ns cũ</t>
        </r>
      </text>
    </comment>
    <comment ref="H106" authorId="2">
      <text>
        <r>
          <rPr>
            <b/>
            <sz val="9"/>
            <color indexed="81"/>
            <rFont val="Tahoma"/>
            <family val="2"/>
          </rPr>
          <t>THANH CHONG:</t>
        </r>
        <r>
          <rPr>
            <sz val="9"/>
            <color indexed="81"/>
            <rFont val="Tahoma"/>
            <family val="2"/>
          </rPr>
          <t xml:space="preserve">
có chi chuyển nguồn 15074 của quỹ bảo trì đường bộ cv 9294 của btc</t>
        </r>
      </text>
    </comment>
    <comment ref="H128" authorId="1">
      <text>
        <r>
          <rPr>
            <b/>
            <sz val="9"/>
            <color indexed="8"/>
            <rFont val="Tahoma"/>
            <family val="2"/>
            <charset val="1"/>
          </rPr>
          <t xml:space="preserve">THANH CHONG:
</t>
        </r>
        <r>
          <rPr>
            <sz val="9"/>
            <color indexed="8"/>
            <rFont val="Tahoma"/>
            <family val="2"/>
            <charset val="1"/>
          </rPr>
          <t>thu vao can doi so bu hut thu 150000 va tam ung cctl 26176 (đã loại trừ)</t>
        </r>
      </text>
    </comment>
    <comment ref="H133" authorId="1">
      <text>
        <r>
          <rPr>
            <b/>
            <sz val="9"/>
            <color indexed="8"/>
            <rFont val="Tahoma"/>
            <family val="2"/>
            <charset val="1"/>
          </rPr>
          <t xml:space="preserve">THANH CHONG:
</t>
        </r>
        <r>
          <rPr>
            <sz val="9"/>
            <color indexed="8"/>
            <rFont val="Tahoma"/>
            <family val="2"/>
            <charset val="1"/>
          </rPr>
          <t>chị hà chỉ đạo không đưa vào số tạm thu 193903</t>
        </r>
      </text>
    </comment>
    <comment ref="H150" authorId="1">
      <text>
        <r>
          <rPr>
            <b/>
            <sz val="9"/>
            <color indexed="8"/>
            <rFont val="Tahoma"/>
            <family val="2"/>
            <charset val="1"/>
          </rPr>
          <t xml:space="preserve">THANH CHONG:
</t>
        </r>
        <r>
          <rPr>
            <sz val="9"/>
            <color indexed="8"/>
            <rFont val="Tahoma"/>
            <family val="2"/>
            <charset val="1"/>
          </rPr>
          <t>chị hà giảm rút vượt mục tiêu và giảm 193,903</t>
        </r>
      </text>
    </comment>
  </commentList>
</comments>
</file>

<file path=xl/sharedStrings.xml><?xml version="1.0" encoding="utf-8"?>
<sst xmlns="http://schemas.openxmlformats.org/spreadsheetml/2006/main" count="11879" uniqueCount="3133">
  <si>
    <t>Sở Ngoại vụ tỉnh Cà Mau</t>
  </si>
  <si>
    <t>Chi cục Kiểm lâm tỉnh Cà Mau</t>
  </si>
  <si>
    <t>VP Sở Kế hoạch và Đầu tư tỉnh Cà Mau</t>
  </si>
  <si>
    <t>VP Sở Tư pháp tỉnh Cà Mau</t>
  </si>
  <si>
    <t>VP Sở Công thương tỉnh Cà Mau</t>
  </si>
  <si>
    <t>VP Sở Tài chính tỉnh Cà Mau</t>
  </si>
  <si>
    <t>VP Sở Xây dựng tỉnh Cà Mau</t>
  </si>
  <si>
    <t>Trường THPT Quách Văn Phẩm</t>
  </si>
  <si>
    <t>Bệnh viện Sản - Nhi Cà Mau</t>
  </si>
  <si>
    <t>VP Sở Y tế tỉnh Cà Mau</t>
  </si>
  <si>
    <t>Trung tâm nuôi dưỡng người tâm thần</t>
  </si>
  <si>
    <t>VP Sở Thông tin và Truyền thông tỉnh Cà Mau</t>
  </si>
  <si>
    <t>VP Sở Nội vụ tỉnh Cà Mau</t>
  </si>
  <si>
    <t>Ban Dân tộc tỉnh Cà Mau</t>
  </si>
  <si>
    <t>VP Ban Quản lý khu kinh tế tỉnh Cà Mau</t>
  </si>
  <si>
    <t>tx</t>
  </si>
  <si>
    <t>đt</t>
  </si>
  <si>
    <t>Hội Đông y tỉnh Cà Mau</t>
  </si>
  <si>
    <t>Vườn Quốc gia U Minh hạ</t>
  </si>
  <si>
    <t>Vườn Quốc gia Mũi Cà Mau</t>
  </si>
  <si>
    <t>Báo ảnh Đất Mũi Cà Mau</t>
  </si>
  <si>
    <t>CHI ĐẦU TƯ PHÁT TRIỂN</t>
  </si>
  <si>
    <t>Văn phòng Tỉnh ủy Cà Mau</t>
  </si>
  <si>
    <t>Đoàn Luật sư tỉnh Cà Mau</t>
  </si>
  <si>
    <t>Đơn vị: Triệu đồng</t>
  </si>
  <si>
    <t>Vốn trong nước</t>
  </si>
  <si>
    <t>Vốn ngoài nước</t>
  </si>
  <si>
    <t>NÔNG, LÂM, THỦY SẢN</t>
  </si>
  <si>
    <t>7371237</t>
  </si>
  <si>
    <t>Hệ thống giao thông khu hành chính huyện Phú Tân</t>
  </si>
  <si>
    <t>7147972</t>
  </si>
  <si>
    <t>HẠ TẦNG ĐÔ THỊ</t>
  </si>
  <si>
    <t>7199192</t>
  </si>
  <si>
    <t>Dự án đầu tư xây dựng hạ tầng kỹ thuật khu Quảng trường văn hóa trung tâm tỉnh Cà Mau</t>
  </si>
  <si>
    <t>7404890</t>
  </si>
  <si>
    <t>7320310</t>
  </si>
  <si>
    <t>VĂN HÓA, THỂ THAO, DU LỊCH</t>
  </si>
  <si>
    <t>KHỐI ĐẢNG, NHÀ NƯỚC</t>
  </si>
  <si>
    <t>Trụ sở liên cơ quan huyện Phú Tân giai đoạn 3</t>
  </si>
  <si>
    <t>Trụ sở Huyện ủy Trần Văn Thời và các Ban Đảng</t>
  </si>
  <si>
    <t>Trụ sở Hội Nông dân và Hội Liên hiệp Phụ nữ tỉnh Cà Mau</t>
  </si>
  <si>
    <t>AN NINH - QUỐC PHÒNG</t>
  </si>
  <si>
    <t>7004686</t>
  </si>
  <si>
    <t xml:space="preserve">        UBND TỈNH CÀ MAU</t>
  </si>
  <si>
    <t>Đơn vị: Triệu đồng.</t>
  </si>
  <si>
    <t>STT</t>
  </si>
  <si>
    <t>PHẦN THU</t>
  </si>
  <si>
    <t>Tổng</t>
  </si>
  <si>
    <t>Thu</t>
  </si>
  <si>
    <t>PHẦN CHI</t>
  </si>
  <si>
    <t>Chi</t>
  </si>
  <si>
    <t>số</t>
  </si>
  <si>
    <t>NS tỉnh</t>
  </si>
  <si>
    <t>NS huyện</t>
  </si>
  <si>
    <t>NS xã</t>
  </si>
  <si>
    <t>TỔNG SỐ THU</t>
  </si>
  <si>
    <t>TỔNG SỐ CHI</t>
  </si>
  <si>
    <t>A</t>
  </si>
  <si>
    <t>Tổng số thu cân đối ngân sách</t>
  </si>
  <si>
    <t>Chi đầu tư phát triển</t>
  </si>
  <si>
    <t>Các khoản thu phân chia theo tỷ lệ %</t>
  </si>
  <si>
    <t>Chi trả phí và lãi vay</t>
  </si>
  <si>
    <t>Thu tiền vay đầu tư xây dựng cơ sở hạ tầng</t>
  </si>
  <si>
    <t xml:space="preserve"> - Chi bổ sung vốn điều lệ</t>
  </si>
  <si>
    <t>Thu từ quỹ dự trữ tài chính</t>
  </si>
  <si>
    <t>Thu kết dư ngân sách năm trước</t>
  </si>
  <si>
    <t>Chi thường xuyên</t>
  </si>
  <si>
    <t>Thu chuyển nguồn từ năm trước sang</t>
  </si>
  <si>
    <t>Chi bổ sung quỹ dự trữ tài chính</t>
  </si>
  <si>
    <t>Thu từ ngân sách cấp dưới nộp lên</t>
  </si>
  <si>
    <t>Chi chương trình MT cân đối NSĐP</t>
  </si>
  <si>
    <t>Thu bổ sung từ ngân sách cấp trên</t>
  </si>
  <si>
    <t>Chi bổ sung cho ngân sách cấp dưới</t>
  </si>
  <si>
    <t>Tr.đó: - Bổ sung cân đối ngân sách</t>
  </si>
  <si>
    <t>Chi chuyển nguồn sang năm sau</t>
  </si>
  <si>
    <t xml:space="preserve">            - Bổ sung có mục tiêu</t>
  </si>
  <si>
    <t>Chi nộp ngân sách cấp trên</t>
  </si>
  <si>
    <t>Các khoản huy động đóng góp xây dựng cơ sở hạ tầng</t>
  </si>
  <si>
    <t>Trong đó:</t>
  </si>
  <si>
    <t xml:space="preserve">Nguồn hụt trong cấn đối </t>
  </si>
  <si>
    <t>B</t>
  </si>
  <si>
    <t>Vay của ngân sách cấp tỉnh</t>
  </si>
  <si>
    <t>Chi trả nợ gốc</t>
  </si>
  <si>
    <t xml:space="preserve">Giám đốc KBNN tỉnh Cà Mau </t>
  </si>
  <si>
    <t>Giám đốc Sở Tài chính Cà Mau</t>
  </si>
  <si>
    <t>TM. UBND tỉnh Cà Mau</t>
  </si>
  <si>
    <t>Chủ tịch</t>
  </si>
  <si>
    <t>Ngày 31 tháng  3  năm 2018</t>
  </si>
  <si>
    <t>Lập biểu</t>
  </si>
  <si>
    <t>TP. Phòng QL Ngân sách</t>
  </si>
  <si>
    <t>TRẦN THANH CHỐNG</t>
  </si>
  <si>
    <t>chi tỉnh có chi chuyển nguồn</t>
  </si>
  <si>
    <t>còn thu quản lý qua ngân sách nguồn huy động</t>
  </si>
  <si>
    <t>thuyết minh;thu tỉnh giảm tạm thu 193903 và thu huyện giảm thu học phí 1696</t>
  </si>
  <si>
    <t>thu tỉnh giảm rút mục tiêu vượt 2941</t>
  </si>
  <si>
    <t>UBND TỈNH CÀ MAU</t>
  </si>
  <si>
    <t>Quyết toán</t>
  </si>
  <si>
    <t>So sánh QT/DT (%)</t>
  </si>
  <si>
    <t>NỘI DUNG CHI</t>
  </si>
  <si>
    <t>HĐND</t>
  </si>
  <si>
    <t xml:space="preserve">năm </t>
  </si>
  <si>
    <t>TW</t>
  </si>
  <si>
    <t>giao</t>
  </si>
  <si>
    <t>quyết định</t>
  </si>
  <si>
    <t>1</t>
  </si>
  <si>
    <t>2</t>
  </si>
  <si>
    <t>3</t>
  </si>
  <si>
    <t>6</t>
  </si>
  <si>
    <t>I</t>
  </si>
  <si>
    <t>II</t>
  </si>
  <si>
    <t>Thu ngân sách địa phương hưởng theo phân cấp</t>
  </si>
  <si>
    <t xml:space="preserve"> - Bổ sung cân đối ổn định</t>
  </si>
  <si>
    <t xml:space="preserve"> - Bổ sung hụt thu do chính sách</t>
  </si>
  <si>
    <t xml:space="preserve"> - Bổ sung tiền lương</t>
  </si>
  <si>
    <t xml:space="preserve"> - Bổ sung đảm bảo mặt bằng chi thường xuyên</t>
  </si>
  <si>
    <t xml:space="preserve"> - Bổ sung có mục tiêu</t>
  </si>
  <si>
    <t xml:space="preserve"> - Bổ sung CTMT quốc gia</t>
  </si>
  <si>
    <t xml:space="preserve"> - Bổ sung bằng nguồn vốn ngoài nước</t>
  </si>
  <si>
    <t>III</t>
  </si>
  <si>
    <t>Chi trả nợ gốc và lãi vay theo quy định</t>
  </si>
  <si>
    <t>Dự phòng</t>
  </si>
  <si>
    <t>C</t>
  </si>
  <si>
    <t>NỘI DUNG</t>
  </si>
  <si>
    <t>Dự toán</t>
  </si>
  <si>
    <t>So sánh</t>
  </si>
  <si>
    <t>Ghi chú</t>
  </si>
  <si>
    <t>QT/DT (%)</t>
  </si>
  <si>
    <t>3 = 2 / 1</t>
  </si>
  <si>
    <t>4</t>
  </si>
  <si>
    <t>NGÂN SÁCH CẤP TỈNH</t>
  </si>
  <si>
    <t>Thu ngân sách cấp tỉnh hưởng theo phân cấp</t>
  </si>
  <si>
    <t>Chi ngân sách cấp tỉnh</t>
  </si>
  <si>
    <t>Tổng chi</t>
  </si>
  <si>
    <t>Nguồn thu ngân sách huyện (kể cả cấp xã)</t>
  </si>
  <si>
    <t>Đơn vị: triệu đồng.</t>
  </si>
  <si>
    <t>Phân chia theo từng cấp ngân sách</t>
  </si>
  <si>
    <t>thu NSNN</t>
  </si>
  <si>
    <t xml:space="preserve">Thu NS </t>
  </si>
  <si>
    <t>Cùng kỳ</t>
  </si>
  <si>
    <t>Tỉnh</t>
  </si>
  <si>
    <t>Huyện</t>
  </si>
  <si>
    <t>Xã</t>
  </si>
  <si>
    <t>(A)</t>
  </si>
  <si>
    <t>(3)=(4)+(5)+(6)+(7)</t>
  </si>
  <si>
    <t>(8)=(3):(1)</t>
  </si>
  <si>
    <t>(9)=(3):(2)</t>
  </si>
  <si>
    <t>TỔNG SỐ (A+B+C+D+E)</t>
  </si>
  <si>
    <t xml:space="preserve"> A/- THU NGÂN SÁCH NHÀ NƯỚC</t>
  </si>
  <si>
    <t xml:space="preserve"> I/- Thu nội địa</t>
  </si>
  <si>
    <t xml:space="preserve">  1.4- Thu nhập sau thuế thu nhập doanh nghiệp</t>
  </si>
  <si>
    <t xml:space="preserve">  1.5- Thuế tài nguyên</t>
  </si>
  <si>
    <t xml:space="preserve">  1.6- Thuế môn bài</t>
  </si>
  <si>
    <t xml:space="preserve">  1.7- Thu sử dụng vốn ngân sách</t>
  </si>
  <si>
    <t xml:space="preserve">  1.8- Thu khác</t>
  </si>
  <si>
    <t xml:space="preserve">  2.4- Thu nhập sau thuế thu nhập doanh nghiệp</t>
  </si>
  <si>
    <t xml:space="preserve">  2.5- Thuế tài nguyên</t>
  </si>
  <si>
    <t xml:space="preserve">  2.6- Thuế môn bài</t>
  </si>
  <si>
    <t xml:space="preserve">  2.7- Thu sử dụng vốn ngân sách</t>
  </si>
  <si>
    <t xml:space="preserve">  2.8- Thu khác</t>
  </si>
  <si>
    <t xml:space="preserve"> 3/- Thu từ DN có vốn đầu tư nước ngoài</t>
  </si>
  <si>
    <t xml:space="preserve">  3.2- Thuế thu nhập doanh nghiệp</t>
  </si>
  <si>
    <t xml:space="preserve"> 4/- Thu từ khu vực CTN - ngoài quốc doanh</t>
  </si>
  <si>
    <t>XL DT</t>
  </si>
  <si>
    <t xml:space="preserve">  4.4- Thuế tài nguyên</t>
  </si>
  <si>
    <t xml:space="preserve">  4.5- Thuế môn bài</t>
  </si>
  <si>
    <t xml:space="preserve">  4.6- Thu khác</t>
  </si>
  <si>
    <t xml:space="preserve"> 5/- Lệ phí trước bạ</t>
  </si>
  <si>
    <t xml:space="preserve"> 6/- Thuế sử dụng đất nông nghiệp</t>
  </si>
  <si>
    <t xml:space="preserve"> 7/- Thuế sử dụng đất phi nông nghiệp</t>
  </si>
  <si>
    <t xml:space="preserve"> 8/- Thuế thu nhập cá nhân</t>
  </si>
  <si>
    <t xml:space="preserve"> 9/- Thuế bảo vệ môi trường</t>
  </si>
  <si>
    <t xml:space="preserve"> 10/- Thu phí, lệ phí</t>
  </si>
  <si>
    <t xml:space="preserve">  10.1- Phí, lệ phí Trung ương</t>
  </si>
  <si>
    <t xml:space="preserve">  10.2- Phí, lệ phí Địa phương</t>
  </si>
  <si>
    <t xml:space="preserve"> 11/- Thu tiền sử dụng đất</t>
  </si>
  <si>
    <t xml:space="preserve"> 12/- Thu tiền thuê đất, mặt nước</t>
  </si>
  <si>
    <t xml:space="preserve"> 17/- Thu tại xã</t>
  </si>
  <si>
    <t xml:space="preserve">  17.1- Thu tiền cho thuê quầy hàng, bán hàng</t>
  </si>
  <si>
    <t xml:space="preserve">  17.2- Thu hồi các khoản chi năm trước (xã)</t>
  </si>
  <si>
    <t xml:space="preserve">  17.3- Thu phạt, tịch thu (xã)</t>
  </si>
  <si>
    <t xml:space="preserve">    Trong đó: Phạt an toàn giao thông</t>
  </si>
  <si>
    <t xml:space="preserve">  17.4- Thu khác (xã)</t>
  </si>
  <si>
    <t xml:space="preserve"> 18/- Các khoản thu về nhà, đất và khoáng sản</t>
  </si>
  <si>
    <t xml:space="preserve">  13.1- Thu thuế chuyển quyền sử dụng đất</t>
  </si>
  <si>
    <t xml:space="preserve">  13.2- Thu tiền cấp quyền khai thác khoáng sản</t>
  </si>
  <si>
    <t xml:space="preserve">    - Trong đó: Phạt an toàn giao thông</t>
  </si>
  <si>
    <t xml:space="preserve">  13.3- Thu tịch thu (không kể tịch thu tại xã)</t>
  </si>
  <si>
    <t xml:space="preserve">  13.4- Thu hồi các khoản chi năm trước</t>
  </si>
  <si>
    <t xml:space="preserve">  13.5- Thu khác còn lại (không kể thu khác tại xã)</t>
  </si>
  <si>
    <t xml:space="preserve"> II/-Thu hải quan</t>
  </si>
  <si>
    <t xml:space="preserve"> 1/- Thuế xuất khẩu</t>
  </si>
  <si>
    <t xml:space="preserve"> 2/- Thuế nhập khẩu</t>
  </si>
  <si>
    <t xml:space="preserve"> 3/- Thuế bảo vệ môi trường do CQ Hải quan thực hiện</t>
  </si>
  <si>
    <t xml:space="preserve"> 4/- Thuế giá trị gia tăng hàng nhập khẩu</t>
  </si>
  <si>
    <t xml:space="preserve"> 5/- Khác</t>
  </si>
  <si>
    <t xml:space="preserve"> III/- Thu viện trợ</t>
  </si>
  <si>
    <t xml:space="preserve"> IV/- Các khoản huy động, đóng góp</t>
  </si>
  <si>
    <t xml:space="preserve"> 1/- Các khoản huy động đóng góp xây dựng cơ sở hạ tầng</t>
  </si>
  <si>
    <t xml:space="preserve"> 2/- Các khoản huy động đóng góp khác</t>
  </si>
  <si>
    <t xml:space="preserve"> 1/- Thu từ bán cổ phần, vốn góp của
Nhà nước nộp ngân sách</t>
  </si>
  <si>
    <t xml:space="preserve"> 2/- Thu từ quỹ dự trữ tài chính</t>
  </si>
  <si>
    <t xml:space="preserve"> B/- VAY CỦA NGÂN SÁCH
ĐỊA PHƯƠNG</t>
  </si>
  <si>
    <t xml:space="preserve"> I/- Vay bù đắp bội chi NSĐP</t>
  </si>
  <si>
    <t xml:space="preserve"> 1/- Vay trong nước</t>
  </si>
  <si>
    <t xml:space="preserve"> 2/- Vay lại từ nguồn Chính phủ vay ngoài nước</t>
  </si>
  <si>
    <t xml:space="preserve"> II/- Vay để trả nợ gốc vay</t>
  </si>
  <si>
    <t xml:space="preserve"> C/- THU CHUYỂN GIAO NGÂN SÁCH</t>
  </si>
  <si>
    <t xml:space="preserve"> I/- Thu bổ sung từ ngân sách cấp trên</t>
  </si>
  <si>
    <t xml:space="preserve"> 1/- Bổ sung cân đối</t>
  </si>
  <si>
    <t xml:space="preserve"> 2/- Bổ sung có mục tiêu</t>
  </si>
  <si>
    <t xml:space="preserve"> 2.1/- Bổ sung có mục tiêu bằng nguồn vốn trong nước</t>
  </si>
  <si>
    <t xml:space="preserve"> 2.2/- Bổ sung có mục tiêu bằng nguồn vốn ngoài nước</t>
  </si>
  <si>
    <t xml:space="preserve"> II/- Thu từ ngân sách cấp dưới nộp lên</t>
  </si>
  <si>
    <t xml:space="preserve"> D/- THU CHUYỂN NGUỒN</t>
  </si>
  <si>
    <t xml:space="preserve"> E/- THU KẾT DƯ NGÂN SÁCH</t>
  </si>
  <si>
    <t xml:space="preserve"> IV/- THU TỪ QUỸ DỰ TRỮ TÀI CHÍNH</t>
  </si>
  <si>
    <t>CŨ TRỞ XuỐNG</t>
  </si>
  <si>
    <t xml:space="preserve"> V/- THU KẾT DƯ NGÂN SÁCH NĂM TRƯỚC</t>
  </si>
  <si>
    <t xml:space="preserve"> VI/- THU CHUYỂN NGUỒN</t>
  </si>
  <si>
    <t xml:space="preserve"> VII/- THU HUY ĐỘNG ĐẦU TƯ</t>
  </si>
  <si>
    <t xml:space="preserve"> B/- CÁC KHOẢN THU ĐƯỢC ĐỂ LẠI ĐƠN VỊ </t>
  </si>
  <si>
    <t>CHI QUẢN LÝ QUA NSNN</t>
  </si>
  <si>
    <t xml:space="preserve"> 1/- Học phí</t>
  </si>
  <si>
    <t xml:space="preserve"> 2/- Các khoản huy động, đóng góp xây dựng CSHT</t>
  </si>
  <si>
    <t xml:space="preserve"> 3/- Thu từ xổ số kiến thiết</t>
  </si>
  <si>
    <t xml:space="preserve">  3.1- Thuế giá trị gia tăng</t>
  </si>
  <si>
    <t xml:space="preserve">  3.3- Thu nhập sau thuế thu nhập doanh nghiệp</t>
  </si>
  <si>
    <t xml:space="preserve">  3.4- Thuế tiêu thụ đặc biệt hàng nội địa</t>
  </si>
  <si>
    <t xml:space="preserve">  3.5- Thuế môn bài</t>
  </si>
  <si>
    <t xml:space="preserve"> C/- THU BỔ SUNG TỪ NGÂN SÁCH CẤP TRÊN</t>
  </si>
  <si>
    <t xml:space="preserve">  1/- Bổ sung cân đối</t>
  </si>
  <si>
    <t xml:space="preserve">  2/- Bổ sung có mục tiêu</t>
  </si>
  <si>
    <t xml:space="preserve">    2.1- BS có mục tiêu bằng nguồn vốn trong nước</t>
  </si>
  <si>
    <t xml:space="preserve">    2.2- BS có mục tiêu bằng nguồn vốn ngoài nước</t>
  </si>
  <si>
    <t xml:space="preserve">    2.3- Tạm thu BS có mục tiêu (TW tạm ứng hụt thu và tạm ứng nguồn làm lương)</t>
  </si>
  <si>
    <t xml:space="preserve"> D/- THU TỪ NGÂN SÁCH CẤP DƯỚI NỘP LÊN</t>
  </si>
  <si>
    <t>TỔNG THU (A+B+C+D)</t>
  </si>
  <si>
    <t>F/- TẠM THU NGÂN SÁCH</t>
  </si>
  <si>
    <t>Giám đốc KBNN tỉnh Cà Mau</t>
  </si>
  <si>
    <t>Giám đốc Sở Tài chính</t>
  </si>
  <si>
    <t>Tổng số</t>
  </si>
  <si>
    <t>So cùng</t>
  </si>
  <si>
    <t>Chi NSĐP</t>
  </si>
  <si>
    <t>NS Tỉnh</t>
  </si>
  <si>
    <t>NS Huyện</t>
  </si>
  <si>
    <t>NS Xã</t>
  </si>
  <si>
    <t>kỳ 2009</t>
  </si>
  <si>
    <t>(3)=(4)+(5)+(6)</t>
  </si>
  <si>
    <t>(4)</t>
  </si>
  <si>
    <t>(5)</t>
  </si>
  <si>
    <t>(6)</t>
  </si>
  <si>
    <t>(7)=(3):(1)</t>
  </si>
  <si>
    <t>(8)=(3):(2)</t>
  </si>
  <si>
    <t>CHI CÂN ĐỐI NGÂN SÁCH (I -&gt;VIII)</t>
  </si>
  <si>
    <t>1.1</t>
  </si>
  <si>
    <t>Chi quốc phòng</t>
  </si>
  <si>
    <t>1.2</t>
  </si>
  <si>
    <t>Chi an ninh và trật tự an toàn xã hội</t>
  </si>
  <si>
    <t>1.3</t>
  </si>
  <si>
    <t>Chi giáo dục - đào tạo và dạy nghề</t>
  </si>
  <si>
    <t>1.4</t>
  </si>
  <si>
    <t>Chi khoa học và công nghệ</t>
  </si>
  <si>
    <t>1.5</t>
  </si>
  <si>
    <t>Chi y tế, dân số và gia đình</t>
  </si>
  <si>
    <t>1.6</t>
  </si>
  <si>
    <t>Chi văn hóa thông tin</t>
  </si>
  <si>
    <t>1.7</t>
  </si>
  <si>
    <t>Chi phát thanh, truyền hình, thông tấn</t>
  </si>
  <si>
    <t>1.8</t>
  </si>
  <si>
    <t>Chỉ thể dục thể thao</t>
  </si>
  <si>
    <t>1.9</t>
  </si>
  <si>
    <t>Chi bảo vệ môi trường</t>
  </si>
  <si>
    <t>1.10</t>
  </si>
  <si>
    <t>Chi các hoạt động kinh tế</t>
  </si>
  <si>
    <t>1.11</t>
  </si>
  <si>
    <t>Chi hoạt động của các cơ quan QLNN, Đảng, đoàn thể</t>
  </si>
  <si>
    <t>1.12</t>
  </si>
  <si>
    <t>Chi bảo đảm xã hội</t>
  </si>
  <si>
    <t>1.13</t>
  </si>
  <si>
    <t>Chi ngành, lĩnh vực khác</t>
  </si>
  <si>
    <t>Chi đầu tư và hỗ trợ vốn cho các doanh nghiệp hoạt động công ích,…</t>
  </si>
  <si>
    <t>Chi đầu tư phát triển khác</t>
  </si>
  <si>
    <t>Trong đó: + Chi Giáo dục Đào tạo và Dạy nghề</t>
  </si>
  <si>
    <t xml:space="preserve">                   + Chi khoa học và công nghệ</t>
  </si>
  <si>
    <t xml:space="preserve">Chi đầu tư XDCB tập trung </t>
  </si>
  <si>
    <t>Trong đó: Chi bổ sung quỹ phát triển đất</t>
  </si>
  <si>
    <t>Chi trả lãi và phí vay</t>
  </si>
  <si>
    <t xml:space="preserve">Chi đầu tư từ nguồn huy động </t>
  </si>
  <si>
    <t>Chi khác</t>
  </si>
  <si>
    <t>Chi trợ giá</t>
  </si>
  <si>
    <t>Chi sự nghiệp kinh tế</t>
  </si>
  <si>
    <t>2.1</t>
  </si>
  <si>
    <t>Chi sự nghiệp nông, lâm, thuỷ lợi</t>
  </si>
  <si>
    <t>2.2</t>
  </si>
  <si>
    <t>Chi sự nghiệp giao thông</t>
  </si>
  <si>
    <t>2.3</t>
  </si>
  <si>
    <t>Chi sự nghiệp kinh tế khác</t>
  </si>
  <si>
    <t>Chi sự nghiệp giáo dục, đào tạo và dạy nghề</t>
  </si>
  <si>
    <t>3.1</t>
  </si>
  <si>
    <t>Chi sự nghiệp giáo dục</t>
  </si>
  <si>
    <t>3.2</t>
  </si>
  <si>
    <t>Chi sự nghiệp đào tạo và dạy nghề</t>
  </si>
  <si>
    <t>3.3</t>
  </si>
  <si>
    <t>Chi đào tạo lại</t>
  </si>
  <si>
    <t>Chi sự nghiệp y tế</t>
  </si>
  <si>
    <t>Chi sự nghiệp khoa học, công nghệ</t>
  </si>
  <si>
    <t>Chi sự nghiệp hoạt động môi trường</t>
  </si>
  <si>
    <t>Sự nghiệp Văn hóa</t>
  </si>
  <si>
    <t>Sự nghiệp Thể thao</t>
  </si>
  <si>
    <t>Chi sự nghiệp phát thanh truyền hình</t>
  </si>
  <si>
    <t>Chi sự nghiệp đảm bảo xã hội</t>
  </si>
  <si>
    <t>Chi quản lý hành chính, đảng, đoàn thể</t>
  </si>
  <si>
    <t>11.1</t>
  </si>
  <si>
    <t>Chi quản lý nhà nước</t>
  </si>
  <si>
    <t>11.2</t>
  </si>
  <si>
    <t>Chi hoạt động Đảng, tổ chức chính trị</t>
  </si>
  <si>
    <t>11.3</t>
  </si>
  <si>
    <t>Chi hỗ trợ Hội, Đoàn thể</t>
  </si>
  <si>
    <t>Chi an ninh</t>
  </si>
  <si>
    <t>Chi trả nợ huy động khoản 3, Điều 8, Luật NSNN</t>
  </si>
  <si>
    <t>IV</t>
  </si>
  <si>
    <t>V</t>
  </si>
  <si>
    <t>Dự phòng ngân sách</t>
  </si>
  <si>
    <t>VI</t>
  </si>
  <si>
    <t>Chi chuyển nguồn</t>
  </si>
  <si>
    <t>VII</t>
  </si>
  <si>
    <t>Chi nguồn làm lương</t>
  </si>
  <si>
    <t>IX</t>
  </si>
  <si>
    <t>Chi hỗ trợ có mục tiêu, CTMTQG</t>
  </si>
  <si>
    <t>Chương trình MTQG Xây dựng nông thôn mới</t>
  </si>
  <si>
    <t>Chương trình MTQG về việc làm và dạy nghề</t>
  </si>
  <si>
    <t>Chương trình HT đảm bảo CL giáo dục trường học</t>
  </si>
  <si>
    <t>Một số mục tiêu, nhiệm vụ khác</t>
  </si>
  <si>
    <t>CHI BỔ SUNG CHO NGÂN SÁCH CẤP DƯỚI</t>
  </si>
  <si>
    <t>Bổ sung cân đối</t>
  </si>
  <si>
    <t>Bổ sung có mục tiêu</t>
  </si>
  <si>
    <t>Bổ sung có mục tiêu bằng nguồn vốn trong nước</t>
  </si>
  <si>
    <t>Bổ sung có mục tiêu bằng nguồn vốn ngoài nước</t>
  </si>
  <si>
    <t>CHI NỘP NGÂN SÁCH CẤP TRÊN</t>
  </si>
  <si>
    <t>TỔNG SỐ (A+B+C)</t>
  </si>
  <si>
    <t xml:space="preserve">Giám đốc KBNN tỉnh Cà Mau     </t>
  </si>
  <si>
    <t>Bao gồm</t>
  </si>
  <si>
    <t>Trong đó</t>
  </si>
  <si>
    <t>TỔNG SỐ</t>
  </si>
  <si>
    <t>Thành phố Cà Mau</t>
  </si>
  <si>
    <t>Huyện U Minh</t>
  </si>
  <si>
    <t>Huyện Thới Bình</t>
  </si>
  <si>
    <t>Huyện Trần Văn Thời</t>
  </si>
  <si>
    <t>Huyện Cái Nước</t>
  </si>
  <si>
    <t>Huyện Đầm Dơi</t>
  </si>
  <si>
    <t>Huyện Năm Căn</t>
  </si>
  <si>
    <t>Huyện Phú Tân</t>
  </si>
  <si>
    <t>Huyện Ngọc Hiển</t>
  </si>
  <si>
    <t xml:space="preserve">     SỞ TÀI CHÍNH</t>
  </si>
  <si>
    <t>Đơn vị : triệu đồng</t>
  </si>
  <si>
    <t>Nội dung</t>
  </si>
  <si>
    <t>GIÁM ĐỐC</t>
  </si>
  <si>
    <t>Bổ sung mục tiêu</t>
  </si>
  <si>
    <t>Chia ra</t>
  </si>
  <si>
    <t>5</t>
  </si>
  <si>
    <t>VIII</t>
  </si>
  <si>
    <t>THUYẾT MINH TÌNH HÌNH SỬ DỤNG NGUỒN DỰ PHÒNG, TĂNG THU</t>
  </si>
  <si>
    <t>Tăng thu NSĐP</t>
  </si>
  <si>
    <t>Thưởng vượt dự toán thu</t>
  </si>
  <si>
    <t>A/- Tổng nguồn</t>
  </si>
  <si>
    <t>B/- Tổng KP sử dụng đã được quyết toán chi NSĐP</t>
  </si>
  <si>
    <t xml:space="preserve"> I- Chi đầu tư phát triển</t>
  </si>
  <si>
    <t xml:space="preserve"> II- Chi hỗ trợ vốn doanh nghiệp nhà nước </t>
  </si>
  <si>
    <t xml:space="preserve"> III- Chi thường xuyên</t>
  </si>
  <si>
    <t xml:space="preserve"> 1. Sự nghiệp kinh tế</t>
  </si>
  <si>
    <t>Trong sự nghiệp kinh tế có chi hỗ trợ</t>
  </si>
  <si>
    <t xml:space="preserve"> 2. Sự nghiệp môi trường</t>
  </si>
  <si>
    <t xml:space="preserve"> 3. Sự nghiệp Văn hóa</t>
  </si>
  <si>
    <t xml:space="preserve"> 4. Sự nghiệp Thể thao</t>
  </si>
  <si>
    <t xml:space="preserve"> 5. Sự nghiệp Phát thanh truyền hình</t>
  </si>
  <si>
    <t xml:space="preserve"> 6. Sự nghiệp y tế</t>
  </si>
  <si>
    <t xml:space="preserve"> 7. Sự nghiệp đảm bảo xã hội</t>
  </si>
  <si>
    <t xml:space="preserve"> 6. Chi quản lý hành chính</t>
  </si>
  <si>
    <t xml:space="preserve"> 7. Chi an ninh quốc phòng</t>
  </si>
  <si>
    <t xml:space="preserve"> 8. Chi sự nghiệp giáo dục đào tạo</t>
  </si>
  <si>
    <t>CM</t>
  </si>
  <si>
    <t>TB</t>
  </si>
  <si>
    <t>UM</t>
  </si>
  <si>
    <t>TVT</t>
  </si>
  <si>
    <t>PT</t>
  </si>
  <si>
    <t>CN</t>
  </si>
  <si>
    <t>DD</t>
  </si>
  <si>
    <t>2=3+4</t>
  </si>
  <si>
    <t>Chương trình mục tiêu phát triển hạ tầng du lịch</t>
  </si>
  <si>
    <t>Đơn vị : Triệu đồng</t>
  </si>
  <si>
    <t>NS cấp tỉnh</t>
  </si>
  <si>
    <t>NS cấp huyện</t>
  </si>
  <si>
    <t>NS cấp xã</t>
  </si>
  <si>
    <t>Hỗ trợ khắc phục hậu quả</t>
  </si>
  <si>
    <t>I/- Nguồn trong nước</t>
  </si>
  <si>
    <t>hạn hán, xâm nhập mặn</t>
  </si>
  <si>
    <t xml:space="preserve"> 1/- Trung ương bổ sung</t>
  </si>
  <si>
    <t xml:space="preserve"> 2/- Các tổ chức, cá nhân trong nước ủng hộ</t>
  </si>
  <si>
    <t xml:space="preserve"> 3/- Nguồn của NSĐP</t>
  </si>
  <si>
    <t xml:space="preserve"> 4/- Các nguồn khác</t>
  </si>
  <si>
    <t>II/- Nguồn viện trợ nước ngoài</t>
  </si>
  <si>
    <t>B/- Tổng kinh phí sử dụng đã được quyết toán chi NSĐP</t>
  </si>
  <si>
    <t xml:space="preserve"> I/- Chi đầu tư XDCB</t>
  </si>
  <si>
    <t xml:space="preserve"> II/- Chi thường xuyên</t>
  </si>
  <si>
    <t>H</t>
  </si>
  <si>
    <t xml:space="preserve">   + Tiền lương tăng thêm</t>
  </si>
  <si>
    <t xml:space="preserve">   + Phụ cấp trưởng phó công an xã</t>
  </si>
  <si>
    <t xml:space="preserve">   + Chế độ CS đối với những người hoạt động không chuyên trách 
xã phường, thị trấn</t>
  </si>
  <si>
    <t>X</t>
  </si>
  <si>
    <t xml:space="preserve">  Trong đó: - Số ô tô tăng</t>
  </si>
  <si>
    <t>7007279</t>
  </si>
  <si>
    <t>7018906</t>
  </si>
  <si>
    <t>7536916</t>
  </si>
  <si>
    <t>7556274</t>
  </si>
  <si>
    <t>7553073</t>
  </si>
  <si>
    <t>Cầu qua sông Tắc Thủ thuộc đường Vành đai 1, thành phố Cà Mau</t>
  </si>
  <si>
    <t>7440195</t>
  </si>
  <si>
    <t>7544671</t>
  </si>
  <si>
    <t>7542369</t>
  </si>
  <si>
    <t>7492853</t>
  </si>
  <si>
    <t>Hàng rào Khu trung tâm hành chính huyện Ngọc Hiển</t>
  </si>
  <si>
    <t>7546552</t>
  </si>
  <si>
    <t>7554947</t>
  </si>
  <si>
    <t>Bệnh viện Điều dưỡng và Phục hồi chức năng</t>
  </si>
  <si>
    <t>LĨNH VỰC GIÁO DỤC VÀ ĐÀO TẠO</t>
  </si>
  <si>
    <t>Trường THCS Hiệp Tùng, huyện Năm Căn</t>
  </si>
  <si>
    <t>LĨNH VỰC VĂN HÓA - XÃ HỘI</t>
  </si>
  <si>
    <t>Bảo tàng tỉnh Cà Mau</t>
  </si>
  <si>
    <t>D</t>
  </si>
  <si>
    <t>7089451</t>
  </si>
  <si>
    <t>7008862</t>
  </si>
  <si>
    <t>7008874</t>
  </si>
  <si>
    <t>7021553</t>
  </si>
  <si>
    <t>7</t>
  </si>
  <si>
    <t>8</t>
  </si>
  <si>
    <t>7021576</t>
  </si>
  <si>
    <t>9</t>
  </si>
  <si>
    <t>7021597</t>
  </si>
  <si>
    <t>10</t>
  </si>
  <si>
    <t>7021529</t>
  </si>
  <si>
    <t>11</t>
  </si>
  <si>
    <t>12</t>
  </si>
  <si>
    <t>13</t>
  </si>
  <si>
    <t>14</t>
  </si>
  <si>
    <t>7003165</t>
  </si>
  <si>
    <t>15</t>
  </si>
  <si>
    <t>16</t>
  </si>
  <si>
    <t>17</t>
  </si>
  <si>
    <t>7478495</t>
  </si>
  <si>
    <t>18</t>
  </si>
  <si>
    <t>19</t>
  </si>
  <si>
    <t>20</t>
  </si>
  <si>
    <t>Cầu qua sông Rạch Gốc, xã Tân Ân, huyện Ngọc Hiển</t>
  </si>
  <si>
    <t>7546546</t>
  </si>
  <si>
    <t>E</t>
  </si>
  <si>
    <t>Bệnh viện Lao và bệnh phổi tỉnh Cà Mau</t>
  </si>
  <si>
    <t>Bệnh viện Y học cổ truyền tỉnh Cà Mau</t>
  </si>
  <si>
    <t>Trụ sở hành chính xã Tân Bằng, huyện Thới Bình</t>
  </si>
  <si>
    <t>Trụ sở hành chính xã Hồ Thị Kỷ, huyện Thới Bình</t>
  </si>
  <si>
    <t>Trụ sở hành chính xã Khánh Tiến, huyện U Minh</t>
  </si>
  <si>
    <t>Trụ sở hành chính xã Nguyễn Việt Khái, huyện Phú Tân</t>
  </si>
  <si>
    <t>Trụ sở hành chính xã Viên An Đông, huyện Ngọc Hiển</t>
  </si>
  <si>
    <t>Trụ sở hành chính xã Hòa Tân, thành phố Cà Mau</t>
  </si>
  <si>
    <t>Bệnh viện đa khoa khu vực Đầm Dơi</t>
  </si>
  <si>
    <t>7003533</t>
  </si>
  <si>
    <t>7008259</t>
  </si>
  <si>
    <t>7059535</t>
  </si>
  <si>
    <t>7418403</t>
  </si>
  <si>
    <t>7007534</t>
  </si>
  <si>
    <t>Vườn Quốc gia U Minh Hạ</t>
  </si>
  <si>
    <t>Dự án đầu tư nâng cấp đê biển Tây tỉnh Cà Mau</t>
  </si>
  <si>
    <t>Tuyến đường trục chính Khu kinh tế Năm Căn, tỉnh Cà Mau (giai đoạn 1)</t>
  </si>
  <si>
    <t>7506608</t>
  </si>
  <si>
    <t>2.4</t>
  </si>
  <si>
    <t>Trường THPT Trần Văn Thời</t>
  </si>
  <si>
    <t>Trường THPT Thới Bình</t>
  </si>
  <si>
    <t>Trường THPT Thái Thanh Hòa</t>
  </si>
  <si>
    <t>Trường THPT Nguyễn Mai</t>
  </si>
  <si>
    <t>Trường THPT Hồ Thị Kỷ</t>
  </si>
  <si>
    <t>Trường THPT Đầm Dơi</t>
  </si>
  <si>
    <t>Chương trình MTQG về văn hóa</t>
  </si>
  <si>
    <t>Chương trình MTQG về y tế</t>
  </si>
  <si>
    <t>Đầu tư</t>
  </si>
  <si>
    <t>Kinh phí sự nghiệp</t>
  </si>
  <si>
    <t>Ngân sách cấp tỉnh</t>
  </si>
  <si>
    <t>Ngân sách huyện (có ngân sách xã)</t>
  </si>
  <si>
    <t>NC</t>
  </si>
  <si>
    <t>NH</t>
  </si>
  <si>
    <t>Trung tâm Khuyến nông tỉnh Cà Mau</t>
  </si>
  <si>
    <t>VP Hội Liên hiệp Phụ nữ tỉnh Cà Mau</t>
  </si>
  <si>
    <t>Chi cục Trồng trọt và Bảo vệ thực vật tỉnh Cà Mau</t>
  </si>
  <si>
    <t>ĐVT: Triệu đồng</t>
  </si>
  <si>
    <t>Chi đầu tư phát triển cho chương trình,
dự án theo lĩnh vực</t>
  </si>
  <si>
    <t>tỉnh hưởng cao do có nguồn thu xổ số</t>
  </si>
  <si>
    <t>Tổng số chi cân đối ngân sách</t>
  </si>
  <si>
    <t>Chi hoạt động của các cơ quan QLNN,
Đảng, đoàn thể</t>
  </si>
  <si>
    <t xml:space="preserve"> V/- Thu hồi vốn của Nhà nước và
thu từ quỹ dự trữ tài chính </t>
  </si>
  <si>
    <t xml:space="preserve"> 9. Chi sự nghiệp khoa học công nghệ</t>
  </si>
  <si>
    <t xml:space="preserve"> 10. Các khoản chi khác</t>
  </si>
  <si>
    <t>Cà Mau, ngày       tháng 9 năm 2018</t>
  </si>
  <si>
    <t>Mẫu biểu số 68</t>
  </si>
  <si>
    <t>ok</t>
  </si>
  <si>
    <t>Mẫu biểu số 69</t>
  </si>
  <si>
    <t>Số kiến nghị của</t>
  </si>
  <si>
    <t>Số tồn tại chưa xử lý</t>
  </si>
  <si>
    <t>Thanh tra</t>
  </si>
  <si>
    <t>Kiểm toán</t>
  </si>
  <si>
    <t>Kiến nghị của kiểm toán, thanh tra các năm trước còn tồn tại chưa xử lý</t>
  </si>
  <si>
    <t>Các khoản thu phải nộp ngân sách</t>
  </si>
  <si>
    <t>Kiểm toán năm 2017 (niên độ 2016)</t>
  </si>
  <si>
    <t>Kiểm toán năm 2010 (niên độ 2009)</t>
  </si>
  <si>
    <t>Các khoản ghi thu, ghi chi vào ngân sách</t>
  </si>
  <si>
    <t>Kiểm toán năm 2016 (niên độ 2015)</t>
  </si>
  <si>
    <t>Kiểm toán năm 2014 (niên độ 2013)</t>
  </si>
  <si>
    <t>Kiểm toán năm 2012 (niên độ 2011)</t>
  </si>
  <si>
    <t>Số chi sai chế độ phải xuất toán</t>
  </si>
  <si>
    <t>Nộp trả ngân sách</t>
  </si>
  <si>
    <t>Cơ quan tài chính giảm trừ cấp phát</t>
  </si>
  <si>
    <t>3.4</t>
  </si>
  <si>
    <t>Kiểm toán năm 2013 (niên độ 2012)</t>
  </si>
  <si>
    <t>3.5</t>
  </si>
  <si>
    <t>3.6</t>
  </si>
  <si>
    <t xml:space="preserve">Các khoản nợ đọng </t>
  </si>
  <si>
    <t>Chuyển quyết toán ngân sách năm sau</t>
  </si>
  <si>
    <t xml:space="preserve">III </t>
  </si>
  <si>
    <t>Các vấn đề khác liên quan cần giải trình</t>
  </si>
  <si>
    <t>Cà Mau, ngày       tháng  9 năm 2018</t>
  </si>
  <si>
    <t>Số quyết toán chi tăng, giảm so dự toán</t>
  </si>
  <si>
    <t>Do chính sách thay đổi</t>
  </si>
  <si>
    <t>Nhiệm vụ chi đột xuất được bổ sung</t>
  </si>
  <si>
    <t xml:space="preserve">Mua sắm tài sản khác </t>
  </si>
  <si>
    <t>QT</t>
  </si>
  <si>
    <t>DT</t>
  </si>
  <si>
    <t>rồi ok</t>
  </si>
  <si>
    <t>BSKP thực hiện đề án trí thức trẻ ở xã, phường, thị trấn năm 2017</t>
  </si>
  <si>
    <t xml:space="preserve">        SỞ TÀI CHÍNH</t>
  </si>
  <si>
    <t>rồi</t>
  </si>
  <si>
    <t xml:space="preserve">   UBND TỈNH CÀ MAU</t>
  </si>
  <si>
    <t>Mẫu biểu số 66</t>
  </si>
  <si>
    <t>Mẫu biểu số: 60</t>
  </si>
  <si>
    <t>Mẫu biểu số: 61</t>
  </si>
  <si>
    <t>Mẫu biểu số: 62</t>
  </si>
  <si>
    <t>Mẫu biểu số 67</t>
  </si>
  <si>
    <t>Tên đơn vị</t>
  </si>
  <si>
    <t>So sánh (%)</t>
  </si>
  <si>
    <t>Chi đầu tư phát triển
(Không kể CT MTQG)</t>
  </si>
  <si>
    <t>..</t>
  </si>
  <si>
    <t>Chi bổ sung
quỹ dự trữ tài chính</t>
  </si>
  <si>
    <t>Chi chương trình MTQG</t>
  </si>
  <si>
    <t>Chi chuyển nguồn sang
ngân sách năm sau</t>
  </si>
  <si>
    <t>Chi đầu
tư phát triển</t>
  </si>
  <si>
    <t>…</t>
  </si>
  <si>
    <t>Chi thường
xuyên</t>
  </si>
  <si>
    <t>13=4/1</t>
  </si>
  <si>
    <t>14=5/2</t>
  </si>
  <si>
    <t>CÁC CƠ QUAN, TỔ CHỨC</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</si>
  <si>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</si>
  <si>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</si>
  <si>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</si>
  <si>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</si>
  <si>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</si>
  <si>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</si>
  <si>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</si>
  <si>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</si>
  <si>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</si>
  <si>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</si>
  <si>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</si>
  <si>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</si>
  <si>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</si>
  <si>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</si>
  <si>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</si>
  <si>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</si>
  <si>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</si>
  <si>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</si>
  <si>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</si>
  <si>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</si>
  <si>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</si>
  <si>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</si>
  <si>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</si>
  <si>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</si>
  <si>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</si>
  <si>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</si>
  <si>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</si>
  <si>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</si>
  <si>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</si>
  <si>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</si>
  <si>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</si>
  <si>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</si>
  <si>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</si>
  <si>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Chi cục Thủy sản</t>
  </si>
  <si>
    <t>54</t>
  </si>
  <si>
    <t>55</t>
  </si>
  <si>
    <t>56</t>
  </si>
  <si>
    <t>57</t>
  </si>
  <si>
    <t>58</t>
  </si>
  <si>
    <t>59</t>
  </si>
  <si>
    <t>60</t>
  </si>
  <si>
    <t>61</t>
  </si>
  <si>
    <t>Thư viện tỉnh Cà Mau</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</si>
  <si>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</si>
  <si>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</si>
  <si>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</si>
  <si>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</si>
  <si>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</si>
  <si>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</si>
  <si>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</si>
  <si>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</si>
  <si>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</si>
  <si>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</si>
  <si>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</si>
  <si>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</si>
  <si>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</si>
  <si>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</si>
  <si>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</si>
  <si>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</si>
  <si>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</si>
  <si>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</si>
  <si>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</si>
  <si>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</si>
  <si>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</si>
  <si>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</si>
  <si>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</si>
  <si>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</si>
  <si>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</si>
  <si>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</si>
  <si>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</si>
  <si>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</si>
  <si>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Chi cục Quản lý chất lượng nông lâm sản và thủy sản</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</si>
  <si>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</si>
  <si>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</si>
  <si>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</si>
  <si>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</si>
  <si>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</si>
  <si>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</si>
  <si>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</si>
  <si>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</si>
  <si>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</si>
  <si>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</si>
  <si>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</si>
  <si>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</si>
  <si>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</si>
  <si>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</si>
  <si>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</si>
  <si>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</si>
  <si>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</si>
  <si>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</si>
  <si>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</si>
  <si>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</si>
  <si>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</si>
  <si>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</si>
  <si>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</si>
  <si>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</si>
  <si>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</si>
  <si>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</si>
  <si>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</si>
  <si>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</si>
  <si>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</si>
  <si>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</si>
  <si>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</si>
  <si>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</si>
  <si>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</si>
  <si>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</si>
  <si>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</si>
  <si>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</si>
  <si>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</si>
  <si>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</si>
  <si>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Hạt Quản lý đê điều</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</si>
  <si>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</si>
  <si>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</si>
  <si>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</si>
  <si>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</si>
  <si>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</si>
  <si>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</si>
  <si>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</si>
  <si>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</si>
  <si>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</si>
  <si>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</si>
  <si>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</si>
  <si>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</si>
  <si>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</si>
  <si>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</si>
  <si>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</si>
  <si>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</si>
  <si>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</si>
  <si>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</si>
  <si>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</si>
  <si>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</si>
  <si>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</si>
  <si>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</si>
  <si>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</si>
  <si>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</si>
  <si>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</si>
  <si>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</si>
  <si>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</si>
  <si>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</si>
  <si>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</si>
  <si>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</si>
  <si>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</si>
  <si>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</si>
  <si>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</si>
  <si>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</si>
  <si>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</si>
  <si>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</si>
  <si>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</si>
  <si>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</si>
  <si>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</si>
  <si>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</si>
  <si>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</si>
  <si>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</si>
  <si>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</si>
  <si>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</si>
  <si>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</si>
  <si>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</si>
  <si>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</si>
  <si>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</si>
  <si>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</si>
  <si>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Trung tâm Quản lý, bảo trì công trình giao thông</t>
  </si>
  <si>
    <t>Chi đầu tư phát triển cho chương trình, dự án</t>
  </si>
  <si>
    <t>CHI MỘT SỐ NHIỆM VỤ KHÁC THEO CHẾ ĐỘ</t>
  </si>
  <si>
    <t>Công an tỉnh Cà Mau</t>
  </si>
  <si>
    <t>Hội Hữu nghị Việt Nam - Hàn Quốc tỉnh Cà Mau</t>
  </si>
  <si>
    <t>CHI TRẢ NỢ GỐC</t>
  </si>
  <si>
    <t>CHI CHUYỂN NGUỒN</t>
  </si>
  <si>
    <t>CHI BỔ SUNG QUỸ DTTC</t>
  </si>
  <si>
    <t>Vốn thực hiện</t>
  </si>
  <si>
    <t>CTMT</t>
  </si>
  <si>
    <t>giảm nghèo</t>
  </si>
  <si>
    <t>dt</t>
  </si>
  <si>
    <t>sn</t>
  </si>
  <si>
    <t>ntm</t>
  </si>
  <si>
    <t>Vốn
ngoài nước</t>
  </si>
  <si>
    <t>Vốn
trong nước</t>
  </si>
  <si>
    <t>Kinh phí
sự nghiệp</t>
  </si>
  <si>
    <t>Chi đầu tư
phát triển</t>
  </si>
  <si>
    <t xml:space="preserve">            - Trung ương bù hụt thu là</t>
  </si>
  <si>
    <t>Kết dư Nguồn XSKT vượt thu, sử dụng đất</t>
  </si>
  <si>
    <t>Mẫu biểu số 58</t>
  </si>
  <si>
    <t>ĐVT: Đồng</t>
  </si>
  <si>
    <t>Mã tính chất nguồn kinh phí</t>
  </si>
  <si>
    <t>Loại, Khoản</t>
  </si>
  <si>
    <t>Mục, Tiểu mục</t>
  </si>
  <si>
    <t>Số dư tài khoản tiền gửi</t>
  </si>
  <si>
    <t>Kinh phi thường xuyên</t>
  </si>
  <si>
    <t>a</t>
  </si>
  <si>
    <t>- Kinh phí được giao tự chủ</t>
  </si>
  <si>
    <t>b</t>
  </si>
  <si>
    <t>c</t>
  </si>
  <si>
    <t>- Kinh phí được giao không tự chủ</t>
  </si>
  <si>
    <t>Kinh phí chương trình MTQG và
chương trình mục tiêu (chi tiết từng chương trình)</t>
  </si>
  <si>
    <t>GIÁM ĐỐC KBNN TỈNH CÀ MAU</t>
  </si>
  <si>
    <t>GIÁM ĐỐC SỞ TÀI CHÍNH</t>
  </si>
  <si>
    <t>Số TT</t>
  </si>
  <si>
    <t>Địa điểm mở tài khoản</t>
  </si>
  <si>
    <t>Mã dự án đầu tư</t>
  </si>
  <si>
    <t>Tổng mức đầu tư</t>
  </si>
  <si>
    <t>Lũy kế vốn đã thanh toán từ K/C đến hết niên độ năm trước</t>
  </si>
  <si>
    <t>Lũy kế số vốn tạm ứng theo chế độ chưa thu hồi đến hết năm quyết toán</t>
  </si>
  <si>
    <t>Kế hoạch vốn được kéo dài</t>
  </si>
  <si>
    <t>Thanh toán</t>
  </si>
  <si>
    <t>Kế hoạch vốn được phép kéo dài sang năm sau (nếu có)</t>
  </si>
  <si>
    <t>Số vốn còn lại chưa thanh toán hủy bỏ (nếu có)</t>
  </si>
  <si>
    <t>Tr. đó: vốn tạm ứng theo chế độ chưa thu hồi</t>
  </si>
  <si>
    <t>Số vốn thanh toán KLHT</t>
  </si>
  <si>
    <t>Số vốn tạm ứng theo chế độ chưa thu hồi</t>
  </si>
  <si>
    <t>11=12+13</t>
  </si>
  <si>
    <t>15=10-11-14</t>
  </si>
  <si>
    <t>17=18+19</t>
  </si>
  <si>
    <t>21=16-17-20</t>
  </si>
  <si>
    <t>22=9+12+18</t>
  </si>
  <si>
    <t>23=7-8-9+13+19</t>
  </si>
  <si>
    <t>24=6+11+17</t>
  </si>
  <si>
    <t>(1)</t>
  </si>
  <si>
    <t>(2)</t>
  </si>
  <si>
    <t>Chương trình MTQG giảm nghèo bền vững</t>
  </si>
  <si>
    <t>Giao thông</t>
  </si>
  <si>
    <t>Thủy lợi</t>
  </si>
  <si>
    <t>Y tế</t>
  </si>
  <si>
    <t>0961</t>
  </si>
  <si>
    <t>Các công trình cấp nước tập trung nông thôn</t>
  </si>
  <si>
    <t>Trụ sở Hạt Kiểm lâm cụm đảo Hòn Khoai</t>
  </si>
  <si>
    <t xml:space="preserve">GIAO THÔNG </t>
  </si>
  <si>
    <t>7556689</t>
  </si>
  <si>
    <t>Nâng cấp, mở rộng đường Đầm Dơi - Cái Nước - Cái Đôi Vàm, ĐT.986 (đoạn từ Quốc lộ 1 đến cống Cây Hương), thị trấn Cái Nước, huyện Cái Nước</t>
  </si>
  <si>
    <t>Chủ tịch UBND huyện Năm Căn</t>
  </si>
  <si>
    <t>Chủ tịch UBND huyện Đầm Dơi</t>
  </si>
  <si>
    <t>7597269</t>
  </si>
  <si>
    <t>7565716</t>
  </si>
  <si>
    <t xml:space="preserve">Dự án đầu tư xây dựng đường giao thông trục chính D6 Khu công nghiệp Khánh An (giai đoạn 1) </t>
  </si>
  <si>
    <t>KHOA HỌC VÀ CÔNG NGHỆ, MÔI TRƯỜNG, THÔNG TIN VÀ TRUYỀN THÔNG</t>
  </si>
  <si>
    <t>Dự án đầu tư xây dựng mới, thay thế thiết bị cho các Đài Truyền thanh cấp xã</t>
  </si>
  <si>
    <t>Công trình đường giao thông từ khu trung tâm Công viên văn hóa du lịch Mũi Cà Mau đấu nối vào lộ đường giao thông qua các hộ dân làm du lịch cộng đồng</t>
  </si>
  <si>
    <t xml:space="preserve">Trụ sở làm việc Huyện ủy Ngọc Hiển </t>
  </si>
  <si>
    <t>Trụ sở Ủy ban nhân dân tỉnh Cà Mau</t>
  </si>
  <si>
    <t>Trụ sở làm việc Ban Quản lý rừng phòng hộ Năm Căn, huyện Năm Căn</t>
  </si>
  <si>
    <t>Trụ sở hành chính thị trấn Cái Đôi Vàm, huyện Phú Tân</t>
  </si>
  <si>
    <t>Trụ sở hành chính thị trấn U Minh, huyện U Minh</t>
  </si>
  <si>
    <t>Ủy ban nhân dân huyện U Minh</t>
  </si>
  <si>
    <t>Cải tạo, mở rộng Trụ sở HĐND - UBND huyện Trần Văn Thời</t>
  </si>
  <si>
    <t>Kho lưu trữ tài liệu của các cơ quan hành chính huyện Đầm Dơi</t>
  </si>
  <si>
    <t>Kho lưu trữ Huyện ủy và phòng họp Ban Chấp hành Đảng bộ huyện Phú Tân</t>
  </si>
  <si>
    <t>VỐN CHUẨN BỊ ĐẦU TƯ</t>
  </si>
  <si>
    <t>Sở Kế hoạch và Đầu tư trình UBND tỉnh</t>
  </si>
  <si>
    <t>Trụ sở hành chính phường 5, thành phố Cà Mau</t>
  </si>
  <si>
    <t>Dự án đầu tư xây dựng cơ sở hạ tầng Vườn Quốc gia Mũi Cà Mau</t>
  </si>
  <si>
    <t>Hỗ trợ ngân sách huyện Ngọc Hiển</t>
  </si>
  <si>
    <t>Hỗ trợ ngân sách huyện Thới Bình</t>
  </si>
  <si>
    <t>Nhiều công trình</t>
  </si>
  <si>
    <t>Bệnh viện đa khoa huyện Thới Bình</t>
  </si>
  <si>
    <t>Cải tạo, nâng cấp Trường THCS Tân Lộc, huyện Thới Bình</t>
  </si>
  <si>
    <t>Đầu tư xây dựng kết cấu hạ tầng xây dựng nông thôn mới</t>
  </si>
  <si>
    <t>7586950</t>
  </si>
  <si>
    <t>7562293</t>
  </si>
  <si>
    <t xml:space="preserve">Đề án xây dựng trụ sở hành chính cấp xã  </t>
  </si>
  <si>
    <t>Trụ sở hành chính xã Hàm Rồng, huyện Năm Căn</t>
  </si>
  <si>
    <t>Cải tạo, mở rộng trụ sở hành chính xã Khánh An, huyện U Minh</t>
  </si>
  <si>
    <t>Trụ sở hành chính xã Định Bình, thành phố Cà Mau</t>
  </si>
  <si>
    <t>Nâng cấp, sửa chữa Trụ sở hành chính xã Quách Phẩm Bắc, huyện Đầm Dơi</t>
  </si>
  <si>
    <t>Nâng cấp, sửa chữa Trụ sở hành chính xã Tân Duyệt, huyện Đầm Dơi</t>
  </si>
  <si>
    <t>Đối ứng Dự án "Chống chịu khí hậu tổng hợp và sinh kế bền vững ĐBSCL", tỉnh Cà Mau</t>
  </si>
  <si>
    <t>G</t>
  </si>
  <si>
    <t>Chương trình mục tiêu phát triển kinh tế-xã hội các vùng</t>
  </si>
  <si>
    <t>XD hệ thống thủy lợi tiểu vùng VII-Nam Cà Mau</t>
  </si>
  <si>
    <t>Dự án đầu tư khu tái định cư rừng phòng hộ biển Tây, huyện Phú Tân</t>
  </si>
  <si>
    <t>Ngành Y tế</t>
  </si>
  <si>
    <t>Dự án hỗ trợ xử lý chất thải các bệnh viện tỉnh Cà Mau</t>
  </si>
  <si>
    <t>Bệnh viện đa khoa khu vực Năm Căn</t>
  </si>
  <si>
    <t>7475490</t>
  </si>
  <si>
    <t>Đề án Nông thôn mới xã Viên An, Ngọc Hiển</t>
  </si>
  <si>
    <t>7476752</t>
  </si>
  <si>
    <t>Tuyến đường tránh trung tâm thị trấn Thới Bình, huyện Thới Bình</t>
  </si>
  <si>
    <t>7002179</t>
  </si>
  <si>
    <t>7003168</t>
  </si>
  <si>
    <t>7003241</t>
  </si>
  <si>
    <t>7007359</t>
  </si>
  <si>
    <t>7008393</t>
  </si>
  <si>
    <t>7008853</t>
  </si>
  <si>
    <t>7008882</t>
  </si>
  <si>
    <t>7011317</t>
  </si>
  <si>
    <t>7011496</t>
  </si>
  <si>
    <t>7021616</t>
  </si>
  <si>
    <t>7065674</t>
  </si>
  <si>
    <t>7148997</t>
  </si>
  <si>
    <t>7157075</t>
  </si>
  <si>
    <t>7002715</t>
  </si>
  <si>
    <t>7002748</t>
  </si>
  <si>
    <t>7002783</t>
  </si>
  <si>
    <t>7002790</t>
  </si>
  <si>
    <t>7002173</t>
  </si>
  <si>
    <t>7025175</t>
  </si>
  <si>
    <t>7068810</t>
  </si>
  <si>
    <t>7098463</t>
  </si>
  <si>
    <t>7182289</t>
  </si>
  <si>
    <t>Sự
nghiệp</t>
  </si>
  <si>
    <t>Tổng
số</t>
  </si>
  <si>
    <t>Mẫu biểu số: 49</t>
  </si>
  <si>
    <t>vàng bc BTC</t>
  </si>
  <si>
    <t>Cà Mau, ngày       tháng 11 năm 2018</t>
  </si>
  <si>
    <r>
      <t xml:space="preserve">      UBND TỈNH CÀ MAU
            </t>
    </r>
    <r>
      <rPr>
        <b/>
        <sz val="13"/>
        <color theme="1"/>
        <rFont val="Times New Roman"/>
        <family val="1"/>
      </rPr>
      <t>SỞ TÀI CHÍNH</t>
    </r>
  </si>
  <si>
    <t>Mẫu biểu số 70</t>
  </si>
  <si>
    <t>SỞ TÀI CHÍNH</t>
  </si>
  <si>
    <t>Đơn vị tính; Triệu đồng</t>
  </si>
  <si>
    <t>TT</t>
  </si>
  <si>
    <t>Năm trước (năm liền kề)</t>
  </si>
  <si>
    <t>Năm báo cáo</t>
  </si>
  <si>
    <t>Năm báo cáo so với năm liền kề</t>
  </si>
  <si>
    <t>Giải trình</t>
  </si>
  <si>
    <t>Số tuyệt đối</t>
  </si>
  <si>
    <t>Số tương đối (%)</t>
  </si>
  <si>
    <t>3=2-1</t>
  </si>
  <si>
    <t xml:space="preserve">TỔNG SỐ </t>
  </si>
  <si>
    <t>Chi đầu tư phát triển thực hiện chuyển sang năm theo quy định của Luật đầu tư công. Trường hợp đặc biệt, Thủ tướng Chính phủ quyết định về việc cho phép chuyển nguồn sang năm sau nữa, nhưng không quá thời hạn giải ngân của dự án nằm trong kế hoạch đầu tư công trung hạn</t>
  </si>
  <si>
    <t>Chi mua sắm trang thiết bị đã đầy đủ hồ sơ, hợp đồng mua sắm thiết bị ký trước ngày 31 tháng 12 năm thực hiện dự toán</t>
  </si>
  <si>
    <t>Nguồn thực hiện chính sách tiền lương, phụ cấp, trợ cấp và các khoản tính theo lương cơ sở, bảo trợ xã hội.</t>
  </si>
  <si>
    <t xml:space="preserve">Nguồn thu sự nghiệp của các đơn vị được để lại theo quy định </t>
  </si>
  <si>
    <t>Kinh phí được giao tự chủ của các đơn vị sự nghiệp công lập và các cơ quan nhà nước; các khoản viện trợ không hoàn lại đã xác định nhiệm vụ chi</t>
  </si>
  <si>
    <t>Các khoản dự toán được cấp có thẩm quyền bổ sung sau ngày 30 tháng 9 năm thực hiện dự toán, không bao gồm các khoản bổ sung do các đơn vị dự toán cấp trên điều chỉnh dự toán đã giao của các đơn vị dự toán trực thuộc</t>
  </si>
  <si>
    <t>Kinh phí nghiên cứu khoa học bố trí cho các đề tài, dự án nghiên cứu khoa học được cấp có thẩm quyền quyết định đang trong thời gian thực hiện</t>
  </si>
  <si>
    <t>PHÒNG QL NGÂN SÁCH</t>
  </si>
  <si>
    <t>4=2/1</t>
  </si>
  <si>
    <t>Đơn vị</t>
  </si>
  <si>
    <t>Dự toán năm được chi</t>
  </si>
  <si>
    <t>Dự toán giao đầu năm</t>
  </si>
  <si>
    <t>Số dư dự toán</t>
  </si>
  <si>
    <t>Số dư tạm ứng</t>
  </si>
  <si>
    <t>201</t>
  </si>
  <si>
    <t>221</t>
  </si>
  <si>
    <t>271</t>
  </si>
  <si>
    <t>272</t>
  </si>
  <si>
    <t>278</t>
  </si>
  <si>
    <t>281</t>
  </si>
  <si>
    <t>282</t>
  </si>
  <si>
    <t>283</t>
  </si>
  <si>
    <t>284</t>
  </si>
  <si>
    <t>285</t>
  </si>
  <si>
    <t>292</t>
  </si>
  <si>
    <t>294</t>
  </si>
  <si>
    <t>297</t>
  </si>
  <si>
    <t>302</t>
  </si>
  <si>
    <t>309</t>
  </si>
  <si>
    <t>311</t>
  </si>
  <si>
    <t>314</t>
  </si>
  <si>
    <t>321</t>
  </si>
  <si>
    <t>322</t>
  </si>
  <si>
    <t>332</t>
  </si>
  <si>
    <t>338</t>
  </si>
  <si>
    <t>341</t>
  </si>
  <si>
    <t>361</t>
  </si>
  <si>
    <t>362</t>
  </si>
  <si>
    <t>368</t>
  </si>
  <si>
    <t>372</t>
  </si>
  <si>
    <t>Dự toán năm trước chuyển sang</t>
  </si>
  <si>
    <t>Mẫu biểu số 59</t>
  </si>
  <si>
    <t>CÂN ĐỐI QUYẾT TOÁN NGÂN SÁCH ĐỊA PHƯƠNG NĂM 2018</t>
  </si>
  <si>
    <t xml:space="preserve"> 1/- Thu từ DNNN do Trung ương quản lý</t>
  </si>
  <si>
    <t xml:space="preserve">  1.2- Thuế thu nhập doanh nghiệp</t>
  </si>
  <si>
    <t xml:space="preserve">  1.3- Thuế tiêu thụ đặc biệt</t>
  </si>
  <si>
    <t xml:space="preserve">  1.1- Thuế giá trị gia tăng </t>
  </si>
  <si>
    <t xml:space="preserve"> 2/- Thu từ DNNN do địa phương quản lý</t>
  </si>
  <si>
    <t xml:space="preserve">  2.1- Thuế giá trị gia tăng</t>
  </si>
  <si>
    <t xml:space="preserve">  2.2- Thuế thu nhập doanh nghiệp</t>
  </si>
  <si>
    <t xml:space="preserve">  2.3- Thuế tiêu thụ đặc biệt</t>
  </si>
  <si>
    <t xml:space="preserve">  4.1- Thuế giá trị gia tăng</t>
  </si>
  <si>
    <t xml:space="preserve">  4.2- Thuế thu nhập doanh nghiệp</t>
  </si>
  <si>
    <t xml:space="preserve">  4.3- Thuế tiêu thụ đặc biệt</t>
  </si>
  <si>
    <t xml:space="preserve">  3.3- Thuế tiêu thụ đặc biệt</t>
  </si>
  <si>
    <t xml:space="preserve">  3.4- Thuế môn bài</t>
  </si>
  <si>
    <t xml:space="preserve">  3.5- Tiền thuê mặt đất, mặt nước, mặt biển</t>
  </si>
  <si>
    <t xml:space="preserve">  3.6- Thuế tài nguyên</t>
  </si>
  <si>
    <t xml:space="preserve">  3.7- Thu khác</t>
  </si>
  <si>
    <t xml:space="preserve"> 3/-Thuế tiêu thụ đặt biệt hàng nhập khẩu</t>
  </si>
  <si>
    <t xml:space="preserve"> 13/- Thu tiền sử dụng khu vực biển</t>
  </si>
  <si>
    <t xml:space="preserve"> 14/- Thu từ bán tài sản nhà nước</t>
  </si>
  <si>
    <t xml:space="preserve"> 15/- Thu từ tài sản được xác lập quyền sở hữu nhà nước</t>
  </si>
  <si>
    <t xml:space="preserve"> 16/- Thu tiền cho thuê và bán nhà ở thuộc sở hữu nhà nước</t>
  </si>
  <si>
    <t xml:space="preserve"> 17/- Thu khác ngân sách</t>
  </si>
  <si>
    <t xml:space="preserve"> 18/- Thu tiền cấp quyền khai thác khoáng sản</t>
  </si>
  <si>
    <t xml:space="preserve"> 19/- Thu từ quỹ đất công ích và thu hoa lợi công sản khác</t>
  </si>
  <si>
    <t xml:space="preserve"> 20/- Thu cổ tức và lợi nhuận sau thuế</t>
  </si>
  <si>
    <t xml:space="preserve"> 21/- Thu từ hoạt động xổ số kiến thiết</t>
  </si>
  <si>
    <t>Dự toán năm 2018</t>
  </si>
  <si>
    <t xml:space="preserve"> 22/- Thu cố định tại xã</t>
  </si>
  <si>
    <t xml:space="preserve">    Trong đó: nguồn vốn ODA</t>
  </si>
  <si>
    <t>Quyết toán chi năm 2018</t>
  </si>
  <si>
    <t>QUYẾT TOÁN CÂN ĐỐI NGÂN SÁCH ĐỊA PHƯƠNG NĂM 2018</t>
  </si>
  <si>
    <t>KẾT DƯ</t>
  </si>
  <si>
    <t>T</t>
  </si>
  <si>
    <t>KẾT DƯ NGÂN SÁCH NĂM 2018</t>
  </si>
  <si>
    <t>năm 2018</t>
  </si>
  <si>
    <t>THU NSĐP</t>
  </si>
  <si>
    <t>CHI NSĐP</t>
  </si>
  <si>
    <t>thu địa phương hưởng 100%</t>
  </si>
  <si>
    <t>thu ngân sách tỉnh hưởng 100%</t>
  </si>
  <si>
    <t>Thu phân chia ns tỉnh hưởng theo tỷ lệ</t>
  </si>
  <si>
    <t>thu địa phương hưởng theo pc</t>
  </si>
  <si>
    <t>Thu phân chia nsđp hưởng theo tỷ lệ (gtgt, tndn, tncn, ttdb, bvmt)</t>
  </si>
  <si>
    <t>thu ns huyện xã hưởng 100%</t>
  </si>
  <si>
    <t>thu ns huyện xã hưởng theo tỷ lệ</t>
  </si>
  <si>
    <t>thu ngân sách huyện xã hưởng theo pc</t>
  </si>
  <si>
    <t>thu ns tỉnh hưởng theo pc</t>
  </si>
  <si>
    <t>Chương trình mục tiêu quốc gia Nước sạch và Vệ sinh môi trường nông thôn</t>
  </si>
  <si>
    <t>Chương trình mục tiêu y tế - dân số</t>
  </si>
  <si>
    <t>Chương trình Mục tiêu phát triển lâm nghiệp bền vững</t>
  </si>
  <si>
    <t>Chương trình mục tiêu tái cơ cấu kinh tế nông nghiệp và phòng chống giảm nhẹ thiên tai, ổn định đời sống dân cư</t>
  </si>
  <si>
    <t>Chương trình mục tiêu đảm bảo trật tự an toàn giao thông, phòng cháy, chữa cháy, phòng chống tội phạm và ma túy</t>
  </si>
  <si>
    <t>Chương trình mục tiêu giáo dục nghề nghiệp - Việc làm và an toàn lao động</t>
  </si>
  <si>
    <t>Chương trình mục tiêu phát triển hệ thống trợ giúp xã hội</t>
  </si>
  <si>
    <t>Chương trình muc tiêu phát triển văn hóa</t>
  </si>
  <si>
    <t>Chương trình mục tiêu ứng phó với biến đổi khí hậu và tăng trưởng xanh</t>
  </si>
  <si>
    <t>Chương trình mục tiêu phát triển kinh tế - xã hội các vùng</t>
  </si>
  <si>
    <t>Chương trình mục tiêu hỗ trợ vốn đối ứng ODA cho các địa phương</t>
  </si>
  <si>
    <t>CT mục tiêu đtư hạ tầng khu KT ven biển, khu KT cửa khẩu, khu CN, cụm CN, khu CNC, khu NN ứng dụng CN cao</t>
  </si>
  <si>
    <t>Chuong trinh muc tieu phat trien ha tang du lich</t>
  </si>
  <si>
    <t>1.14</t>
  </si>
  <si>
    <t>1.15</t>
  </si>
  <si>
    <t>đầu tư</t>
  </si>
  <si>
    <t>mt thường xuyên</t>
  </si>
  <si>
    <t>thường xuyên</t>
  </si>
  <si>
    <t>Chuương trình MTQG giáo dục và đào tạo</t>
  </si>
  <si>
    <t>Chương trình hỗ trợ chất lượng giáo dục trường học</t>
  </si>
  <si>
    <t>Chương trình mục tiêu phát triển thủy sản bền vững</t>
  </si>
  <si>
    <t>1.16</t>
  </si>
  <si>
    <t>1.17</t>
  </si>
  <si>
    <t>1.18</t>
  </si>
  <si>
    <t>Chương trình mục tiêu</t>
  </si>
  <si>
    <t>Cà Mau, ngày 20 tháng 9 năm 2019</t>
  </si>
  <si>
    <t>Cà Mau, ngày 20 tháng  9  năm 2019</t>
  </si>
  <si>
    <t>IIX</t>
  </si>
  <si>
    <t>TỔNG NGUỒN THU NSĐP</t>
  </si>
  <si>
    <t xml:space="preserve"> - Thu NSĐP hưởng 100%</t>
  </si>
  <si>
    <t xml:space="preserve"> - Thu NSĐP hưởng từ các khoản thu phân chia</t>
  </si>
  <si>
    <t>Thu bổ sung cân đối ngân sách</t>
  </si>
  <si>
    <t>Thu bổ sung có mục tiêu</t>
  </si>
  <si>
    <t>Thu chuyển nguồn từ năm trước chuyển sang</t>
  </si>
  <si>
    <t>Thu kết dư</t>
  </si>
  <si>
    <t>TỔNG CHI NSĐP</t>
  </si>
  <si>
    <t>Tổng chi cân đối NSĐP</t>
  </si>
  <si>
    <t>Chi trả nợ lãi các khoản do chính quyền địa phương vay</t>
  </si>
  <si>
    <t>Chi tạo nguồn, điều chỉnh tiền lương</t>
  </si>
  <si>
    <t>Chi các chương trình mục tiêu</t>
  </si>
  <si>
    <t>Chi các chương trình mục tiêu quốc gia</t>
  </si>
  <si>
    <t>Chi các chương trình mục tiêu, nhiệm vụ</t>
  </si>
  <si>
    <t>KẾT DƯ NSĐP</t>
  </si>
  <si>
    <t>CHI TRẢ NỢ GỐC CỦA NSĐP</t>
  </si>
  <si>
    <t>Từ nguồn vay để trả nợ gốc</t>
  </si>
  <si>
    <t>Từ nguồn bội thu, tăng thu, tiết kiệm chi, kết dư ngân sách cấp tỉnh</t>
  </si>
  <si>
    <t>TỔNG MỨC VAY CỦA NSĐP</t>
  </si>
  <si>
    <t>Vay để bù đắp bội chi</t>
  </si>
  <si>
    <t>Vay để trả nợ gốc</t>
  </si>
  <si>
    <t>TỔNG MỨC DƯ NỢ VAY CUỐI NĂM CỦA NSĐP</t>
  </si>
  <si>
    <t>Chi trả nợ do chính quyền địa phương vay</t>
  </si>
  <si>
    <t>Thu từ nguồn vay</t>
  </si>
  <si>
    <t>Dự toán
năm 2018</t>
  </si>
  <si>
    <t>Tuyệt</t>
  </si>
  <si>
    <t>đối</t>
  </si>
  <si>
    <t>Tương</t>
  </si>
  <si>
    <t>đối (%)</t>
  </si>
  <si>
    <t>QUYẾT TOÁN CÂN ĐỐI NGÂN SÁCH TỈNH VÀ NGÂN SÁCH HUYỆN NĂM 2018</t>
  </si>
  <si>
    <t>Các khoản thu NSĐP hưởng 100%</t>
  </si>
  <si>
    <t>Ngày  20    tháng  9  năm 2019</t>
  </si>
  <si>
    <t>Ngày  20  tháng 9  năm 2019</t>
  </si>
  <si>
    <t>Ngày   20  tháng  9  năm 2019</t>
  </si>
  <si>
    <t>QUYẾT TOÁN TỔNG HỢP CHI NSĐP NĂM 2018
(BAO GỒM CHI TRẢ NỢ DO CHÍNH QUYỀN ĐỊA PHƯƠNG VAY)</t>
  </si>
  <si>
    <t>QUYẾT TOÁN CHI NGÂN SÁCH ĐỊA PHƯƠNG NĂM 2018</t>
  </si>
  <si>
    <t>Chi trả nợ lãi vay theo quy định</t>
  </si>
  <si>
    <t>Nội dung chi</t>
  </si>
  <si>
    <t>CHI CÂN ĐỐI NGÂN SÁCH</t>
  </si>
  <si>
    <t>2.5</t>
  </si>
  <si>
    <t>2.6</t>
  </si>
  <si>
    <t>2.7</t>
  </si>
  <si>
    <t>2.8</t>
  </si>
  <si>
    <t>2.9</t>
  </si>
  <si>
    <t>2.10</t>
  </si>
  <si>
    <t>2.11</t>
  </si>
  <si>
    <t>2.12</t>
  </si>
  <si>
    <t>2.13</t>
  </si>
  <si>
    <t>Tr đó:- Bằng nguồn vốn trong nước</t>
  </si>
  <si>
    <t xml:space="preserve">         - Bằng nguồn vốn ngoài nước</t>
  </si>
  <si>
    <t>4=3/1</t>
  </si>
  <si>
    <t>5=3/2</t>
  </si>
  <si>
    <t>QUYẾT TOÁN VAY, TRẢ NỢ NSĐP NĂM 2018</t>
  </si>
  <si>
    <t>Giám đốc KBNN</t>
  </si>
  <si>
    <t>Chi trả nợ lãi, phí tiền vay</t>
  </si>
  <si>
    <t>QUYẾT TOÁN THU NSNN, VAY NSĐP NĂM 2018</t>
  </si>
  <si>
    <t>Chi NS tỉnh</t>
  </si>
  <si>
    <t>Chi NS huyện</t>
  </si>
  <si>
    <t>Chi NS xã</t>
  </si>
  <si>
    <t>Cà Mau, ngày       tháng 9 năm 2019</t>
  </si>
  <si>
    <t>huấn luyện công tác phòng chống thiên tai,</t>
  </si>
  <si>
    <t>tìm kiếm cứu nạn, hỗ trợ cho hộ dân bị thiệt</t>
  </si>
  <si>
    <t>hại tài sản do lốc xoáy.</t>
  </si>
  <si>
    <t>VÀ THƯỞNG VƯỢT THU CỦA NSĐP NĂM 2018</t>
  </si>
  <si>
    <t>BÁO CÁO CHI CHUYỂN NGUỒN NĂM 2018 SANG NĂM 2019</t>
  </si>
  <si>
    <t xml:space="preserve">Một số một nhiệm vụ, đề tài dự án đã được triển khai thực hiện một phần, số dự toán còn lại không thực hiện kịp trong năm nên phải chuyển nguồn sang 2019 để tiếp tục thực hiện </t>
  </si>
  <si>
    <t>Nguồn kinh phí được Bộ Tài chính bổ sung vào quý IV/2018 và kỳ 13-18, địa phương triển khai phân bổ cho đơn vị để thực hiện ngay sau khi nhận được số bổ sung mục tiêu từ NSTW; tuy nhiên do thời gian không còn nhiều, vì thế đa số các đơn vị không thể giải ngân kịp và quyết toán trong năm ngân sách 2018 được nên chuyển nguồn sang năm 2019 để tiếp tục thực hiện.</t>
  </si>
  <si>
    <t>Chủ yếu là dự toán nguồn cam kết chi; các đề án được thực hiện trong hai năm 2018-2019; các khoản thanh toán cho các hợp đồng đã ký kết nhưng chưa thanh toán kịp trong năm 2018 nên chuyển nguồn sang 2019 để tiếp tục thanh toán.</t>
  </si>
  <si>
    <t>Danh mục và dự toán mua sắm tập trung giao cho đơn vị, đã phê duyệt đầy đủ hồ sơ, hợp đồng mua sắm nhưng chưa giải ngân kịp trong năm, nên chuyển sang năm 2018 tiếp tục thực hiện</t>
  </si>
  <si>
    <t>Số dư tạm ứng vốn đầu tư XDCB tăng do một số dự án chưa thu hồi được vì vướng trong việc GPMB; một số dự án đang triển khai thực hiện nhưng khối lượng chưa đạt 80% nên chưa thanh toán số vốn tạm ứng</t>
  </si>
  <si>
    <t>THUYẾT MINH CHI KHẮC PHỤC THIÊN TAI NĂM 2018</t>
  </si>
  <si>
    <t>vụ Đông Xuân 2017-2018</t>
  </si>
  <si>
    <t>hạn hán xâm nhập mặn đông xuân 2017 - 2018</t>
  </si>
  <si>
    <t>cộng mục tiêu 54 tỷ vào kinh phí tự chủ</t>
  </si>
  <si>
    <t>qt</t>
  </si>
  <si>
    <t>chênh lệch qlhc</t>
  </si>
  <si>
    <t>h-x</t>
  </si>
  <si>
    <t>Tăng, giảm biên chế so với dự toán</t>
  </si>
  <si>
    <t xml:space="preserve">                  - Số kinh phí</t>
  </si>
  <si>
    <t>Sửa chữa trụ sở làm việc</t>
  </si>
  <si>
    <t>THUYẾT MINH TĂNG, GIẢM CHI QUẢN LÝ HÀNH CHÍNH, ĐẢNG, ĐOÀN THỂ NĂM 2018</t>
  </si>
  <si>
    <t>Cà Mau, ngày         tháng 9 năm 2019</t>
  </si>
  <si>
    <t>Cà Mau, ngày        tháng  9 năm 2019</t>
  </si>
  <si>
    <t>Cà Mau, ngày       tháng  9 năm 2019</t>
  </si>
  <si>
    <t>Nguồn thu ngân sách</t>
  </si>
  <si>
    <t xml:space="preserve"> - Thu thuế, lệ phí, phí và các khoản thu khác</t>
  </si>
  <si>
    <t xml:space="preserve"> - Thu viện trợ</t>
  </si>
  <si>
    <t xml:space="preserve"> - Bổ sung cân đối ngân sách</t>
  </si>
  <si>
    <t>Thu từ Quỹ dự trữ tài chính</t>
  </si>
  <si>
    <t>Thu chuyển nguồn năm trước chuyển sang</t>
  </si>
  <si>
    <t>Chi thuộc nhiệm vụ của NS cấp tỉnh</t>
  </si>
  <si>
    <t xml:space="preserve"> - Chi bổ sung cân đối ngân sách</t>
  </si>
  <si>
    <t xml:space="preserve"> - Chi bổ sung có mục tiêu</t>
  </si>
  <si>
    <t>Kết dư NS cấp tỉnh</t>
  </si>
  <si>
    <t>Chi trả nợ gốc từ nguồn bội thu, tăng thu, tiết kiệm,
kết dư ngân sách cấp tỉnh</t>
  </si>
  <si>
    <t>NGÂN SÁCH HUYỆN, THÀNH PHỐ (xã)</t>
  </si>
  <si>
    <t>Thu ngân sách được hưởng theo phân cấp</t>
  </si>
  <si>
    <t>Chi ngân sách huyện, thành phố thuộc tỉnh (kể cả cấp xã)</t>
  </si>
  <si>
    <t>Chi thuộc nhiệm vụ của NS cấp huyện (xã)</t>
  </si>
  <si>
    <t>Kết dư</t>
  </si>
  <si>
    <t>hụt nguồn</t>
  </si>
  <si>
    <t/>
  </si>
  <si>
    <t>Đơn vị: Đồng</t>
  </si>
  <si>
    <t>Tính chất nguồn kinh phí</t>
  </si>
  <si>
    <t>Chương</t>
  </si>
  <si>
    <t>Loại, khoản</t>
  </si>
  <si>
    <t>Mã chương trình, mục tiêu và dự án quốc gia</t>
  </si>
  <si>
    <t>Mã kho bạc</t>
  </si>
  <si>
    <t>Dự toán giữ lại theo chế độ</t>
  </si>
  <si>
    <t>Dự toán đã sử dụng đến 31/01/ năm sau</t>
  </si>
  <si>
    <t>Dự toán được chuyển sang năm sau</t>
  </si>
  <si>
    <t>Số dư tại thời điểm 31/01 được chuyển sng năm sau</t>
  </si>
  <si>
    <t>Dự toán hủy bỏ</t>
  </si>
  <si>
    <t>Dự toán còn lại</t>
  </si>
  <si>
    <t>Dư dự toán năm trước chuyển sang</t>
  </si>
  <si>
    <t>Dư cam kết chi chuyển sang năm sau</t>
  </si>
  <si>
    <t>Dư cam kết chi năm trước chuyển sang</t>
  </si>
  <si>
    <t>Dư tạm ứng năm trước chuyển sang</t>
  </si>
  <si>
    <t>8=9+10+11</t>
  </si>
  <si>
    <t>16= 17+18</t>
  </si>
  <si>
    <t>19 = 20+21+22</t>
  </si>
  <si>
    <t>Chi chương trình, mục tiêu và dự án quốc gia</t>
  </si>
  <si>
    <t>Chi dự trữ quốc gia</t>
  </si>
  <si>
    <t>Chi viện trợ</t>
  </si>
  <si>
    <t>Ghi thu ghi chi thường xuyên ODA</t>
  </si>
  <si>
    <t>1069882.Văn phòng Hội đồng nhân dân Tỉnh Cà Mau</t>
  </si>
  <si>
    <t>402</t>
  </si>
  <si>
    <t>00000</t>
  </si>
  <si>
    <t>398</t>
  </si>
  <si>
    <t>428</t>
  </si>
  <si>
    <t>1074621.Văn phòng UBND tỉnh Cà Mau</t>
  </si>
  <si>
    <t>405</t>
  </si>
  <si>
    <t xml:space="preserve">1121319.Cổng Thông tin điện tử tỉnh Cà Mau </t>
  </si>
  <si>
    <t>00405</t>
  </si>
  <si>
    <t>1121321.Ban Tiếp công dân tỉnh Cà Mau</t>
  </si>
  <si>
    <t>1124753.Trung tâm Giải quyết thủ tục hành chính tỉnh Cà Mau</t>
  </si>
  <si>
    <t>1121814.Sở Ngoại vụ tỉnh Cà Mau</t>
  </si>
  <si>
    <t>411</t>
  </si>
  <si>
    <t>085</t>
  </si>
  <si>
    <t>1013100.Chi cục Kiểm lâm tỉnh Cà Mau</t>
  </si>
  <si>
    <t>412</t>
  </si>
  <si>
    <t>00629</t>
  </si>
  <si>
    <t>00395</t>
  </si>
  <si>
    <t>1013354.Trung tâm Giống Nông nghiệp tỉnh Cà Mau</t>
  </si>
  <si>
    <t>1013355.Trung tâm Khuyến nông tỉnh Cà Mau</t>
  </si>
  <si>
    <t>098</t>
  </si>
  <si>
    <t>00394</t>
  </si>
  <si>
    <t>00640</t>
  </si>
  <si>
    <t>1017618.BQL Rừng phòng hộ Đất Mũi</t>
  </si>
  <si>
    <t>1027408.BQL Rừng phòng hộ Sào Lưới</t>
  </si>
  <si>
    <t>1027414.BQL Rừng phòng hộ Kiến Vàng</t>
  </si>
  <si>
    <t>1028516.BQL Rừng phòng hộ Đầm Dơi</t>
  </si>
  <si>
    <t>1028845.BQL Rừng phòng hộ Tam Giang I</t>
  </si>
  <si>
    <t>1037195.VP Chi cục Thủy sản</t>
  </si>
  <si>
    <t>1048966.BQL Rừng phòng hộ Năm Căn</t>
  </si>
  <si>
    <t>1048968.BQL Rừng phòng hộ Nhưng Miên</t>
  </si>
  <si>
    <t xml:space="preserve">1049927.VP Sở Nông nghiệp và Phát triển Nông thôn </t>
  </si>
  <si>
    <t>1061822.VP Chi cục Quản lý Chất lượng Nông Lâm sản và Thủy sản</t>
  </si>
  <si>
    <t>1071560.Chi cục Chăn nuôi và Thú y tỉnh Cà Mau</t>
  </si>
  <si>
    <t>1071561.Chi cục Trồng trọt và Bảo vệ thực vật tỉnh Cà Mau</t>
  </si>
  <si>
    <t>1071564.Trung tâm Nước sạch và Vệ sinh môi trường nông thôn Cà Mau</t>
  </si>
  <si>
    <t>1071565.VP Chi cục Thủy lợi tỉnh Cà Mau</t>
  </si>
  <si>
    <t>1071566.Chi cục Phát triển Nông thôn</t>
  </si>
  <si>
    <t>00639</t>
  </si>
  <si>
    <t>1101786.Hạt Quản lý đê điều</t>
  </si>
  <si>
    <t>1108176.Ban chỉ huy phòng, chống thiên tai và tìm kiếm cứu nạn tỉnh Cà Mau</t>
  </si>
  <si>
    <t>1117413.Ban quản lý dự án ICMP Cà Mau</t>
  </si>
  <si>
    <t>1118769.Ban Quản lý Chương trình UN - REDD Cà Mau</t>
  </si>
  <si>
    <t>1120458.Ban Quản lý dự án Nguồn lợi ven biển vì sự Phát triển bền vững của tỉnh Cà Mau (CRSD Cà Mau)</t>
  </si>
  <si>
    <t>1124286.Trung tâm Quản lý, khai thác công trình thủy lợi Cà Mau</t>
  </si>
  <si>
    <t>1049031.VP Sở Kế hoạch và Đầu tư tỉnh Cà Mau</t>
  </si>
  <si>
    <t>413</t>
  </si>
  <si>
    <t>1111415.Trung tâm trợ giúp phát triển doanh nghiệp tỉnh Cà Mau</t>
  </si>
  <si>
    <t>1012309.Trung tâm trợ giúp pháp lý của Nhà nước</t>
  </si>
  <si>
    <t>414</t>
  </si>
  <si>
    <t>1060956.VP Sở Tư pháp tỉnh Cà Mau</t>
  </si>
  <si>
    <t>1059833.Trung tâm Khuyến công và Xúc tiến thương mại tỉnh Cà Mau</t>
  </si>
  <si>
    <t>416</t>
  </si>
  <si>
    <t>1060953.Cục Quản lý thị trường tỉnh Cà Mau</t>
  </si>
  <si>
    <t>1069837.VP Sở Công thương tỉnh Cà Mau</t>
  </si>
  <si>
    <t>1125352.Văn phòng Thường trực Ban Chỉ đạo 389 tỉnh Cà Mau</t>
  </si>
  <si>
    <t>1069829.VP Chi cục Tiêu chuẩn Đo lường Chất lượng</t>
  </si>
  <si>
    <t>417</t>
  </si>
  <si>
    <t>1069883.VP Sở Khoa học và Công nghệ tỉnh Cà Mau</t>
  </si>
  <si>
    <t>1069884.Trung tâm Thông tin và Ứng dụng Khoa học Công nghệ</t>
  </si>
  <si>
    <t>1117278.Trung tâm kỹ thuật tiêu chuẩn đo lường chất lượng</t>
  </si>
  <si>
    <t>1126335.Trung tâm phân tích kiểm nghiệm tỉnh Cà Mau</t>
  </si>
  <si>
    <t>1048950.VP Sở Tài chính tỉnh Cà Mau</t>
  </si>
  <si>
    <t>418</t>
  </si>
  <si>
    <t>1122413.Trung tâm dịch vụ tài chính công tỉnh Cà Mau</t>
  </si>
  <si>
    <t>1037186.VP Sở Xây dựng tỉnh Cà Mau</t>
  </si>
  <si>
    <t>419</t>
  </si>
  <si>
    <t>1045709.VP Sở Giao thông Vận tải tỉnh Cà Mau</t>
  </si>
  <si>
    <t>421</t>
  </si>
  <si>
    <t>1117205.BAN AN TOÀN GIAO THÔNG</t>
  </si>
  <si>
    <t>1013402.Trường Phổ thông Dân tộc nội trú</t>
  </si>
  <si>
    <t>422</t>
  </si>
  <si>
    <t>074</t>
  </si>
  <si>
    <t>1031551.Trường Trung học phổ thông Viên An</t>
  </si>
  <si>
    <t>0969</t>
  </si>
  <si>
    <t>1031554.Trường Trung học phổ thông Phú Tân</t>
  </si>
  <si>
    <t>0968</t>
  </si>
  <si>
    <t>1031650.Trường Trung học phổ thông Tân Đức</t>
  </si>
  <si>
    <t>0964</t>
  </si>
  <si>
    <t>1033299.Trường Cao đẳng Cộng đồng tỉnh Cà Mau</t>
  </si>
  <si>
    <t>093</t>
  </si>
  <si>
    <t>1033302.Trung tâm Giáo dục thường xuyên tỉnh Cà Mau</t>
  </si>
  <si>
    <t>075</t>
  </si>
  <si>
    <t>1033303.Trường Trung học phổ thông Thái Thanh Hoà</t>
  </si>
  <si>
    <t>1033307.Trường Trung học phổ thông Đầm Dơi</t>
  </si>
  <si>
    <t>1033454.Trường Trung học phổ thông Tắc Vân</t>
  </si>
  <si>
    <t>1033457.Trường Trung Học Phổ Thông Thới Bình</t>
  </si>
  <si>
    <t>0962</t>
  </si>
  <si>
    <t>1033460.Trường Trung học phổ thông U Minh</t>
  </si>
  <si>
    <t>0967</t>
  </si>
  <si>
    <t>1033461.Trường Trung học phổ thông Phan Ngọc Hiển</t>
  </si>
  <si>
    <t>0965</t>
  </si>
  <si>
    <t>1033462.Trường Trung học phổ thông Huỳnh Phi Hùng</t>
  </si>
  <si>
    <t>0966</t>
  </si>
  <si>
    <t>1033463.Trường Trung học phổ thông Trần Văn Thời</t>
  </si>
  <si>
    <t>1033464.Trường Trung học phổ thông Cái Nước</t>
  </si>
  <si>
    <t>0963</t>
  </si>
  <si>
    <t>1033465.Trường Trung học phổ thông Khánh Hưng</t>
  </si>
  <si>
    <t>1033510.Trường Trung học phổ thông Nguyễn Mai</t>
  </si>
  <si>
    <t>1033511.Trường Trung học phổ thông Nguyễn Thị Minh Khai</t>
  </si>
  <si>
    <t>1033512.Trường Trung học phổ thông Nguyễn Việt Khái</t>
  </si>
  <si>
    <t>1033513.Trường Trung học phổ thông chuyên Phan Ngọc Hiển</t>
  </si>
  <si>
    <t>1033514.Trường Trung học phổ thông Cà Mau</t>
  </si>
  <si>
    <t>1033516.Trường Trung học phổ thông Hồ Thị Kỷ</t>
  </si>
  <si>
    <t>1033517.VP Sở Giáo dục và Đào tạo tỉnh Cà Mau</t>
  </si>
  <si>
    <t>1035502.Trường Cao đẳng Y tế tỉnh Cà Mau</t>
  </si>
  <si>
    <t>1047937.Trường Trung học phổ thông Nguyễn Văn Nguyễn</t>
  </si>
  <si>
    <t>1047939.Trường Trung học phổ thông Sông Đốc</t>
  </si>
  <si>
    <t>1050675.Trường Trung học phổ thông Phú Hưng</t>
  </si>
  <si>
    <t>1061823.Trường Trung học phổ thông Khánh Lâm</t>
  </si>
  <si>
    <t>1067970.Trường nuôi dạy trẻ khuyết tật tỉnh Cà Mau</t>
  </si>
  <si>
    <t>072</t>
  </si>
  <si>
    <t>1085404.Trường Trung học phổ thông Ngọc Hiển</t>
  </si>
  <si>
    <t>1099584.Trường Trung học phổ thông Khánh An</t>
  </si>
  <si>
    <t>1104616.Trường Trung học phổ thông Võ Thị Hồng</t>
  </si>
  <si>
    <t>1118171.Trường Trung học cơ sở và Trung học phổ thông Lý Văn Lâm</t>
  </si>
  <si>
    <t>1121093.Trường phổ thông dân tộc nội trú trung học cơ sở Danh Thị Tươi</t>
  </si>
  <si>
    <t>1122147.Trường Trung học phổ thông Quách Văn Phẩm</t>
  </si>
  <si>
    <t>1123967.Trường Trung học cơ sở và Trung học phổ thông Vàm Đình</t>
  </si>
  <si>
    <t xml:space="preserve">1124002.Trường Trung học phổ thông Tân Bằng </t>
  </si>
  <si>
    <t>1029842.Trung tâm phòng chống HIV/AIDS</t>
  </si>
  <si>
    <t>423</t>
  </si>
  <si>
    <t xml:space="preserve">1035497.Bệnh viện đa khoa Khu vực Cái Nước </t>
  </si>
  <si>
    <t>1035498.Trung tâm Giám định Y khoa</t>
  </si>
  <si>
    <t xml:space="preserve">1035500.Trung tâm  Kiểm nghiệm thuốc, mỹ phẩm, thực phẩm </t>
  </si>
  <si>
    <t>1035503.Trung tâm Truyền thông giáo dục sức khoẻ Cà Mau</t>
  </si>
  <si>
    <t>1048948.VP Sở Y tế tỉnh Cà Mau</t>
  </si>
  <si>
    <t>1060945.Trung tâm Chăm sóc Sức khoẻ Sinh sản</t>
  </si>
  <si>
    <t>1061099.Trung tâm phòng chống các bệnh xã hội tỉnh Cà Mau</t>
  </si>
  <si>
    <t>1061101.Trung tâm Y tế dự phòng tỉnh Cà Mau</t>
  </si>
  <si>
    <t>1061200.Bệnh viện đa khoa tỉnh Cà Mau</t>
  </si>
  <si>
    <t>1064342.Bệnh viện Đa khoa Đầm Dơi</t>
  </si>
  <si>
    <t>1073942.Bệnh viện Đa khoa Năm Căn</t>
  </si>
  <si>
    <t>1074807.Trung tâm Pháp y tỉnh Cà Mau</t>
  </si>
  <si>
    <t>1080465.Bệnh viện đa khoa Trần Văn Thời</t>
  </si>
  <si>
    <t>1081681.Chi cục Dân số - Kế hoạch hoá gia đình tỉnh Cà Mau</t>
  </si>
  <si>
    <t>1097876.Chi cục An toàn Vệ sinh Thực phẩm tỉnh Cà Mau</t>
  </si>
  <si>
    <t>1101977.Bệnh viện Sản - Nhi Cà Mau</t>
  </si>
  <si>
    <t>1125121.Bệnh viện Y học cổ truyền tỉnh Cà Mau</t>
  </si>
  <si>
    <t>1037190.Chi Cục phòng chống tệ nạn xã hội tỉnh Cà Mau</t>
  </si>
  <si>
    <t>424</t>
  </si>
  <si>
    <t>00719</t>
  </si>
  <si>
    <t>1037192.Trung tâm Dịch vụ việc làm tỉnh Cà Mau</t>
  </si>
  <si>
    <t>1037193.Trung tâm Bảo trợ xã hội tỉnh Cà Mau</t>
  </si>
  <si>
    <t>1037196.Cơ sở cai nghiện ma túy tỉnh Cà Mau</t>
  </si>
  <si>
    <t>1048071.VP Sở Lao động Thương binh và Xã hội tỉnh Cà Mau</t>
  </si>
  <si>
    <t>00709</t>
  </si>
  <si>
    <t>00022</t>
  </si>
  <si>
    <t>00025</t>
  </si>
  <si>
    <t>00026</t>
  </si>
  <si>
    <t>1048253.Trung tâm nuôi dưỡng người tâm thần</t>
  </si>
  <si>
    <t>1070549.Trường Trung cấp Kinh tế - Kỹ thuật tỉnh Cà Mau</t>
  </si>
  <si>
    <t>1108070.Quỹ bảo trợ trẻ em tỉnh Cà Mau</t>
  </si>
  <si>
    <t>1122250.Trường Cao đẳng nghề Việt Nam - Hàn Quốc Cà Mau</t>
  </si>
  <si>
    <t>1043744.Bảo Tàng tỉnh Cà Mau</t>
  </si>
  <si>
    <t>425</t>
  </si>
  <si>
    <t>1043745.Đoàn Cải lương Hương Tràm tỉnh Cà Mau</t>
  </si>
  <si>
    <t>1043978.Thư viện tỉnh Cà Mau</t>
  </si>
  <si>
    <t>00729</t>
  </si>
  <si>
    <t>1043980.VP Sở Văn hoá, Thể thao và Du lịch Tỉnh Cà Mau</t>
  </si>
  <si>
    <t>1043981.Trung Tâm Văn hoá Thông tin tỉnh Cà Mau</t>
  </si>
  <si>
    <t>1075925.Đoàn nghệ thuật Khmer tỉnh Cà Mau</t>
  </si>
  <si>
    <t>1075926.Trung tâm Thông tin Xúc tiến du lịch tỉnh Cà Mau</t>
  </si>
  <si>
    <t>1076691.Trung Tâm Thể dục Thể thao tỉnh Cà Mau</t>
  </si>
  <si>
    <t>1115943.Ban Quản lý Di tích tỉnh Cà Mau</t>
  </si>
  <si>
    <t>1123818.Ban quản lý Khu du lịch Quốc gia Mũi Cà Mau</t>
  </si>
  <si>
    <t>1009475.VP Sở Tài nguyên và Môi trường Tỉnh Cà Mau</t>
  </si>
  <si>
    <t>426</t>
  </si>
  <si>
    <t>1031647.Trung tâm Phát triển quỹ đất tỉnh Cà Mau</t>
  </si>
  <si>
    <t>1098823.Chi cục Bảo vệ Môi trường</t>
  </si>
  <si>
    <t>1110853.Chi cục Biển và Hải đảo</t>
  </si>
  <si>
    <t>1123383.Chi cục Quản lý đất đai tỉnh cà Mau</t>
  </si>
  <si>
    <t>1001624.VP Sở Thông tin và Truyền thông tỉnh Cà Mau</t>
  </si>
  <si>
    <t>427</t>
  </si>
  <si>
    <t>1109544.Trung tâm Công nghệ thông tin và Truyền thông</t>
  </si>
  <si>
    <t>1037941.VP Sở Nội vụ tỉnh Cà Mau</t>
  </si>
  <si>
    <t>435</t>
  </si>
  <si>
    <t>081</t>
  </si>
  <si>
    <t>1098117.Ban Thi đua Khen thưởng</t>
  </si>
  <si>
    <t>1101796.Chi cục Văn thư Lưu trữ tỉnh Cà Mau</t>
  </si>
  <si>
    <t>1101797.Ban Tôn Giáo</t>
  </si>
  <si>
    <t>1122468.Trung tâm Lưu trữ lịch sử tỉnh Cà Mau</t>
  </si>
  <si>
    <t>1060954.Thanh Tra tỉnh Cà Mau</t>
  </si>
  <si>
    <t>437</t>
  </si>
  <si>
    <t>1038385.Đài Phát thanh truyền hình tỉnh Cà Mau</t>
  </si>
  <si>
    <t>442</t>
  </si>
  <si>
    <t>1033458.VP Hội đồng liên minh Hợp tác xã tỉnh Cà Mau</t>
  </si>
  <si>
    <t>448</t>
  </si>
  <si>
    <t>083</t>
  </si>
  <si>
    <t>1067967.Ban Dân tộc tỉnh Cà Mau</t>
  </si>
  <si>
    <t>483</t>
  </si>
  <si>
    <t>00023</t>
  </si>
  <si>
    <t>1031648.VP Ban Quản lý khu kinh tế tỉnh Cà Mau</t>
  </si>
  <si>
    <t>505</t>
  </si>
  <si>
    <t>1045711.VP UB Mặt trận Tổ quốc tỉnh Cà Mau</t>
  </si>
  <si>
    <t>510</t>
  </si>
  <si>
    <t>1009476.Nhà Thiếu Nhi Tỉnh Cà Mau</t>
  </si>
  <si>
    <t>511</t>
  </si>
  <si>
    <t>1043580.VP Tỉnh Đoàn Cà Mau</t>
  </si>
  <si>
    <t>1076692.VP Hội Liên hiệp Phụ nữ tỉnh Cà Mau</t>
  </si>
  <si>
    <t>512</t>
  </si>
  <si>
    <t>00401</t>
  </si>
  <si>
    <t>1049929.VP Hội Nông dân tỉnh Cà Mau</t>
  </si>
  <si>
    <t>513</t>
  </si>
  <si>
    <t>1104848.Trung tâm hỗ trợ nông dân tỉnh Cà Mau</t>
  </si>
  <si>
    <t>1069836.Hội Cựu Chiến binh tỉnh Cà Mau</t>
  </si>
  <si>
    <t>514</t>
  </si>
  <si>
    <t>1079014.Liên hiệp các Hội Khoa học Kỹ thuật tỉnh Cà Mau</t>
  </si>
  <si>
    <t>516</t>
  </si>
  <si>
    <t>1033456.Liên Hiệp các tổ chức hữu nghị tỉnh Cà Mau</t>
  </si>
  <si>
    <t>517</t>
  </si>
  <si>
    <t>1079122.Hội Văn học Nghệ thuật tỉnh Cà Mau</t>
  </si>
  <si>
    <t>518</t>
  </si>
  <si>
    <t>1037189.Hội Nhà báo Việt Nam tỉnh Cà Mau</t>
  </si>
  <si>
    <t>520</t>
  </si>
  <si>
    <t>1117339.Hội Luật gia tỉnh Cà Mau</t>
  </si>
  <si>
    <t>521</t>
  </si>
  <si>
    <t>1074620.Hội chữ thập đỏ tỉnh Cà Mau</t>
  </si>
  <si>
    <t>522</t>
  </si>
  <si>
    <t xml:space="preserve">1116908.Ban đại diện Hội người cao tuổi tỉnh Cà Mau </t>
  </si>
  <si>
    <t>533</t>
  </si>
  <si>
    <t>1045714.Hội Đông y tỉnh Cà Mau</t>
  </si>
  <si>
    <t>535</t>
  </si>
  <si>
    <t>1064199.Hội nạn nhân chất độc da cam Dioxin tỉnh Cà Mau</t>
  </si>
  <si>
    <t>536</t>
  </si>
  <si>
    <t>1110630.Hội Cựu Thanh niên Xung phong tỉnh Cà Mau</t>
  </si>
  <si>
    <t>537</t>
  </si>
  <si>
    <t>1116636.Hội bảo trợ người tàn tật và trẻ mồ côi</t>
  </si>
  <si>
    <t>538</t>
  </si>
  <si>
    <t>1053629.Bộ Công An</t>
  </si>
  <si>
    <t>560</t>
  </si>
  <si>
    <t>041</t>
  </si>
  <si>
    <t>1013255.Trường Chính trị tỉnh Cà Mau</t>
  </si>
  <si>
    <t>599</t>
  </si>
  <si>
    <t>1031649.Vườn Quốc Gia U Minh Hạ</t>
  </si>
  <si>
    <t>1045713.Báo ảnh Đất Mũi Cà Mau</t>
  </si>
  <si>
    <t>1067968.Vườn Quốc gia Mũi Cà Mau</t>
  </si>
  <si>
    <t>1101456.Ban quản lý Khu sinh quyển Mũi Cà Mau</t>
  </si>
  <si>
    <t>1118167.Văn phòng điều phối Chương trình mục tiêu Quốc gia xây dựng nông thôn mới</t>
  </si>
  <si>
    <t>00403</t>
  </si>
  <si>
    <t xml:space="preserve">1126949.Ban quản lý dự án Quỹ toàn cầu phòng, chống HIV/AIDS tỉnh Cà Mau </t>
  </si>
  <si>
    <t xml:space="preserve">1127049.Ban Quản lý dự án Sáng kiến khu vực ngăn chặn và loại trừ sốt rét kháng thuốc Artemisinin tỉnh Cà Mau, giai đoạn 2018-2020 </t>
  </si>
  <si>
    <t>1045706.Đoạn quản lý Giao thông thủy bộ Cà Mau</t>
  </si>
  <si>
    <t>1125364.Trung tâm Quản lý, bảo trì công trình giao thông</t>
  </si>
  <si>
    <t>073</t>
  </si>
  <si>
    <t>1033304.Trung tâm Kỹ thuật tổng hợp - Hướng nghiệp</t>
  </si>
  <si>
    <t>092</t>
  </si>
  <si>
    <t>1123845.Trung tâm Kỹ thuật - Công nghệ - Quan trắc Tài nguyên và Môi trường</t>
  </si>
  <si>
    <t>1043441.Trung tâm dịch vụ hỗ trợ hợp tác xã, DN vừa và nhỏ</t>
  </si>
  <si>
    <t>1114473.Trung tâm Phát triển Hạ tầng khu kinh tế tỉnh Cà Mau</t>
  </si>
  <si>
    <t>1114035.Hội Người mù tỉnh Cà Mau</t>
  </si>
  <si>
    <t>534</t>
  </si>
  <si>
    <t>1116866.Hội khuyến học tỉnh Cà Mau</t>
  </si>
  <si>
    <t>539</t>
  </si>
  <si>
    <t>1113506.Quỹ Phát triển đất tỉnh Cà Mau</t>
  </si>
  <si>
    <t>1115820.Hội Y học tỉnh Cà Mau</t>
  </si>
  <si>
    <t>1116637.Hội tù chính trị yêu nước tỉnh Cà Mau</t>
  </si>
  <si>
    <t>1116675.Hội Thủy sản Cà Mau</t>
  </si>
  <si>
    <t xml:space="preserve">1116910.Hội Tiêu chuẩn và Bảo vệ quyền lợi người tiêu dùng tỉnh Cà Mau </t>
  </si>
  <si>
    <t>1119337.Nhà xuất bản Phương Đông</t>
  </si>
  <si>
    <t>1059834.Thanh tra giao thông vận tải Cà Mau</t>
  </si>
  <si>
    <t>1033518.Trường Cao đẳng Sư phạm tỉnh Cà Mau</t>
  </si>
  <si>
    <t>1108325.Văn phòng đăng ký đất đai tỉnh Cà Mau</t>
  </si>
  <si>
    <t>1098472.Trung tâm Đăng kiểm và Cảng vụ đường thủy nội địa Cà Mau</t>
  </si>
  <si>
    <t>00809</t>
  </si>
  <si>
    <t>00749</t>
  </si>
  <si>
    <t>TÌNH HÌNH THỰC HIỆN DỰ TOÁN CỦA CÁC NHIỆM VỤ ĐƯỢC CHUYỂN NGUỒN SANG NĂM SAU CỦA CÁC
ĐƠN VỊ THUỘC NGÂN SÁCH CÁC CẤP THEO HÌNH THỨC RÚT DỰ TOÁN NĂM 2018 CHUYỂN SANG NĂM 2019</t>
  </si>
  <si>
    <t>- Kinh phí được bổ sung sau ngày 30/9/năm 2018</t>
  </si>
  <si>
    <t>SỐ DƯ TÀI KHOẢN TIỀN GỬI KINH PHÍ NGÂN SÁCH CẤP CỦA ĐƠN VỊ DỰ TOÁN
ĐƯỢC CHUYỂN NGUỒN SANG NĂM SAU CỦA CÁC ĐƠN VỊ THUỘC NGÂN SÁCH CÁC CẤP NĂM 2018
CHUYỂN SANG NĂM 2019</t>
  </si>
  <si>
    <t>Số vốn tạm ứng theo chế độ chưa thu hồi của các năm trước nộp điều chỉnh giảm trong năm 2018</t>
  </si>
  <si>
    <t>Thanh toán KLHT trong năm của phần vốn tạm ứng theo chế độ chưa thu hồi từ K/C đến hết niên độ ngân sách năm trước 2018</t>
  </si>
  <si>
    <t>Kế hoạch và thanh toán vốn đầu tư các năm trước được kéo dài thời gian thực hiện và thanh toán sang năm 2018</t>
  </si>
  <si>
    <t>Kế hoạch và thanh toán vốn đầu tư năm 2018</t>
  </si>
  <si>
    <t>Tổng cộng vốn đã thanh toán KLHT quyết toán trong năm 2018</t>
  </si>
  <si>
    <t>Lũy kế số vốn đã thanh toán từ K/C đến hết năm 2018</t>
  </si>
  <si>
    <t>Kế hoạch vốn đầu tư năm 2018</t>
  </si>
  <si>
    <t>TỔNG SỐ (A + B + C)</t>
  </si>
  <si>
    <t>Các dự án thuộc kế hoạch năm 2018</t>
  </si>
  <si>
    <t>I*</t>
  </si>
  <si>
    <t>Nguồn vốn ngân sách tập trung, nguồn thu tiền sử dụng đất do tỉnh quản lý</t>
  </si>
  <si>
    <t>Dự án chuyển tiếp từ giai đoạn 2011 - 2015 sang giai đoạn 2016 - 2020</t>
  </si>
  <si>
    <t>a)</t>
  </si>
  <si>
    <t xml:space="preserve">Dự án dự kiến hoàn thành và bàn giao đưa vào sử dụng trong giai đoạn 2016 - 2020 </t>
  </si>
  <si>
    <t xml:space="preserve">Dự án đầu tư nâng cao năng lực bảo vệ và phòng cháy chữa cháy rừng tỉnh Cà Mau giai đoạn II </t>
  </si>
  <si>
    <t>Chi cục Kiểm lâm</t>
  </si>
  <si>
    <t>Dự án đầu tư xây dựng Vườn Quốc gia U Minh hạ, tỉnh Cà Mau</t>
  </si>
  <si>
    <t xml:space="preserve">Dự án hạ tầng thủy lợi phục vụ nuôi trồng thủy sản Tân Duyệt, huyện Đầm Dơi </t>
  </si>
  <si>
    <t>Sở Nông nghiệp và Phát triển nông thôn</t>
  </si>
  <si>
    <t>Dự án đầu tư xây dựng Hệ thống thủy lợi tiểu vùng II - Bắc Cà Mau</t>
  </si>
  <si>
    <t>Dự án đầu tư xây dựng Hệ thống thủy lợi tiểu vùng III - Nam Cà Mau (Chi phí bồi thường, GPMB)</t>
  </si>
  <si>
    <t>Dự án khởi công mới trong giai đoạn 2016 - 2020</t>
  </si>
  <si>
    <t>Mua sắm trang thiết bị phòng kiểm nghiệm (máy quang phổ hấp thu nguyên tử AAS)</t>
  </si>
  <si>
    <t>Dự án đầu tư xây dựng Hệ thống thủy lợi tiểu vùng VII - Nam Cà Mau (Chi phí bồi thường, GPMB)</t>
  </si>
  <si>
    <t>Ban Quản lý dự án công trình Nông nghiệp và PTNT</t>
  </si>
  <si>
    <t>Hỗ trợ đầu tư cho các doanh nghiệp đầu tư vào nông nghiệp, nông thôn theo Nghị định số 210/2013/NĐ-CP của Chính phủ)</t>
  </si>
  <si>
    <t>Hỗ trợ các doanh nghiệp (Hoàn trả tạm ứng ngân sách tỉnh)</t>
  </si>
  <si>
    <t>Dự án hoàn thành và bàn giao đưa vào sử dụng đến ngày 31/12/2015</t>
  </si>
  <si>
    <t>Cầu Rạch Ruộng Nhỏ, huyện Trần Văn Thời</t>
  </si>
  <si>
    <t xml:space="preserve">Sở Giao thông vận tải </t>
  </si>
  <si>
    <t>Đề án xây dựng 1.588 cầu giao thông nông thôn trên địa bàn tỉnh Cà Mau (thanh toán chi phí tư vấn)</t>
  </si>
  <si>
    <t>7179518</t>
  </si>
  <si>
    <t>Ủy ban Mặt trận Tổ quốc Việt Nam tỉnh Cà Mau</t>
  </si>
  <si>
    <t>Ủy ban nhân dân huyện Thới Bình</t>
  </si>
  <si>
    <t>b)</t>
  </si>
  <si>
    <t>Dự án chuyển tiếp sang giai đoạn 2016 - 2020</t>
  </si>
  <si>
    <t>Ủy ban nhân dân huyện Phú Tân</t>
  </si>
  <si>
    <t>7249003</t>
  </si>
  <si>
    <t xml:space="preserve">Sở Giao thông Vận tải </t>
  </si>
  <si>
    <t>Tuyến lộ về Khu căn cứ Tỉnh ủy thuộc xã Phong Lạc, huyện Trần Văn Thời</t>
  </si>
  <si>
    <t>7403540</t>
  </si>
  <si>
    <t>Ủy ban nhân dân huyện Trần Văn Thời</t>
  </si>
  <si>
    <t>Đối ứng Dự án nâng cấp đô thị vùng ĐBSCL - Tiểu dự án thành phố Cà Mau (gồm cả chi GPMB đường Đinh Tiên Hoàng theo Công văn số 8817/UBND-XD ngày 06/11/2017 của UBND tỉnh)</t>
  </si>
  <si>
    <t>Ủy ban nhân dân thành phố Cà Mau</t>
  </si>
  <si>
    <t>Sở Giao thông vận tải</t>
  </si>
  <si>
    <t>Dự án đầu tư xây dựng kết cấu hạ tầng đường Ngô Quyền, thành phố Cà Mau</t>
  </si>
  <si>
    <t>Ban Quản lý dự án xây dựng công trình Giao thông</t>
  </si>
  <si>
    <t xml:space="preserve">Cống qua kênh Thống Nhất, thành phố Cà Mau </t>
  </si>
  <si>
    <t>7438432</t>
  </si>
  <si>
    <t xml:space="preserve">Dự án khởi công mới trong giai đoạn 2016 - 2020 </t>
  </si>
  <si>
    <t>Dự án dự kiến hoàn thành và đưa vào sử dụng giai đoạn 2016 - 2020</t>
  </si>
  <si>
    <t>Ủy ban nhân dân huyện Cái Nước</t>
  </si>
  <si>
    <t>Công trình đầu tư kết cấu hạ tầng đường Nguyễn Mai (đoạn từ đường Lê Hồng Phong đến đường Lê Anh Xuân), thành phố Cà Mau</t>
  </si>
  <si>
    <t>HẠ TẦNG KHU KINH TẾ, KHU CÔNG NGHIỆP, ĐIỆN</t>
  </si>
  <si>
    <t>Dự án dự kiến hoàn thành và bàn giao đưa vào sử dụng trong giai đoạn 2016 - 2020</t>
  </si>
  <si>
    <t>7130514</t>
  </si>
  <si>
    <t>Công ty Phát triển hạ tầng khu công nghiệp tỉnh Cà Mau (nay là Trung tâm Phát triển hạ tầng khu kinh tế thuộc Ban Quản lý Khu kinh tế)</t>
  </si>
  <si>
    <t>Dự án hoàn thành và bàn giao đưa vào sử dụng trong giai đoạn 2016 - 2020</t>
  </si>
  <si>
    <t>Ban Quản lý Khu kinh tế</t>
  </si>
  <si>
    <t xml:space="preserve">Dự án đầu tư xây dựng hàng rào Khu công nghiệp Khánh An, huyện U Minh </t>
  </si>
  <si>
    <t>Dự án đầu tư xây dựng hạ tầng kỹ thuật Khu B - Khu công nghiệp Khánh An (hạng mục hệ thống thoát nước đường N1)</t>
  </si>
  <si>
    <t>Dự án hoàn thành và bàn giao đưa vào sử dụng trong giai đoạn 2011 - 2015</t>
  </si>
  <si>
    <t>Nhà máy xử lý rác thải thành phố Cà Mau</t>
  </si>
  <si>
    <t>Hỗ trợ Nhà đầu tư (Hoàn trả tạm ứng ngân sách tỉnh)</t>
  </si>
  <si>
    <t>Sở Thông tin và Truyền thông</t>
  </si>
  <si>
    <t>Dự án xây dựng hạ tầng kỹ thuật du lịch sinh thái Vườn Quốc gia U Minh hạ</t>
  </si>
  <si>
    <t>Ban Quản lý dự án công trình Xây dựng</t>
  </si>
  <si>
    <t>Bồi thường, GPMB Dự án Trung tâm hành chính huyện Ngọc Hiển và đường ô tô về trung tâm thị trấn Rạch Gốc, huyện Ngọc Hiển</t>
  </si>
  <si>
    <t>Các phương án</t>
  </si>
  <si>
    <t>Ủy ban nhân dân huyện Ngọc Hiển</t>
  </si>
  <si>
    <t>GPMB ô tô đến thị trấn Rạch Gốc, huyện Ngọc Hiển</t>
  </si>
  <si>
    <t>7475511</t>
  </si>
  <si>
    <t>BS GPMB đất 7 hộ dân - Khu hành chính huyện Ngọc Hiển</t>
  </si>
  <si>
    <t>7475557</t>
  </si>
  <si>
    <t>GPMB XD cơ quan khu TT hành chính huyện Ngọc Hiển</t>
  </si>
  <si>
    <t>7475515</t>
  </si>
  <si>
    <t xml:space="preserve">Ban Quản lý dự án công trình Xây dựng </t>
  </si>
  <si>
    <t>Công trình trang trí tranh, ảnh; cây xanh, thảm cỏ; hệ thống camera, mạng; hành lang tầng 1 Trụ sở Tỉnh ủy Cà Mau</t>
  </si>
  <si>
    <t>Văn phòng Tỉnh ủy</t>
  </si>
  <si>
    <t>Ủy ban nhân dân huyện Đầm Dơi</t>
  </si>
  <si>
    <t>7567509</t>
  </si>
  <si>
    <t>*</t>
  </si>
  <si>
    <t>Các dự án do Bộ Chỉ huy Quân sự tỉnh Cà Mau làm chủ đầu tư</t>
  </si>
  <si>
    <t>Trụ sở xã đội, phường đội, thị đội trên địa bàn tỉnh Cà Mau</t>
  </si>
  <si>
    <t>Bộ Chỉ huy Quân sự tỉnh Cà Mau</t>
  </si>
  <si>
    <t>Các dự án do Công an tỉnh Cà Mau làm chủ đầu tư</t>
  </si>
  <si>
    <t>Bồi thường, GPMB xây dựng Trụ sở Phòng Cảnh sát PCCC Công an tỉnh Cà Mau</t>
  </si>
  <si>
    <t>Chi phí đầu tư kết cấu hạ tầng lô đất bố trí xây dựng Trụ sở làm việc các cơ quan thuộc Công an tỉnh Cà Mau</t>
  </si>
  <si>
    <t xml:space="preserve"> Trụ sở làm việc Công an xã trên địa bàn tỉnh Cà Mau, giai đoạn 2016 - 2020 </t>
  </si>
  <si>
    <t xml:space="preserve">Các công trình do Bộ Chỉ huy Bộ đội Biên phòng tỉnh Cà Mau làm chủ đầu tư </t>
  </si>
  <si>
    <t>Nâng cấp, sửa chữa, cải tạo Trạm Kiểm soát Biên phòng Rạch Gốc</t>
  </si>
  <si>
    <t xml:space="preserve">Bộ Chỉ huy Bộ đội Biên phòng tỉnh Cà Mau </t>
  </si>
  <si>
    <t>Xây dựng mới Trạm Kiểm soát Biên phòng Sông Đốc</t>
  </si>
  <si>
    <t>Nhà ở chiến sỹ mới Đại đội huấn luyện thuộc Bộ đội Biên phòng tỉnh Cà Mau</t>
  </si>
  <si>
    <t>Nhà quản lý người nước ngoài Bộ đội Biên phòng tỉnh (051</t>
  </si>
  <si>
    <t>Danh trại Sở chỉ huy Biên phòng tỉnh (004)</t>
  </si>
  <si>
    <t>Sửa chữa, ngâng cấp, xây dựng mới một số hạng mục đồn Biên phòng Hòn Chuối (058)</t>
  </si>
  <si>
    <t>Trạm Kiểm lâm Biên phòng Hố Gùi (048)</t>
  </si>
  <si>
    <t>03 Nhà nghỉ nội bộ Tỉnh Ủy</t>
  </si>
  <si>
    <t>Nâng cấp, sửa chữa trụ sở làm việc Huyện ủy U Minh</t>
  </si>
  <si>
    <t>7607698</t>
  </si>
  <si>
    <t>Các hạng mục công trình phụ Trụ sở làm việc Huyện ủy Ngọc Hiển</t>
  </si>
  <si>
    <t>Trụ sở làm việc Đài Truyền thanh huyện Phú Tân</t>
  </si>
  <si>
    <t>Cải tạo, nâng cấp Trụ sở hành chính xã Phú Tân</t>
  </si>
  <si>
    <t>Tuyến đường bờ Tây kênh Kiểm Lâm</t>
  </si>
  <si>
    <t>Trụ sở hành chính xã Đất Mới, huyện Năm Căn</t>
  </si>
  <si>
    <t>Ủy ban nhân dân huyện Năm Căn</t>
  </si>
  <si>
    <t>Trụ sở hành chính xã Hiệp Tùng, huyện Năm Căn</t>
  </si>
  <si>
    <t>Trụ sở hành chính xã Lương Thế Trân, huyện Cái Nước</t>
  </si>
  <si>
    <t>Trụ sở làm việc UBND huyện Cái Nước</t>
  </si>
  <si>
    <t>Dự án đầu tư xây dựng khu chức năng ứng dụng tiến bộ khoa học công nghệ (giai đoạn 3)</t>
  </si>
  <si>
    <t>Sở Khoa học và Công nghệ</t>
  </si>
  <si>
    <t>Cầu Xóm Ruộng</t>
  </si>
  <si>
    <t xml:space="preserve">Ban Quản lý dự án xây dựng công trình Giao thông Cà Mau </t>
  </si>
  <si>
    <t>Tuyến đường từ xã Phong Điền về đầm Thị Tường</t>
  </si>
  <si>
    <t>Dự án nâng cấp, mở rộng đường Cà Mau - Đầm Dơi (đoạn từ Hải Thượng Lãn Ông đến ngã ba Hòa Thành)</t>
  </si>
  <si>
    <t>Nâng cấp tuyến đường từ cầu 7 Kênh (tuyến kênh 18) đến điểm du lịch sinh thái sông Trẹm</t>
  </si>
  <si>
    <t>Cầu Trảng Cò và cầu Rạch Ruộng</t>
  </si>
  <si>
    <t>Dự án Tăng cường đầu tư hiện đại hóa các trang thiết bị kỹ thuật phục vụ công tác quản lý nhà nước về bảo vệ môi trường trên địa bàn tỉnh Cà Mau giai đoạn 2018 - 2020</t>
  </si>
  <si>
    <t>Sở Tài nguyên và Môi trường</t>
  </si>
  <si>
    <t>Dự án Trụ sở Chi cục Bảo vệ môi trường và Trung tâm quan trắc môi trường tỉnh Cà Mau</t>
  </si>
  <si>
    <t>THANH TOÁN KHỐI LƯỢNG TỒN ĐỌNG KHI QUYẾT TOÁN</t>
  </si>
  <si>
    <t>Sở Tài chính phân khai thực hiện</t>
  </si>
  <si>
    <t>Sở Văn hóa, Thể thao, Du lịch</t>
  </si>
  <si>
    <t>Xây dựng công trình Trụ sở Đội Thông tin văn nghệ Khmer</t>
  </si>
  <si>
    <t>7071911</t>
  </si>
  <si>
    <t>Sửa chữa, khắc phục sự cố tuyến đường nhánh Khai Long</t>
  </si>
  <si>
    <t>1043980</t>
  </si>
  <si>
    <t>Dự án Tu bổ, tôn tạo Di tích lịch sử đình Tân Hưng</t>
  </si>
  <si>
    <t>7159765</t>
  </si>
  <si>
    <t>Trùng tu, sửa chữa một số hạng mục của Tòa thánh Ngọc Sắc, huyện Thới Bình</t>
  </si>
  <si>
    <t>7339206</t>
  </si>
  <si>
    <t>Xây dựng cổng, hàng rào Tòa thánh Ngọc Sắc, xã Hồ Thị Kỷ, huyện Thới Bình</t>
  </si>
  <si>
    <t>7414207</t>
  </si>
  <si>
    <t>Khu di tích căn cứ Tỉnh ủy  Lung Lá - Nhà Thể</t>
  </si>
  <si>
    <t>7112880</t>
  </si>
  <si>
    <t>Sở Lao động, thương Binh và Xã hội</t>
  </si>
  <si>
    <t>Sửa chữa, cải tạo Trung tâm nuôi dưỡng người tâm thần tỉnh Cà Mau</t>
  </si>
  <si>
    <t>7213019</t>
  </si>
  <si>
    <t>Dự án đầu tư cải tạo, nâng cấp, mở rộng Trung tâm Lao động Giáo dục Xã hội tỉnh Cà Mau</t>
  </si>
  <si>
    <t>7007924</t>
  </si>
  <si>
    <t>Xây dựng Bờ Kè Trung tâm Bảo trợ xã hội tỉnh Cà Mau</t>
  </si>
  <si>
    <t>7549688</t>
  </si>
  <si>
    <t>Xây dựng và sửa chữa Trung tâm Bảo trợ xã hội tỉnh Cà Mau</t>
  </si>
  <si>
    <t>7187708</t>
  </si>
  <si>
    <t>Xây dựng nhà thăm học viên thuộc Trung tâm Giáo dục lao động xã hội tỉnh Cà Mau</t>
  </si>
  <si>
    <t>7418532</t>
  </si>
  <si>
    <t>Sở Y tế</t>
  </si>
  <si>
    <t>Dự án đầu tư xây dựng công trình Trung tâm Y tế huyện Ngọc Hiển, tỉnh Cà Mau</t>
  </si>
  <si>
    <t>7277080</t>
  </si>
  <si>
    <t>Sở Thông tin và truyền thông</t>
  </si>
  <si>
    <t>Mua sắm trang thiết bị Hội trường Điện tử tỉnh Cà Mau</t>
  </si>
  <si>
    <t>7343903</t>
  </si>
  <si>
    <t>Xây dựng Trung tâm dữ liệu của tỉnh phục vụ lưu trữ và quản lý dữ liệu</t>
  </si>
  <si>
    <t>7385711</t>
  </si>
  <si>
    <t>Sở Xây dựng</t>
  </si>
  <si>
    <t>Quy hoạch chi tiết xây dựng Khu đô thị mới Quảng trường Văn hóa trung tâm và Trung tâm Hội nghị tỉnh Cà Mau, tỷ lệ 1/500</t>
  </si>
  <si>
    <t>7253679</t>
  </si>
  <si>
    <t>Xây dựng 100 căn nhà ở xã hội tại khu tái định cư phường 9, thành phố Cà Mau</t>
  </si>
  <si>
    <t>Nhà làm việc ban QLDA khu trung tâm Hành chính-Chính trị tỉnh</t>
  </si>
  <si>
    <t>XD khu đô thị Trung tâm Hành chính-Chính trị tỉnh</t>
  </si>
  <si>
    <t>Quy hoạch chi tiết Khu dân cư các tuyến đường Vành đai 2, Cà Mau - Tắc Thủ, tuyến Quốc lộ 1A (Tắc Vân - Cà Mau - Lương Thế Trân), tỷ lệ 1/2000</t>
  </si>
  <si>
    <t>7595544</t>
  </si>
  <si>
    <t>Sửa chữa Nhà khách UBND tỉnh Cà Mau</t>
  </si>
  <si>
    <t>Sở Giao thông Vận tải</t>
  </si>
  <si>
    <t>Dự án xây dựng tuyến đường Thới Bình - U Minh</t>
  </si>
  <si>
    <t>7313266</t>
  </si>
  <si>
    <t>Dự án xây dựng tuyến đường Lương Thế Trân - Tạ An Khương</t>
  </si>
  <si>
    <t>7007175</t>
  </si>
  <si>
    <t>Cải tạo, nâng cấp đường Vàm Đình - Cái Đôi Vàm</t>
  </si>
  <si>
    <t>7006870</t>
  </si>
  <si>
    <t>Xây dựng cầu Sông Đốc (KS lập dự án)</t>
  </si>
  <si>
    <t>7292539</t>
  </si>
  <si>
    <t>Nạo vét kênh Ông Định (khảo sát lập dự án)</t>
  </si>
  <si>
    <t>7318117</t>
  </si>
  <si>
    <t>Dự án đầu tư xây dựng cầu Rạch Ruộng Nhỏ huyện Trần Văn Thời</t>
  </si>
  <si>
    <t>7006700</t>
  </si>
  <si>
    <t>Sở Nông nghiệp và Phát triển Nông thôn</t>
  </si>
  <si>
    <t>Nâng cấp công trình cấp nước nông thôn thuộc huyện Ngọc Hiển</t>
  </si>
  <si>
    <t>7270942</t>
  </si>
  <si>
    <t>Nâng cấp sửa chữa mở rộng công trình cấp nước nông thôn thuộc thành phố Cà Mau</t>
  </si>
  <si>
    <t>7291615</t>
  </si>
  <si>
    <t>Nâng cấp sửa chữa mở rộng công trình cấp nước nông thôn thuộc huyện Trần Văn Thời</t>
  </si>
  <si>
    <t>7291618</t>
  </si>
  <si>
    <t>Công trình cấp nước cụm dân cư nông thôn ấp 1, xã Thới Bình, huyện Thới Bình</t>
  </si>
  <si>
    <t>7291703</t>
  </si>
  <si>
    <t>Công trình cấp nước cụm dân cư nông thôn ấp Trương Thoại (kênh 12), xã Biển Bạch, huyện Thới Bình</t>
  </si>
  <si>
    <t>7291705</t>
  </si>
  <si>
    <t>Công trình cấp nước cụm dân cư nông thôn ấp Tân Điền B, xã Tạ An Khương, huyện Đầm Dơi</t>
  </si>
  <si>
    <t>7291707</t>
  </si>
  <si>
    <t>Công trình cấp nước cụm dân cư nông thôn ấp Mỹ Đông, xã Trần Thới, huyện Cái Nước</t>
  </si>
  <si>
    <t>7291710</t>
  </si>
  <si>
    <t xml:space="preserve"> Công trình cấp nước cụm dân cư nông thôn ấp Sào Lưới, xã Nguyễn Việt Khái, huyện Phú Tân</t>
  </si>
  <si>
    <t>7293127</t>
  </si>
  <si>
    <t xml:space="preserve"> Công trình cấp nước cụm dân cư nông thôn ấp Nguyễn Huân, xã Tân Bằng, huyện Thới Bình</t>
  </si>
  <si>
    <t>7339225</t>
  </si>
  <si>
    <t>Công trình cấp nước cụm dân cư nông thôn ấp Thứ Vải B, xã Tân Hưng Tây, huyện Phú Tân</t>
  </si>
  <si>
    <t>7339228</t>
  </si>
  <si>
    <t>Công trình cấp nước cụm dân cư nông thôn ấp Xóm Dừa, xã Quách Phẩm, huyện Đầm Dơi</t>
  </si>
  <si>
    <t>7339229</t>
  </si>
  <si>
    <t>Cấp nước cụm dân cư nông thôn ấp Thanh Tùng và ấp Trương Thoại, xã Biển Bạch, huyện Thới Bình</t>
  </si>
  <si>
    <t>7362210</t>
  </si>
  <si>
    <t>Xây dựng mới công trình cấp nước cụm dân cư nông thôn xã Hàng Vịnh và xã Hiệp Tùng, huyện Năm Căn</t>
  </si>
  <si>
    <t>7400222</t>
  </si>
  <si>
    <t>Nâng cấp, sửa chữa và mở rộng công trình cấp nước nông thôn thuộc huyện Trần Văn Thời (ấp Rạch Ruộng xã Khánh Lộc, ấp 6 xã Khánh Bình Đông)</t>
  </si>
  <si>
    <t>7542406</t>
  </si>
  <si>
    <t>Nâng cấp, sửa chữa và mở rộng công trình cấp nước nông thôn thuộc huyện Cái Nước (ấp Rau Dừa và ấp Lý Ấn xã Hưng Mỹ)</t>
  </si>
  <si>
    <t>7542412</t>
  </si>
  <si>
    <t>Nâng cấp, sửa chữa và mở rộng công trình cấp nước nông thôn thuộc huyện Năm Căn (Lâm ngư trường Tam Giang 3, xã Tam Giang)</t>
  </si>
  <si>
    <t>7542417</t>
  </si>
  <si>
    <t>Nâng cấp công suất công trình cấp nước cụm dân cư nông thôn ấp 2, ấp 3, xã Khánh Bình Tây Bắc, huyện Trần Văn Thời</t>
  </si>
  <si>
    <t>7542424</t>
  </si>
  <si>
    <t>Ban QLDA công trình Xây dựng</t>
  </si>
  <si>
    <t>Trụ sở Đội quản lý thị trường huyện Đầm Dơi</t>
  </si>
  <si>
    <t>Sửa chữa Nhà Kỹ thuật nghiệp vụ thuộc Bệnh viện đa khoa tỉnh Cà Mau</t>
  </si>
  <si>
    <t>7522783</t>
  </si>
  <si>
    <t>Trường THCS - THPT Lý Văn Lâm</t>
  </si>
  <si>
    <t>7541535</t>
  </si>
  <si>
    <t>Xây dựng Trường THPT Tân Bằng, huyện Thới Bình (giai đoạn 1)</t>
  </si>
  <si>
    <t>7510541</t>
  </si>
  <si>
    <t>Trụ sở làm việc Ban Quản lý rừng phòng hộ Đất Mũi</t>
  </si>
  <si>
    <t>Sửa chữa, cải tạo một số hạng mục tại sân vận động thuộc Trung tâm Thể dục Thể thao tỉnh Cà Mau</t>
  </si>
  <si>
    <t>Đài biểu tượng Mũi Cà Mau</t>
  </si>
  <si>
    <t>7047703</t>
  </si>
  <si>
    <t xml:space="preserve"> Trung tâm bảo trợ xã hội tỉnh Cà Mau</t>
  </si>
  <si>
    <t>7441493</t>
  </si>
  <si>
    <t>Sửa chữa Bệnh viện Đông y Cà Mau</t>
  </si>
  <si>
    <t>Xây dựng, sửa chữa, nâng cấp một số hạng mục công trình - Khu Công viên Văn hóa Du lịch Mũi Cà Mau</t>
  </si>
  <si>
    <t>7428112</t>
  </si>
  <si>
    <t>7465891</t>
  </si>
  <si>
    <t>Trường THPT Tắc Vân, TPCM (giai đoạn 2)</t>
  </si>
  <si>
    <t>7541066</t>
  </si>
  <si>
    <t>Xây dựng Khu nhà chờ tiếp nhận bệnh nhân thuộc Bệnh viện Đa khoa tỉnh Cà Mau</t>
  </si>
  <si>
    <t>7332495</t>
  </si>
  <si>
    <t>Trường THCS và THPT Khánh An  huyện U Minh</t>
  </si>
  <si>
    <t>7322247</t>
  </si>
  <si>
    <t>Dự án đầu tư xây dựng công trình Trung tâm Y tế dự phòng tỉnh Cà Mau</t>
  </si>
  <si>
    <t>7455622</t>
  </si>
  <si>
    <t>7443942</t>
  </si>
  <si>
    <t>Hệ thống lan can, điện chiếu sáng, lát gạch đường đi, lát đan kín phần còn lại đỉnh kè thuộc dự án Kè khắc phục sạt lở Mũi Cà Mau</t>
  </si>
  <si>
    <t>7428111</t>
  </si>
  <si>
    <t>Trung tâm giáo dục lao động xã hội tỉnh Cà Mau</t>
  </si>
  <si>
    <t>7443944</t>
  </si>
  <si>
    <t>Trụ sở cơ quan tiếp dân tỉnh Cà Mau</t>
  </si>
  <si>
    <t>7452357</t>
  </si>
  <si>
    <t xml:space="preserve"> Sửa chữa một số hạng mục công trình Bệnh viện Đa khoa Cà Mau</t>
  </si>
  <si>
    <t>7474051</t>
  </si>
  <si>
    <t>Vườn quốc gia Mũi Cà Mau</t>
  </si>
  <si>
    <t>Vùng đệm Vườn Quốc gia Mũi Cà Mau</t>
  </si>
  <si>
    <t>Xây dựng đường nội bộ Vườn Quốc gia Mũi Cà Mau</t>
  </si>
  <si>
    <t>7007628</t>
  </si>
  <si>
    <t>Đài Phát thanh-Truyền hình</t>
  </si>
  <si>
    <t>Đầu tư xây dựng Khu kỹ thuật phát thanh AM</t>
  </si>
  <si>
    <t>7249237</t>
  </si>
  <si>
    <t>Chi Cục Kiểm lâm</t>
  </si>
  <si>
    <t>Xây dựng Trụ sở Hạt kiểm lâm huyện Phú Tân, tỉnh Cà Mau</t>
  </si>
  <si>
    <t>7391314</t>
  </si>
  <si>
    <t>Trụ sở Đội Kiểm lâm cơ động và Phòng cháy chữa cháy rừng số 1</t>
  </si>
  <si>
    <t>7252803</t>
  </si>
  <si>
    <t>Kế hoạch bảo vệ và phát triển rừng tỉnh CM năm 2013 - 2020</t>
  </si>
  <si>
    <t>7431072</t>
  </si>
  <si>
    <t>7431228</t>
  </si>
  <si>
    <t>Chi cục Thủy lợi</t>
  </si>
  <si>
    <t>Sửa chữa trụ sở làm việc Chi cục Thủy lợi</t>
  </si>
  <si>
    <t>7366207</t>
  </si>
  <si>
    <t>Bồi trúc đê sông chống tràn kết hợp làm lộ giao thông nông thôn trên địa bàn huyện U Minh</t>
  </si>
  <si>
    <t>7397397</t>
  </si>
  <si>
    <t>Bồi trúc đê sông chống tràn kết hợp làm lộ giao thông nông thôn trên địa bàn huyện Phú Tân</t>
  </si>
  <si>
    <t>7397403</t>
  </si>
  <si>
    <t>Bồi trúc đê sông chống tràn kết hợp làm lộ giao thông nông thôn sông Mỹ Bình và kênh Rạch Vinh, xã Phong Điền, huyện Trần Văn Thời</t>
  </si>
  <si>
    <t>7403273</t>
  </si>
  <si>
    <t>Kênh 10, xã Biển Bạch, huyện Thới Bình</t>
  </si>
  <si>
    <t>7422388</t>
  </si>
  <si>
    <t>Kênh Bờ bao Ba Quý, xã Nguyễn Phích - Khánh Thuận, huyện U Minh</t>
  </si>
  <si>
    <t>7429151</t>
  </si>
  <si>
    <t>Đường ô tô đến trung tâm xã Tạ An Khương Đông (từ thị trấn Đầm Dơi đến Tạ An Khương Đông), huyện Đầm Dơi</t>
  </si>
  <si>
    <t>Trường THCS tạ An Khương Nam, huyện Đầm Dơi</t>
  </si>
  <si>
    <t>7501906</t>
  </si>
  <si>
    <t>Trụ sở hành chính xã Ngọc Chánh huyện Đầm Dơi</t>
  </si>
  <si>
    <t>7428536</t>
  </si>
  <si>
    <t>Trường THCS Dương Thị Cẩm Vân - Đầm Dơi</t>
  </si>
  <si>
    <t>7454820</t>
  </si>
  <si>
    <t>Trường THCS Tạ An Khương đạt chuẩn Quốc gia năm 2014</t>
  </si>
  <si>
    <t>7454827</t>
  </si>
  <si>
    <t>Xây dựng khối lớp học 13 phòng - Trường Tiểu học Tân Trung (điểm trung tâm)</t>
  </si>
  <si>
    <t>7275110</t>
  </si>
  <si>
    <t>Xây dựng hội trường xã Tân Thuận huyện Đầm Dơi</t>
  </si>
  <si>
    <t>7428534</t>
  </si>
  <si>
    <t>Trường THCS Tân Dân, huyện Đầm Dơi</t>
  </si>
  <si>
    <t>7435295</t>
  </si>
  <si>
    <t>Xây dựng tuyến đường từ cầu Rạch Sao đến bến đò ngang qua Bệnh viện Đa khoa khu vực huyện (tuyến đường Trần Văn Phú, thị trấn Đầm Dơi)</t>
  </si>
  <si>
    <t>7322251</t>
  </si>
  <si>
    <t>Trung tâm Văn hoá - Thể thao huyện Đầm Dơi (GĐ 2)</t>
  </si>
  <si>
    <t>7434588</t>
  </si>
  <si>
    <t xml:space="preserve"> Cải tạo, nâng cấp Nghĩa trang Liệt sĩ huyện Đầm Dơi</t>
  </si>
  <si>
    <t>7566485</t>
  </si>
  <si>
    <t>Xây dựng Trung tâm Văn hóa - Thể thao huyện Đầm Dơi</t>
  </si>
  <si>
    <t>7181913</t>
  </si>
  <si>
    <t xml:space="preserve"> Đường ô tô đến trung tâm xã Tân Dân, huyện Đầm Dơi</t>
  </si>
  <si>
    <t>Xây dựng trung tâm giáo dục thường xuyên tỉnh Cà Mau</t>
  </si>
  <si>
    <t>7236420</t>
  </si>
  <si>
    <t>Dự án đầu tư xây dựng Bờ kè chống sạt lở đoạn từ Bệnh viện đến Ngân hàng NN&amp;PTNT huyện U Minh</t>
  </si>
  <si>
    <t>7007772</t>
  </si>
  <si>
    <t>Dự án đầu tư xây dựng sân bóng đá, đường trục chính, khán đài, nhà vệ sinh công cộng trong khu TDTT - khu Văn hóa huyện U Minh</t>
  </si>
  <si>
    <t>7007789</t>
  </si>
  <si>
    <t>Dự án đầu tư công trình cải tạo, mở rộng Trụ sở Khối Đoàn thể huyện U Minh</t>
  </si>
  <si>
    <t>7008220</t>
  </si>
  <si>
    <t>Xây dựng công trình Kho Lưu trữ UBND huyện U Minh</t>
  </si>
  <si>
    <t>7439263</t>
  </si>
  <si>
    <t>Công trình khối lớp học 06 phòng - Trường tiểu học 3 Tân Ân xã Tân Ân, huyện Ngọc Hiển</t>
  </si>
  <si>
    <t>7078088</t>
  </si>
  <si>
    <t>Xây dựng công trình dãy lớp học 05 phòng - Trường THCS Viên An Đông</t>
  </si>
  <si>
    <t>7084365</t>
  </si>
  <si>
    <t>Xây dựng nhà công vụ giáo viên 04 phòng - Trường THCS xã Viên An Đông và 02 phòng - Trường Mẫu giáo xã Viên An Đông, huyện Ngọc Hiển</t>
  </si>
  <si>
    <t>7409694</t>
  </si>
  <si>
    <t>Mở rộng lộ bê tông từ cầu Nhà Phiếu đến bến phà Ô Rô xã Tân Ân, huyện Ngọc Hiển</t>
  </si>
  <si>
    <t>7480926</t>
  </si>
  <si>
    <t>Xây dựng lộ bê tông chống tràn khu trung tâm hành chính xã Tam Giang Tây, huyện Ngọc Hiển</t>
  </si>
  <si>
    <t>7480932</t>
  </si>
  <si>
    <t xml:space="preserve"> XD cầu rạch Ông Như xã Tân Ân Tây</t>
  </si>
  <si>
    <t>7378298</t>
  </si>
  <si>
    <t>Xây dựng công trình khối lớp học dãy 6 phòng và dãy 8 phòng - Trường tiểu học Việt Thắng 1, xã Việt Thắng, huyện Phú Tân</t>
  </si>
  <si>
    <t>7071156</t>
  </si>
  <si>
    <t>Công trình Trung tâm Dạy nghề huyện Phú Tân tỉnh Cà Mau</t>
  </si>
  <si>
    <t>7059737</t>
  </si>
  <si>
    <t>Trụ sở UBND xã Việt Thắng</t>
  </si>
  <si>
    <t>7420949</t>
  </si>
  <si>
    <t>Công trình Trung tâm Giáo dục thường xuyên huyện Phú Tân, tỉnh Cà Mau</t>
  </si>
  <si>
    <t>7059504</t>
  </si>
  <si>
    <t>Xây dựng Đài hỏa táng Chùa Cao Dân huyện Thới Bình.</t>
  </si>
  <si>
    <t>7023314</t>
  </si>
  <si>
    <t>Xây dựng công trình Trạm Y tế xã Biển Bạch</t>
  </si>
  <si>
    <t>7025594</t>
  </si>
  <si>
    <t>Xây dựng tuyến đường ô tô đến trung tâm xã Hồ Thị Kỷ</t>
  </si>
  <si>
    <t>7025601</t>
  </si>
  <si>
    <t>Công trình nạo vét kênh Mười Một</t>
  </si>
  <si>
    <t>7025921</t>
  </si>
  <si>
    <t>Công trình nạo vét kênh Mười Rưỡi</t>
  </si>
  <si>
    <t>7025927</t>
  </si>
  <si>
    <t>Công trình nạo vét Kênh 5, xã Trí Lực</t>
  </si>
  <si>
    <t>7025990</t>
  </si>
  <si>
    <t>Công trình nạo vét kênh Láng Trâm 4</t>
  </si>
  <si>
    <t>7026039</t>
  </si>
  <si>
    <t>Công trình nạo vét kênh Láng Trâm 3</t>
  </si>
  <si>
    <t>7026044</t>
  </si>
  <si>
    <t>Nâng cấp, mở rộng trụ sở HĐND - UBND huyện Thới Bình</t>
  </si>
  <si>
    <t>7472264</t>
  </si>
  <si>
    <t>Xây dựng khối lớp học 06 phòng - Trường THCS Lê Hoàng Thá</t>
  </si>
  <si>
    <t>7279713</t>
  </si>
  <si>
    <t>Xây dựng khối nhà công  vụ giáo viên 12 phòng - Trường THCS Tân Lộc và Tân Lộc Bắc</t>
  </si>
  <si>
    <t>7330368</t>
  </si>
  <si>
    <t>Xây dựng khối nhà công vụ giáo viên 08 phòng - Trường THCS Hồ Thị Kỷ</t>
  </si>
  <si>
    <t>7279717</t>
  </si>
  <si>
    <t>Xây dựng khối lớp học 03 phòng - Trường TH Hồ Thị Kỷ A</t>
  </si>
  <si>
    <t>7151361</t>
  </si>
  <si>
    <t>Xây dựng khối lớp học 04 phòng - Trường TH Bào Nhàn (Cái Bát)</t>
  </si>
  <si>
    <t>7151388</t>
  </si>
  <si>
    <t>Xây dựng khối lớp học 04 phòng - Trường TH Biển Bạch</t>
  </si>
  <si>
    <t>7151373</t>
  </si>
  <si>
    <t>Xây dựng khối lớp học 06 phòng - Trường TH Tân Lộc</t>
  </si>
  <si>
    <t>7192878</t>
  </si>
  <si>
    <t>Xây dựng khối lớp học 08 phòng - Trường TH Thị trấn A</t>
  </si>
  <si>
    <t>7077072</t>
  </si>
  <si>
    <t>Xây dựng khối lớp học 06 phòng - Trường THCS Tân Phú</t>
  </si>
  <si>
    <t>7077114</t>
  </si>
  <si>
    <t>Xây dựng khối lớp học 08 phòng -Trường THCS Tân Lộc</t>
  </si>
  <si>
    <t>7077466</t>
  </si>
  <si>
    <t>Xây dựng khối lớp học 08 phòng -Trường THCS Trí Phải</t>
  </si>
  <si>
    <t>7138810</t>
  </si>
  <si>
    <t>Xây dựng khối lớp học 08 phòng - Trường TH Tân Phú</t>
  </si>
  <si>
    <t>7077454</t>
  </si>
  <si>
    <t>Xây dựng nhà công vụ giáo viên 02 phòng - Trường TH Bào Nhàn (Xóm lá)</t>
  </si>
  <si>
    <t>7262798</t>
  </si>
  <si>
    <t>Cải tạo, sửa chữa sân, hàng rào và 2 phòng trường MN Hoa Thủy tiên</t>
  </si>
  <si>
    <t>7316222</t>
  </si>
  <si>
    <t>Cải tạo, sửa chữa 02 dãy phòng học (20 phòng) - Trường THCS T/trấn</t>
  </si>
  <si>
    <t>7316223</t>
  </si>
  <si>
    <t>Xây dựng khối lớp học 03 phòng - Trường TH Biển Bạch Tây (kinh 16)</t>
  </si>
  <si>
    <t>7279707</t>
  </si>
  <si>
    <t>Xây dựng nhà công vụ giáo viên 04 phòng - Trường THCS Tân Phong</t>
  </si>
  <si>
    <t>7335257</t>
  </si>
  <si>
    <t>Xây dựng nhà công vụ giáo viên 04 phòng - Trường TH Tân Quý</t>
  </si>
  <si>
    <t>7335258</t>
  </si>
  <si>
    <t>Xây dựng nhà công vụ giáo viên 04 phòng - Trường TH phong tiến</t>
  </si>
  <si>
    <t>7335262</t>
  </si>
  <si>
    <t>Xây dựng nhà công vụ giáo viên 02 phòng - Trường THCS Hồ Thị Kỷ (Bào Nhàn)</t>
  </si>
  <si>
    <t>7262794</t>
  </si>
  <si>
    <t>Xây dựng khối lớp học 03 phòng - Trường THCS Tân Phong</t>
  </si>
  <si>
    <t>7279712</t>
  </si>
  <si>
    <t>Xây dựng khối lớp học 04 phòng - Trường TH Biển Bạch Đông</t>
  </si>
  <si>
    <t>7262787</t>
  </si>
  <si>
    <t>Xây dựng khối lớp học 03 phòng - Trường TH Biển Bạch (kinh 7)</t>
  </si>
  <si>
    <t>7279711</t>
  </si>
  <si>
    <t>Xây dựng khối lớp học 06 phòng - Trường TH Hồ Thị Kỷ B</t>
  </si>
  <si>
    <t>7279710</t>
  </si>
  <si>
    <t>XD KL học 04 phòng - Trường TH Tân Bình (Cây Mốp)</t>
  </si>
  <si>
    <t>7236243</t>
  </si>
  <si>
    <t>Xây dựng khối lớp học 06 phòng-Trường THCS Tân Lợi</t>
  </si>
  <si>
    <t>7279715</t>
  </si>
  <si>
    <t>Xây dựng khối lớp học 04 phòng-Trường THCS Khánh Thới (Đồng sậy)</t>
  </si>
  <si>
    <t>7236229</t>
  </si>
  <si>
    <t>Trường Mẫu giáo Hoa Phượng</t>
  </si>
  <si>
    <t>7307872</t>
  </si>
  <si>
    <t>Xây dựng sân, cổng, hàng rào, nhà để xe - Trường TH Tân Phú</t>
  </si>
  <si>
    <t>7307873</t>
  </si>
  <si>
    <t>Trường Mầm Non xã Tân Lộc</t>
  </si>
  <si>
    <t>7252014</t>
  </si>
  <si>
    <t>Xây dựng tuyến lộ GTNT xã Tam Giang Đông (thuộc Dự án hỗ trợ đầu tư cơ sở hạ tầng các huyện nghèo, các xã đặc biệt khó khăn vùng bãi ngang ven biển và hải đảo)</t>
  </si>
  <si>
    <t>7372016</t>
  </si>
  <si>
    <t>Xây dựng Trường THCS xã Lâm Hải, huyện Năm Căn</t>
  </si>
  <si>
    <t>7054732</t>
  </si>
  <si>
    <t>Trường Mẫu giáo Sao Mai, thị trấn Năm Căn</t>
  </si>
  <si>
    <t>7258715</t>
  </si>
  <si>
    <t>Xây dựng Trường THCS Tam Giang Đông, xã Tam Giang Đông</t>
  </si>
  <si>
    <t>7227136</t>
  </si>
  <si>
    <t>Xây dựng Trường THCS Hiệp Tùng, xã Hiệp Tùng</t>
  </si>
  <si>
    <t>7227141</t>
  </si>
  <si>
    <t>Xây dựng Trường Mẫu giáo Hàng Vịnh, xã Hàng Vịnh</t>
  </si>
  <si>
    <t>7227147</t>
  </si>
  <si>
    <t>Xây dựng sân, cổng, hàng rào và nhà bảo vệ - Trường Mẫu giáo thị trấn Năm Căn</t>
  </si>
  <si>
    <t>7263509</t>
  </si>
  <si>
    <t>Xây dựng dãy lớp học 04 phòng - Trường tiểu học 2 Hiệp Tùng</t>
  </si>
  <si>
    <t>7089449</t>
  </si>
  <si>
    <t>Dự án đầu tư xây dựng công trình Đê ngăn triều cường ven sông Cửa Lớn</t>
  </si>
  <si>
    <t>3003078</t>
  </si>
  <si>
    <t>Dự án đầu tư công trình xây dựng 8 phòng học Trường tiểu học xã Lâm Hải, huyện Năm Căn</t>
  </si>
  <si>
    <t>7008960</t>
  </si>
  <si>
    <t>Nâng cấp, sửa chữa công trình Trụ sở làm việc và Hội trường huyện ủy Năm Căn</t>
  </si>
  <si>
    <t>7414763</t>
  </si>
  <si>
    <t>Dự án đầu tư xây dựng công trình Cầu dây giăng ngang trụ sở UBND xã Đất Mới, huyện Năm Căn</t>
  </si>
  <si>
    <t>Trụ sở làm việc tạm huyện Năm Căn; hạng mục: Xây dựng mới</t>
  </si>
  <si>
    <t xml:space="preserve">Xây dựng cơ sở hạ tầng xã bãi ngang ven biển: xã Tam Giang Đông, huyện Năm Căn </t>
  </si>
  <si>
    <t>7304835</t>
  </si>
  <si>
    <t>Dự án đầu tư công trình xây dựng 6 phòng học Trường THCS Hàng Vịnh xã Hàng Vịnh, huyện Năm Căn</t>
  </si>
  <si>
    <t>7008941</t>
  </si>
  <si>
    <t>Xây dựng tuyến đường từ Trung tâm xã Tam Giang Đông - Hố Gùi huyện Năm Căn</t>
  </si>
  <si>
    <t>7010449</t>
  </si>
  <si>
    <t>Xây dựng công trình Trụ sở xã Lâm Hải</t>
  </si>
  <si>
    <t>7250635</t>
  </si>
  <si>
    <t>Dự án đầu tư xây dựng Trung tâm bồi dưỡng Chính trị, huyện Năm Căn - tỉnh Cà Mau</t>
  </si>
  <si>
    <t>7008824</t>
  </si>
  <si>
    <t>Sửa chữa và nâng cấp trụ sở UBND huyện Trần Văn Thời</t>
  </si>
  <si>
    <t>7011592</t>
  </si>
  <si>
    <t>Tuyến đường lộ từ Trường Lý Tự Trọng, Tắc Thủ, Rạch Ráng</t>
  </si>
  <si>
    <t>7011749</t>
  </si>
  <si>
    <t>Trung tâm bồi dưỡng chính trị huyện TVT</t>
  </si>
  <si>
    <t>7072368</t>
  </si>
  <si>
    <t>Trường MN Hướng Dương 6P</t>
  </si>
  <si>
    <t>7072681</t>
  </si>
  <si>
    <t>Trường TH Sông Đốc 5-8P</t>
  </si>
  <si>
    <t>7072690</t>
  </si>
  <si>
    <t>Trường TH Khánh Hưng 3-8P</t>
  </si>
  <si>
    <t>7128145</t>
  </si>
  <si>
    <t>Trường TH Khánh Bình Đông 5-6P</t>
  </si>
  <si>
    <t>7128985</t>
  </si>
  <si>
    <t>Trường THCS Khánh Hải 6P</t>
  </si>
  <si>
    <t>7129005</t>
  </si>
  <si>
    <t>Trường THCS Khánh Bình Tây Bắc, 12p (2 dãy)</t>
  </si>
  <si>
    <t>7129016</t>
  </si>
  <si>
    <t>Trường THCS Khánh Bình Đông 2-6P</t>
  </si>
  <si>
    <t>7129042</t>
  </si>
  <si>
    <t>Kho lưu trữ hồ sơ tài liệu VP huyện Uỷ</t>
  </si>
  <si>
    <t>7203240</t>
  </si>
  <si>
    <t>Trường TH Khánh Hải 3-8P</t>
  </si>
  <si>
    <t>7203243</t>
  </si>
  <si>
    <t>QHTT phát triển KTXH huyện TVT đến năm 2020</t>
  </si>
  <si>
    <t>7209874</t>
  </si>
  <si>
    <t>Trường TH Sông Đốc4- 6P</t>
  </si>
  <si>
    <t>7252896</t>
  </si>
  <si>
    <t>Trường TH Phong Lạc 3-6P</t>
  </si>
  <si>
    <t>7252904</t>
  </si>
  <si>
    <t>Trường TH Nông Trường U Minh 3 6P</t>
  </si>
  <si>
    <t>7252917</t>
  </si>
  <si>
    <t>Trường TH Nông Trường U Minh 1-6P</t>
  </si>
  <si>
    <t>7252922</t>
  </si>
  <si>
    <t>Trường TH Khánh Bình 1 -4P</t>
  </si>
  <si>
    <t>7252937</t>
  </si>
  <si>
    <t>Trường tiểu học Sông Đốc 3</t>
  </si>
  <si>
    <t>7258176</t>
  </si>
  <si>
    <t>Trường THCS Phong Điền 13P</t>
  </si>
  <si>
    <t>7258187</t>
  </si>
  <si>
    <t>Trường MN Khánh Hưng</t>
  </si>
  <si>
    <t>7264542</t>
  </si>
  <si>
    <t>Trường Mầm non xã Khánh Lộc</t>
  </si>
  <si>
    <t>7264580</t>
  </si>
  <si>
    <t>Nhà công vụ giáo viên (10 phòng) -Trường THCS Khánh Bình Đông 2</t>
  </si>
  <si>
    <t>7264589</t>
  </si>
  <si>
    <t>Nhà công vụ giáo viên (02 phòng) - Trường TH Khánh Bình Đông 4</t>
  </si>
  <si>
    <t>7264591</t>
  </si>
  <si>
    <t>Trường THPT Trần Văn Thời  10P</t>
  </si>
  <si>
    <t>7266862</t>
  </si>
  <si>
    <t>Trường TH 2 Phong Điền (XD mới khối lớp học 6P)</t>
  </si>
  <si>
    <t>7266865</t>
  </si>
  <si>
    <t>Trường MN Khánh Hải -5P</t>
  </si>
  <si>
    <t>7266867</t>
  </si>
  <si>
    <t>Trường tiểu học Khánh Hải 4</t>
  </si>
  <si>
    <t>7266869</t>
  </si>
  <si>
    <t>Trường Mầm non xã Phong Lạc</t>
  </si>
  <si>
    <t>7274662</t>
  </si>
  <si>
    <t>Trụ sở xã Khánh Hưng</t>
  </si>
  <si>
    <t>7279844</t>
  </si>
  <si>
    <t>Trường MN Tuồi Thơ,Trường TH KBTB,Trường TH LNT 2….</t>
  </si>
  <si>
    <t>7281369</t>
  </si>
  <si>
    <t>XD nhà xe cổng hàng rào Trường TH Nông trường Sông Đốc</t>
  </si>
  <si>
    <t>7342809</t>
  </si>
  <si>
    <t>XD Bếp ăn,nhà xe,cồng hàng rào Trường MG Hướng Dương</t>
  </si>
  <si>
    <t>7342810</t>
  </si>
  <si>
    <t>Sửa chữa, nâng cấp trụ sở hành chính xã Trần Hợi</t>
  </si>
  <si>
    <t>7414675</t>
  </si>
  <si>
    <t>Mở rộng đường gom hai bênh dốc phía bờ Đông cầu Rạch Ráng</t>
  </si>
  <si>
    <t>7435894</t>
  </si>
  <si>
    <t>Sân bóng đá huyện Trần Văn Thời</t>
  </si>
  <si>
    <t>7203228</t>
  </si>
  <si>
    <t>Xây dựng bờ kè trước UBND Thị trấn Sông Đốc</t>
  </si>
  <si>
    <t>7258171</t>
  </si>
  <si>
    <t>ĐTXD đường ô tô đến Trung tâm xã Khánh Hải, huyện Trần Văn Thời</t>
  </si>
  <si>
    <t>7011572</t>
  </si>
  <si>
    <t>ĐTXD đường ô tô đến Trung tâm xã Trần Hợi, huyện Trần Văn Thời</t>
  </si>
  <si>
    <t>ĐTXD đường ô tô đến Trung tâm xã Lợi An, huyện Trần Văn Thời</t>
  </si>
  <si>
    <t>7011489</t>
  </si>
  <si>
    <t>ĐTXD đường ô tô đến Trung tâm xã Khánh Bình Đông, huyện Trần Văn Thời</t>
  </si>
  <si>
    <t>7011505</t>
  </si>
  <si>
    <t>ĐTXD đường ô tô đến Trung tâm xã Khánh Bình Tây Bắc, huyện Trần Văn Thời</t>
  </si>
  <si>
    <t>7011560</t>
  </si>
  <si>
    <t>ĐTXD đường ô tô đến Trung tâm xã Phong Điền, huyện Trần Văn Thời</t>
  </si>
  <si>
    <t>7011500</t>
  </si>
  <si>
    <t>ĐTXD đường ô tô đến Trung tâm xã Khánh Hưng, huyện Trần Văn Thời</t>
  </si>
  <si>
    <t>7011582</t>
  </si>
  <si>
    <t>ĐTXD đường Nội ô thị trấn Trần Văn Thời, huyện Trần Văn Thời (đoạn từ chợ Rạch Ráng đến Bãi Rác</t>
  </si>
  <si>
    <t>7011552</t>
  </si>
  <si>
    <t>Xây dựng công trình Trường THCS Khánh Lộc, huyện Trần Văn Thời</t>
  </si>
  <si>
    <t>7493885</t>
  </si>
  <si>
    <t>Nâng cấp các tuyến đường xung quanh Sân vận động Cà Mau</t>
  </si>
  <si>
    <t>7214519</t>
  </si>
  <si>
    <t>Sửa chữa, di dời, xây dựng hàng rào, đèn chiếu sáng phục vụ lễ</t>
  </si>
  <si>
    <t>7240398</t>
  </si>
  <si>
    <t>Hệ thống chiếu sáng đường Vành Đai 1 và Trần Quang Diệu (phường 9)</t>
  </si>
  <si>
    <t>7265633</t>
  </si>
  <si>
    <t>Trồng cây xanh trên dải phân cách đường Vành đai 1 thành phố Cà Mau</t>
  </si>
  <si>
    <t>7295141</t>
  </si>
  <si>
    <t>Nâng cấp tuyến đường Phạm Ngũ Lão</t>
  </si>
  <si>
    <t>7323605</t>
  </si>
  <si>
    <t>Nâng cấp tuyến đường Nguyễn Đình Thi</t>
  </si>
  <si>
    <t>7323608</t>
  </si>
  <si>
    <t>San lấp mặt bằng dự toán đường Ngô Quyền nối dài (đoạn từ Công viên Văn hóa đến cầu Giồng Kè)</t>
  </si>
  <si>
    <t>7461128</t>
  </si>
  <si>
    <t>Xây dựng đường ô tô đến trung tâm xã Tân Thành</t>
  </si>
  <si>
    <t>7250201</t>
  </si>
  <si>
    <t>Thanh toán công nợ sau quyết toán-UBND Tp Cà Mau</t>
  </si>
  <si>
    <t>7494788</t>
  </si>
  <si>
    <t>Đường Vành đai 1 (đoạn từ Dự án khu đô thị mới Minh Thắng đến đường Lý Văn Lâm)</t>
  </si>
  <si>
    <t>7457907</t>
  </si>
  <si>
    <t>Trụ sở Tỉnh ủy: Tranh, ảnh; cây xanh; thảm cỏ; Camera</t>
  </si>
  <si>
    <t>7543929</t>
  </si>
  <si>
    <t>Trường Trung cấp kinh tế-kỹ thuật</t>
  </si>
  <si>
    <t>Đầu tư xây dựng trại thực nghiệm</t>
  </si>
  <si>
    <t>7590592</t>
  </si>
  <si>
    <t>7640920</t>
  </si>
  <si>
    <t>Ban Quản lý Di tích</t>
  </si>
  <si>
    <t>Bảo tồn, bảo dưỡng Khu tưởng niệm Chủ tịch Hồ Chí Minh năm 2014</t>
  </si>
  <si>
    <t>7460675</t>
  </si>
  <si>
    <t>7640156</t>
  </si>
  <si>
    <t>Trường nuôi dạy trẻ em khuyết tật</t>
  </si>
  <si>
    <t>Trường nuôi dạy trẻ em khuyết tật-Hạng mục sửa chữa phòng ở ký túc xá</t>
  </si>
  <si>
    <t>7639080</t>
  </si>
  <si>
    <t>Chưa phân khai</t>
  </si>
  <si>
    <t>II*</t>
  </si>
  <si>
    <t>Nguồn vốn xổ số kiến thiết</t>
  </si>
  <si>
    <t>LĨNH VỰC Y TẾ</t>
  </si>
  <si>
    <t>Dự án chuyển tiếp giai đoạn 2011 - 2015 sang giai đoạn 2016 - 2020</t>
  </si>
  <si>
    <t xml:space="preserve">Dự án dự kiến hoàn thành và đưa vào sử dụng trong giai đoạn 2016 - 2020 </t>
  </si>
  <si>
    <t>7146174</t>
  </si>
  <si>
    <t>Ban QLDA công trình xây dựng</t>
  </si>
  <si>
    <t>Bệnh viện Sản - Nhi tỉnh Cà Mau</t>
  </si>
  <si>
    <t>Trung tâm Y tế huyện Thới BÌnh</t>
  </si>
  <si>
    <t>7498318</t>
  </si>
  <si>
    <t>UBND huyện Thới Bình</t>
  </si>
  <si>
    <t>7008896</t>
  </si>
  <si>
    <t>Trung tâm y tế huyện Đầm Dơi</t>
  </si>
  <si>
    <t>7539811</t>
  </si>
  <si>
    <t>Mua sắm hệ thống chụp mạch xóa nền DSA cho Bệnh viện đa khoa Cà Mau (trong đó nguồn thu từ viện phí, dịch vụ y tế 2,5 tỷ đồng, còn lại là vốn NSNN)</t>
  </si>
  <si>
    <t>7580551</t>
  </si>
  <si>
    <t>Bệnh viện đa khoa Cà Mau</t>
  </si>
  <si>
    <t>Trường Cao đẳng Y tế Cà Mau</t>
  </si>
  <si>
    <t>7562653</t>
  </si>
  <si>
    <t>Nhà kỹ thuật nghiệp vụ kết hợp khoa cấp cứu Bệnh viện đa khoa Cà Mau</t>
  </si>
  <si>
    <t>7541537</t>
  </si>
  <si>
    <t>Sửa chữa hệ thống phòng cháy chữa cháy và cải tạo sân, đường nội bộ Bệnh viện đa khoa Cà Mau</t>
  </si>
  <si>
    <t>7654392</t>
  </si>
  <si>
    <t>Bệnh viện Đa khoa Cà Mau</t>
  </si>
  <si>
    <t>Sửa chữa một số hạng mục công trình tại Bệnh viện đa khoa Cà Mau</t>
  </si>
  <si>
    <t>7644558</t>
  </si>
  <si>
    <t>Trường THPT Quách Phẩm, huyện Đầm Dơi, giai đoạn 2</t>
  </si>
  <si>
    <t>7219218</t>
  </si>
  <si>
    <t>7584789</t>
  </si>
  <si>
    <t>7549968</t>
  </si>
  <si>
    <t>UBND huyện Năm Căn</t>
  </si>
  <si>
    <t>Trụ sở Sở Giáo dục Đào tạo</t>
  </si>
  <si>
    <t>7536929</t>
  </si>
  <si>
    <t>Trường THPT Tân Bằng (gđ 2) (Khối 10 phòng học và khu hiệu bộ)</t>
  </si>
  <si>
    <t>7618680</t>
  </si>
  <si>
    <t>Xây dựng và sửa chữa Trường THCS - THPT Vàm Đình, huyện Phú Tân</t>
  </si>
  <si>
    <t>7618679</t>
  </si>
  <si>
    <t>Trường THCS Rạch Chèo, huyện Phú Tân</t>
  </si>
  <si>
    <t>7642835</t>
  </si>
  <si>
    <t>UBND huyện Phú Tân</t>
  </si>
  <si>
    <t>Trường THCS Nguyễn Mai, xã Khánh Tiến, huyện U Minh</t>
  </si>
  <si>
    <t>7653357</t>
  </si>
  <si>
    <t>UBND huyện U Minh</t>
  </si>
  <si>
    <t>Trường THCS Trần Quốc Toản, xã Thạnh Phú, huyện Cái Nước</t>
  </si>
  <si>
    <t>7679835</t>
  </si>
  <si>
    <t>UBND huyện Cái Nước</t>
  </si>
  <si>
    <t>Trường THCS Tam Giang, huyện Ngọc Hiển</t>
  </si>
  <si>
    <t>7668831</t>
  </si>
  <si>
    <t>Trường THCS Tam Giang Tây, huyện Ngọc Hiển</t>
  </si>
  <si>
    <t>7668335</t>
  </si>
  <si>
    <t>UBND huyện Ngọc Hiển</t>
  </si>
  <si>
    <t>Sửa chữa, cải tạo cơ sở vật chất cho các trường học trên địa bàn tỉnh Cà Mau</t>
  </si>
  <si>
    <t>Các đơn vị trường học được bố trí vốn sửa chữa</t>
  </si>
  <si>
    <t>Phân khai theo CV số 975/UBND-XD ngày 07/02/2018</t>
  </si>
  <si>
    <t>Sở Giáo dục và Đào tạo</t>
  </si>
  <si>
    <t>Trường Nuôi dạy trẻ Khuyết tật Cà Mau hạng mục sửa chữa phòng ở ký túc xá</t>
  </si>
  <si>
    <t>7638799</t>
  </si>
  <si>
    <t xml:space="preserve"> Trường THPT Huỳnh Phi Hùng</t>
  </si>
  <si>
    <t>7640721</t>
  </si>
  <si>
    <t xml:space="preserve"> Trường THPT Tân Đức</t>
  </si>
  <si>
    <t>7640921</t>
  </si>
  <si>
    <t xml:space="preserve"> Trường THPT Phú Hưng</t>
  </si>
  <si>
    <t>7643407</t>
  </si>
  <si>
    <t xml:space="preserve"> Trường THCS va THPT Lý Văn Lâm</t>
  </si>
  <si>
    <t>7643405</t>
  </si>
  <si>
    <t xml:space="preserve"> Trường THPT Nguyễn Việt Khái</t>
  </si>
  <si>
    <t>7642441</t>
  </si>
  <si>
    <t xml:space="preserve"> Trường THPT U Minh</t>
  </si>
  <si>
    <t>7644323</t>
  </si>
  <si>
    <t>7643408</t>
  </si>
  <si>
    <t xml:space="preserve"> Trường THPT Phú Tân: Cải tạo dãy phong học</t>
  </si>
  <si>
    <t>7646527</t>
  </si>
  <si>
    <t>Trường PTDT Nội Trú</t>
  </si>
  <si>
    <t>7647764</t>
  </si>
  <si>
    <t xml:space="preserve"> Trường THPT Viên An: HM San lắp cát sân trường</t>
  </si>
  <si>
    <t>7644697</t>
  </si>
  <si>
    <t>Trường THPT Tắc Vân, HM: XD nhà xe 2 bánh</t>
  </si>
  <si>
    <t>7647920</t>
  </si>
  <si>
    <t>Trường THPT và THCS Vàm Đình</t>
  </si>
  <si>
    <t>7647664</t>
  </si>
  <si>
    <t xml:space="preserve"> Trường THPT Khánh Hưng</t>
  </si>
  <si>
    <t>7654879</t>
  </si>
  <si>
    <t>7652309</t>
  </si>
  <si>
    <t>Sửa chữa, cải tạo công trình trụ sở Trường Cao đẳng Sư phạm Cà Mau thành Trường THPT Nguyễn Việt Khái</t>
  </si>
  <si>
    <t>7677018</t>
  </si>
  <si>
    <t>Hỗ trợ ngân sách huyện Trần Văn Thời</t>
  </si>
  <si>
    <t>Hỗ trợ Ngân sách huyện Trần Văn Thời</t>
  </si>
  <si>
    <t>Đầu tư xây dựng trường học đạt chuẩn quốc gia</t>
  </si>
  <si>
    <t>14.1</t>
  </si>
  <si>
    <t>Hỗ trợ đầu tư xây dựng Trường Mầm non Bạch Dương, thị trấn U Minh, huyện U Minh</t>
  </si>
  <si>
    <t>14.2</t>
  </si>
  <si>
    <t>Hỗ trợ đầu tư xây dựng Trường Tiểu học Kim Đồng, xã Khánh Hội, huyện U Minh</t>
  </si>
  <si>
    <t>14.3</t>
  </si>
  <si>
    <t>Hỗ trợ đầu tư xây dựng Trường Mẫu giáo xã Tam Giang Tây, huyện Ngọc Hiển</t>
  </si>
  <si>
    <t>14.4</t>
  </si>
  <si>
    <t>Hỗ trợ đầu tư xây dựng Trường Mẫu giáo xã Viên An Đông, huyện Ngọc Hiển</t>
  </si>
  <si>
    <t>14.5</t>
  </si>
  <si>
    <t>Hỗ trợ đầu tư xây dựng Trường Mầm non Hoa Phong Lan, huyện Thới Bình</t>
  </si>
  <si>
    <t>14.6</t>
  </si>
  <si>
    <t>Hỗ trợ đầu tư xây dựng Trường Tiểu học Huỳnh Thị Kim Liên, huyện Thới Bình</t>
  </si>
  <si>
    <t>14.7</t>
  </si>
  <si>
    <t>Hỗ trợ đầu tư xây dựng Trường Mầm non xã Phong Lạc, huyện Trần Văn Thời</t>
  </si>
  <si>
    <t>7171773</t>
  </si>
  <si>
    <t>Đền thờ 10 Anh hùng Liệt sĩ khởi nghĩa Hòn Khoai</t>
  </si>
  <si>
    <t>7231951</t>
  </si>
  <si>
    <t>Đối ứng Đề án hỗ trợ người có công với cách mạng về nhà ở trên địa bàn tỉnh CM - giai đoạn 2 theo QĐ số 22/2013/QĐ-TTg của Thủ tướng Chính phủ</t>
  </si>
  <si>
    <t>Dự án đầu tư "Mua sắm trang thiết bị hệ thống sản xuất chương trình phát thanh truyền hình chuẩn HD"</t>
  </si>
  <si>
    <t>7664967</t>
  </si>
  <si>
    <t>Đài Phát thanh - Truyền hình Cà Mau</t>
  </si>
  <si>
    <t>Tu bổ, tôn tạo di tích lịch sử địa điểm chứng tích Mỹ ngụy ở Biệt khu Hải Yến- Bình Hưng</t>
  </si>
  <si>
    <t>7258703</t>
  </si>
  <si>
    <t>Sửa chữa một phần khán đài B thuộc sân vận động tỉnh làm nhà nghỉ cho vận động viên năng khiếu</t>
  </si>
  <si>
    <t>7655289</t>
  </si>
  <si>
    <t>Nâng cấp xây dựng một số hạng mục công trình tại Đoàn cải lương Hương Tràm tỉnh Cà Mau</t>
  </si>
  <si>
    <t>7567510</t>
  </si>
  <si>
    <t>Trung tâm Văn hóa Thể thao huyện Thới Bình (giai đoạn 2)</t>
  </si>
  <si>
    <t>7604195</t>
  </si>
  <si>
    <t>LĨNH VỰC NÔNG NGHIỆP, XÂY DỰNG NÔNG THÔN MỚI, ỨNG PHÓ VỚI BIẾN ĐỔI KHÍ HẬU</t>
  </si>
  <si>
    <t>Tuyến đường ô tô đến trung tâm xã Tam Giang, huyện Năm Căn</t>
  </si>
  <si>
    <t>UBND huyện Đầm Dơi</t>
  </si>
  <si>
    <t>Tuyến đường ô tô đến trung tâm xã Hiệp Tùng, huyện Năm Căn</t>
  </si>
  <si>
    <t xml:space="preserve"> UBND huyện Năm Căn</t>
  </si>
  <si>
    <t>Tuyến đường ôtô đến trung tâm xã Tân Thuận, huyện Đầm Dơi</t>
  </si>
  <si>
    <t>Tuyến đường ô tô đến trung tâm xã Nguyễn Huân, Đầm Dơi</t>
  </si>
  <si>
    <t>Tuyến đường từ Lầu Quốc Gia đến trung tâm xã Quách Phẩm Bắc, huyện Đầm Dơi</t>
  </si>
  <si>
    <t>Tuyến đường ô tô đến trung tâm xã Tân Tiến, Đầm Dơi</t>
  </si>
  <si>
    <t>Tuyến đường ô tô đến trung tâm xã Khánh An, huyện U Minh (đoạn từ Rạch Cây Khô đến Trường THCS Nguyễn Văn Tố)</t>
  </si>
  <si>
    <t xml:space="preserve"> UBND huyện U Minh</t>
  </si>
  <si>
    <t>Xây dựng mới cầu Nhà Diệu; duy tu, sửa chữa cầu Dinh Hạn trên tuyến đường ô tô đến trung tâm xã Viên An, huyện Ngọc Hiển</t>
  </si>
  <si>
    <t>Tuyến đường đấu nối từ cầu qua sông Rạch Gốc đến cầu Nhà Diệu, xã Tân Ân, huyện Ngọc Hiển</t>
  </si>
  <si>
    <t>7665156</t>
  </si>
  <si>
    <t>Tuyến đường ô tô đến trung tâm xã Hàng Vịnh, huyện Năm Căn (Xây dựng mới 03 cầu Xi Tẹc, Trung Đoàn, Công An)</t>
  </si>
  <si>
    <t>BQLDA XD Công trình Giao thông tỉnh Cà Mau</t>
  </si>
  <si>
    <t>Tuyến đường đê Tây Sông Trẹm đoạn từ thị trấn Thới BÌnh đến xã Biển Bạch Đông, huyện Thới Bình (Ngân sách tỉnh hỗ trợ 70% theo CV số 4758/UBND-XD ngày 19/6/2017 của UBND tỉnh)</t>
  </si>
  <si>
    <t>7613954</t>
  </si>
  <si>
    <t>Tuyến đường từ Hàng Khâu đến Chà Là, xã Tân ân Tây, huyện Ngọc Hiển (Ngân sách tỉnh hỗ trợ 05 tỷ đồng theo CV số 6500/UBND-XD ngày 21/8/2017 của UBND tỉnh)</t>
  </si>
  <si>
    <t>Xây dựng mới 04 cầu trên tuyến đường ô tô đến trung tâm  xã Khánh Tiến, huyện U Minh</t>
  </si>
  <si>
    <t>7657727</t>
  </si>
  <si>
    <t>Tuyến đường vào trung tâm hành chính mới xã Khánh Tiến, huyện U Minh</t>
  </si>
  <si>
    <t>7640724</t>
  </si>
  <si>
    <t>7638797</t>
  </si>
  <si>
    <t>Sửa chữa mặt đường BTCT hiện hữu, mở rộng thêm 1m đoạn từ Km5+660--Km9+810 và bãi đậu xe xã Trần Phán thuộc đường ôtô đến trung tâm xã Quách Phẩm, huyện Đầm Dơi</t>
  </si>
  <si>
    <t>7555458</t>
  </si>
  <si>
    <t>Các dự án ứng phó với biến đổi khí hậu</t>
  </si>
  <si>
    <t>Đối ứng Dự án quản lý thủy lợi phục vụ phát triển nông thôn vùg ĐBSCL (Hệ thống thủy lợi Tiểu vùng X- Nam Cà Mau)</t>
  </si>
  <si>
    <t>Sở NN&amp;PTNT</t>
  </si>
  <si>
    <t>Đối ứng Dự án nguồn lợi ven biển vì sự phát triển bền vững tỉnh Cà Mau (CRSD)</t>
  </si>
  <si>
    <t>Các công trình kè chống sạt lở đê biển Tây, tỉnh Cà Mau</t>
  </si>
  <si>
    <t>7230246; 7422381; 7555901</t>
  </si>
  <si>
    <t>XD khẩn cấp Khắc phục sạt lở Đê Biển Tây</t>
  </si>
  <si>
    <t>7230246</t>
  </si>
  <si>
    <t>XD kè hộ đê Khu vực Vàm Cống Sào Lưới</t>
  </si>
  <si>
    <t>7422381</t>
  </si>
  <si>
    <t>Xử lý sạt lở bờ biển Tây từ Vàm Đá bạc đếm Vàm Kinh Mới thuộc xã Khánh Bình Tây, huyện Trần Văn Thời (thử nghiệm công nghệ đê trụ rỗng)</t>
  </si>
  <si>
    <t>7555901</t>
  </si>
  <si>
    <t>Các dự án đầu tư xây dựng khu tái định cư trên địa bàn các huyện ven biển tỉnh Cà Mau</t>
  </si>
  <si>
    <t>BQLDA công trình NN &amp; PTNT Cà Mau</t>
  </si>
  <si>
    <t>Dự án đầu tư xây dựng Khu tái định cư rừng phòng hộ biển Tây, huyện Phú Tân</t>
  </si>
  <si>
    <t>7006162</t>
  </si>
  <si>
    <t>Dự án đầu tư xây dựng Khu tái định cư rừng phòng hộ biển Tây, huyện Trần Văn Thời</t>
  </si>
  <si>
    <t>7006177</t>
  </si>
  <si>
    <t xml:space="preserve">Dự án đầu tư xây dựng Khu tái định cư rừng phòng hộ biển Tây, huyện U Minh </t>
  </si>
  <si>
    <t>7006150</t>
  </si>
  <si>
    <t>Dự án đầu tư xây dựng Khu tái định cư xã Tam Giang Đông, huyện Năm Căn</t>
  </si>
  <si>
    <t>7084308</t>
  </si>
  <si>
    <t>Kế hoạch bảo vệ và phát triển rừng tỉnh Cà Mau</t>
  </si>
  <si>
    <t>Phân khai tại QĐ số 2157 ngày 28/12/2018</t>
  </si>
  <si>
    <t xml:space="preserve"> KH bảo vệ và phát triển rừng tỉnh CM năm 2013-2020 (Đầm Dơi)</t>
  </si>
  <si>
    <t>7432602</t>
  </si>
  <si>
    <t>KH bảo vệ và phá triển rừng tỉnh CM 2013 - 2020 (Đất Mũi)</t>
  </si>
  <si>
    <t>7431026</t>
  </si>
  <si>
    <t xml:space="preserve"> KH bảo vệ và phát triển rừng tỉnh CM năm 2013 - 2020 (Nhưng Miên)</t>
  </si>
  <si>
    <t>7430626</t>
  </si>
  <si>
    <t>KH bảo vệ và phát triển rừng tỉnh CM 2013 - 2020 (Sào Lưới)</t>
  </si>
  <si>
    <t>7432601</t>
  </si>
  <si>
    <t>Kế hoạch bảo vệ và phát triển rừng năm 2013-2020 (K.Vàng)</t>
  </si>
  <si>
    <t>7433952</t>
  </si>
  <si>
    <t>Kế hoạch BV và phát triển rừng tỉnh CM 2013 - 2020 (Năm Căn)</t>
  </si>
  <si>
    <t>7430628</t>
  </si>
  <si>
    <t xml:space="preserve"> Kế hoạch bảo vệ và phát triển rừng tỉnh CM năm 2013 - 2020 (Tam Giang I)</t>
  </si>
  <si>
    <t>7431726</t>
  </si>
  <si>
    <t xml:space="preserve"> Kế hoạch bảo vệ và phát triển rừng tỉnh CM năm 2013 - 2020</t>
  </si>
  <si>
    <t>KH bảo vệ và phát triển rừng tỉnh CM  2013 - 2020 (TP CM)</t>
  </si>
  <si>
    <t>7431012</t>
  </si>
  <si>
    <t xml:space="preserve"> Kế hoạch bảo vệ và phát triển rừng năm 2013-2020_Cái Nước</t>
  </si>
  <si>
    <t>7430196</t>
  </si>
  <si>
    <t xml:space="preserve"> Kế hoạch bảo vệ và phát triển rừng năm 2013- 2020 (Thới Bình)</t>
  </si>
  <si>
    <t>7434555</t>
  </si>
  <si>
    <t xml:space="preserve"> Đầu tư XD CT Biểu Tượng Cột cờ Hà Nội</t>
  </si>
  <si>
    <t>7683803</t>
  </si>
  <si>
    <t xml:space="preserve"> KH Bảo vệ và phát triển rừng 2013_Vườn QG U MInh Hạ</t>
  </si>
  <si>
    <t>7431017</t>
  </si>
  <si>
    <t>Dự án dự kiến hoàn thành sau năm 2020</t>
  </si>
  <si>
    <t>7600218</t>
  </si>
  <si>
    <t>7600222</t>
  </si>
  <si>
    <t>7599818</t>
  </si>
  <si>
    <t>7599813</t>
  </si>
  <si>
    <t>7587761</t>
  </si>
  <si>
    <t>7572045</t>
  </si>
  <si>
    <t>7594578</t>
  </si>
  <si>
    <t>Cải tạo, nâng cấp Trụ sở hành chính xã Tam Giang Tây, huyện Ngọc Hiển</t>
  </si>
  <si>
    <t>7581600</t>
  </si>
  <si>
    <t>7593870</t>
  </si>
  <si>
    <t>7601093</t>
  </si>
  <si>
    <t>UBND thành phố Cà Mau</t>
  </si>
  <si>
    <t>7583402</t>
  </si>
  <si>
    <t>7563785</t>
  </si>
  <si>
    <t>Phân khai kế hoạch vốn chuẩn bị đầu tư</t>
  </si>
  <si>
    <t>Dự án Bảo tồn Xứ ủy Nam Bộ - Trung ương cục Miền Nam</t>
  </si>
  <si>
    <t>7285907</t>
  </si>
  <si>
    <t>Nâng cấp, mở rộng Trung tâm Nuôi dưỡng người tâm thần tỉnh Cà Mau</t>
  </si>
  <si>
    <t>7618944</t>
  </si>
  <si>
    <t>7570996</t>
  </si>
  <si>
    <t>Tu bổ, tôn tạo một số hạng mục công trình tại Khu tưởng niệm Chủ tịch Hồ Chí Minh</t>
  </si>
  <si>
    <t>7682980</t>
  </si>
  <si>
    <t>Sở Văn hóa, Thể thao và Du lịch</t>
  </si>
  <si>
    <t>Tu bổ, chỉnh trang, nâng cấp Đền Thờ Vua Hùng tại xã Tân Phú, huyện Thới Bình</t>
  </si>
  <si>
    <t>Công trình đầu tư xây dựng Saltel cho vùng đồng bào dân tộc Khmer trên địa bàn tỉnh Cà Mau, giai đoạn 2016-2020</t>
  </si>
  <si>
    <t>7664416</t>
  </si>
  <si>
    <t>Đầu tư xây dựng Bệnh viện Đa khoa Cà Mau thành đơn vị vệ tinh của Bệnh viện Chợ Rẫy giai đoạn 2016 - 2020</t>
  </si>
  <si>
    <t>Đầu tư xây dựng Bệnh viện Đa khoa Cà Mau thành đơn vị vệ tinh của Bệnh viện Ung bướu giai đoạn năm 2016 - 2020</t>
  </si>
  <si>
    <t>DỰ PHÒNG</t>
  </si>
  <si>
    <t>Sửa chữa, cải tạo cơ sở vật chất cho các trường học trên địa bàn tỉnh năm 2017:</t>
  </si>
  <si>
    <t>Phân khai tại QĐ số 1144/QĐ-UBND ngày 19/7/2018:</t>
  </si>
  <si>
    <t>Bao gồm:</t>
  </si>
  <si>
    <t>Hỗ trợ NS huyện, thành phố</t>
  </si>
  <si>
    <t>Phân khai tại QĐ số 1305/QĐ-UBND ngày 17/8/2018</t>
  </si>
  <si>
    <t xml:space="preserve"> Trường THPT Cà Mau</t>
  </si>
  <si>
    <t>7648903</t>
  </si>
  <si>
    <t>Trường THPT Cawi Nước</t>
  </si>
  <si>
    <t>7657278</t>
  </si>
  <si>
    <t>Trường THPT Phan Ngọc Hiển hạng mục sơn phòng học</t>
  </si>
  <si>
    <t>7641957</t>
  </si>
  <si>
    <t>Trường THPT Sông Đốc; Hạng mục: Xây mới cổng, hàng rào, nhà bảo vệ</t>
  </si>
  <si>
    <t>7659901</t>
  </si>
  <si>
    <t>Trường THPT Võ Thị Hồng; Hạng mục: Xây dựng nhà xe giáo viên, hàng rào cơ bản xung quanh trường, sân đan bê tông</t>
  </si>
  <si>
    <t>7660500</t>
  </si>
  <si>
    <t>Trường PTDT nội trú THCS Danh Thị Tươi; Hạng mục: gia cố nền và sơn tường phòng học</t>
  </si>
  <si>
    <t>7663185</t>
  </si>
  <si>
    <t>7643406</t>
  </si>
  <si>
    <t>Trường THPT Khánh An; Hạng mục: cải tạo, sửa chữa 06 nhà vệ sinh của khối lớp học</t>
  </si>
  <si>
    <t>7663186</t>
  </si>
  <si>
    <t>Trường THPT Nguyễn Thị Minh Khai; Hạng mục: Nâng nền dãy 10 phòng học</t>
  </si>
  <si>
    <t>7649572</t>
  </si>
  <si>
    <t>Hỗ trợ huyện</t>
  </si>
  <si>
    <t xml:space="preserve"> Đường ô tô đến trung tâm xã Khánh Thuận</t>
  </si>
  <si>
    <t>7008087</t>
  </si>
  <si>
    <t>Trung tâm văn hoá thể thao huyện - U Minh</t>
  </si>
  <si>
    <t>7008269</t>
  </si>
  <si>
    <t xml:space="preserve"> Đường ô tô đến trung tâm xã Khánh Tiến, huyện U Minh</t>
  </si>
  <si>
    <t>7008281</t>
  </si>
  <si>
    <t>Trường tiểu học 1 Khánh  Lâm (KCH-6p)</t>
  </si>
  <si>
    <t>7243467</t>
  </si>
  <si>
    <t xml:space="preserve"> Trường THCS Khánh Khánh Hòa _KCH 6p</t>
  </si>
  <si>
    <t>7256194</t>
  </si>
  <si>
    <t xml:space="preserve"> Trụ sở hành chính xã Khánh Hoà huyện U Minh</t>
  </si>
  <si>
    <t>7429628</t>
  </si>
  <si>
    <t>Trường THCS Lý Tự Trọng - UM</t>
  </si>
  <si>
    <t>7466839</t>
  </si>
  <si>
    <t xml:space="preserve"> XD cầu vào cổng chính Nghĩa trang Nhân dân Khánh An</t>
  </si>
  <si>
    <t>7466838</t>
  </si>
  <si>
    <t xml:space="preserve"> Trụ sở hành chính xã An Xuyên, TP Cà Mau</t>
  </si>
  <si>
    <t>7432628</t>
  </si>
  <si>
    <t>Trụ sở hành chính xã Hòa Thành</t>
  </si>
  <si>
    <t>7372242</t>
  </si>
  <si>
    <t>Huyện Đần Dơi</t>
  </si>
  <si>
    <t>Trụ sở hành chính xã Ngọc Chánh, Đầm Dơi</t>
  </si>
  <si>
    <t>Trụ sở hành chính xã Biển Bạch Đông</t>
  </si>
  <si>
    <t>Công an tỉnh</t>
  </si>
  <si>
    <t>Hệ thống xử lý nước thải y tế Bệnh xá (nay là Bệnh viện) thuộc Công an tỉnh Cà Mau</t>
  </si>
  <si>
    <t>7004692</t>
  </si>
  <si>
    <t xml:space="preserve"> Xây dựng 10 phòng học trường THPT Khánh Hưng</t>
  </si>
  <si>
    <t>7561657</t>
  </si>
  <si>
    <t xml:space="preserve"> Một số HM Trường nuôi dạy trẻ em khuyết tật tỉnh CM</t>
  </si>
  <si>
    <t>7567513</t>
  </si>
  <si>
    <t>Kéo dài năm 2017 sang năm 2018</t>
  </si>
  <si>
    <t xml:space="preserve"> DA XD cơ sở II Trường TH - KT - Kỹ thuật Cà Mau</t>
  </si>
  <si>
    <t>7034499</t>
  </si>
  <si>
    <t>III*</t>
  </si>
  <si>
    <t>NGUỒN TĂNG THU</t>
  </si>
  <si>
    <t xml:space="preserve">NGUỒN THU VƯỢT TIỀN SỬ DỤNG ĐẤT NĂM 2017 </t>
  </si>
  <si>
    <t>Nguồn tăng thu tiền sử dụng đất năm 2017 chuyển sang năm 2018 (theo QĐ số 440/QĐ-UBND ngày 19/3/2018 của Chủ tịch UBND tỉnh Cà Mau)</t>
  </si>
  <si>
    <t xml:space="preserve"> Đường nối Quốc lộ 1 vào dự án khu dân cư phía Đông QL1 (khu A) xã Lý Văn Lâm, Cà Mau</t>
  </si>
  <si>
    <t>7598225</t>
  </si>
  <si>
    <t>Nguồn tăng thu tiền sử dụng đất năm 2017 chuyển sang năm 2018 (theo QĐ số 1144/QĐ-UBND ngày 19/72018 của Chủ tịch UBND tỉnh Cà Mau)</t>
  </si>
  <si>
    <t>Ô thủy lợi phục vụ sản xuất chuyên lúa - cá - màu xã An Xuyên, thành phố Cà Mau</t>
  </si>
  <si>
    <t>Dự án đầu tư xây dựng Hệ thống thủy lợi tiểu vùng XVIII - Nam Cà Mau</t>
  </si>
  <si>
    <t>7006161</t>
  </si>
  <si>
    <t>Phân khai tại QĐ số 1306/QĐ-UBND ngày 17/8/2018</t>
  </si>
  <si>
    <t>Công trình khoan 3 giếng nước ngầm theo cơ chế lệnh khẩn cấp xã Khánh Thuận, huyện U Minh</t>
  </si>
  <si>
    <t>7565958</t>
  </si>
  <si>
    <t>Công trình cấp nước tập trung nông thôn ấp Trại Lưới B, xã Lâm Hải, huyện Năm Căn</t>
  </si>
  <si>
    <t>7590488</t>
  </si>
  <si>
    <t>Công trình cấp nước tập trung nông thôn ấp Hiệp Hưng, xã Tân Hưng Tây, huyện Phú Tân</t>
  </si>
  <si>
    <t>7590484</t>
  </si>
  <si>
    <t>Công trình cấp nước tập trung nông thôn xã Tân Tiến, huyện Đầm Dơi</t>
  </si>
  <si>
    <t>7590486</t>
  </si>
  <si>
    <t>Công trình cấp nước tập trung nông thôn xã Rạch Chèo, huyện Phú Tân</t>
  </si>
  <si>
    <t>7590480</t>
  </si>
  <si>
    <t>Công trình cấp nước tập trung nông thôn xã Nguyễn Việt Khái, huyện Phú Tân</t>
  </si>
  <si>
    <t>7590478</t>
  </si>
  <si>
    <t>Công trình cấp nước tập trung nông thôn ấp 10A, xa Trần Hợi, huyện Trần Văn Thời</t>
  </si>
  <si>
    <t>7590482</t>
  </si>
  <si>
    <t>Đối ứng Dự án thí điểm nâng cao hiệu quả thủy lợi nội đồng tại miền Tâu Nam ĐBSCL (khu vực thí điểm 6, xã Trần Thới, huyện Cái Nước, tỉnh Cà Mau)</t>
  </si>
  <si>
    <t>7538681</t>
  </si>
  <si>
    <t>Trại giống lúa Khánh Lâm 2</t>
  </si>
  <si>
    <t>7578614</t>
  </si>
  <si>
    <t>7620722</t>
  </si>
  <si>
    <t>Cầu Văn hóa thị trấn Cái Nước huyện Cái Nước</t>
  </si>
  <si>
    <t>Nạo vét 02 đoạn sông trong nội ô thnafh phố Cà Mau (đoạn từ Chùa Bà đến Giồng Kè và đoạn từ Ngã ba sông Gành Hào đến Cầu Nhum)</t>
  </si>
  <si>
    <t>7564308</t>
  </si>
  <si>
    <t xml:space="preserve"> Cầu Nhi Nguyệt trên tuyến Cà Mau-Đầm Dơi</t>
  </si>
  <si>
    <t>7553319</t>
  </si>
  <si>
    <t>Trụ sở Sở tư pháp</t>
  </si>
  <si>
    <t>7182404</t>
  </si>
  <si>
    <t>7435891</t>
  </si>
  <si>
    <t>7610808</t>
  </si>
  <si>
    <t>Trụ sở Ban QLDA công trình Xây dựng tỉnh Cà Mau (NSNN hỗ trợ 70% TMĐT)</t>
  </si>
  <si>
    <t>7562656</t>
  </si>
  <si>
    <t>7567508</t>
  </si>
  <si>
    <t>7563784</t>
  </si>
  <si>
    <t>Tuyến đường Nam Kỳ Khởi Nghĩa, thị trấn Cái Đôi Vàm, huyện Phú Tân</t>
  </si>
  <si>
    <t>7608568</t>
  </si>
  <si>
    <t>Tuyến đường Châu Văn Đặng (đoạn từ Nguyễn Tất Thành đến bờ bao Nông nghiệp), thị trấn Năm Căn, huyện Năm Căn</t>
  </si>
  <si>
    <t>7605693</t>
  </si>
  <si>
    <t xml:space="preserve"> Hỗ trợ các CT Tỉnh Đội - Biên Phòng</t>
  </si>
  <si>
    <t>Nâng cấp, mở rộng đường Đầm Dơi - Cái Nước - Cái Đôi Vàm, DT. 986 (đoạn từ Quốc lộ 1 đến cống Cây Hương), TT. Cái Nước, huyện Cái Nước</t>
  </si>
  <si>
    <t>NGUỒN THU VƯỢT XỔ SỐ KIẾN THIẾT NĂM 2017  SANG NĂM 2018</t>
  </si>
  <si>
    <t>Đối ứng dự án hỗ trợ xử lý chất thải các bệnh viện tỉnh Cà Mau</t>
  </si>
  <si>
    <t>Phân khai:</t>
  </si>
  <si>
    <t xml:space="preserve"> Xử lý chất thải rắn BV ĐKKV Dầm Dơi</t>
  </si>
  <si>
    <t>7551385</t>
  </si>
  <si>
    <t xml:space="preserve"> Xử lý chất thải rắn BV ĐKKV Cái Nước</t>
  </si>
  <si>
    <t>7551388</t>
  </si>
  <si>
    <t>Xử lý chất thải rắn BV ĐKKV Năm Căn</t>
  </si>
  <si>
    <t>7551394</t>
  </si>
  <si>
    <t>Xử lý chất thải rắn BV ĐKKV Trần Văn Thời</t>
  </si>
  <si>
    <t>7551396</t>
  </si>
  <si>
    <t>Xử lý chất thải rắn BV ĐK Cà Mau</t>
  </si>
  <si>
    <t>7551398</t>
  </si>
  <si>
    <t>Xử lý chất thải rắn BV Sản Nhi</t>
  </si>
  <si>
    <t>7551400</t>
  </si>
  <si>
    <t>LĨNH VỰC VĂN HÓA, THỂ THAO</t>
  </si>
  <si>
    <t>Dự án dầu tư xây dựng công trình Trung Tâm Văn hóa Thể thao huyện Phú Tân</t>
  </si>
  <si>
    <t>7275587</t>
  </si>
  <si>
    <t>Khu Văn hăa Thể thao huyện Ngọc Hiển</t>
  </si>
  <si>
    <t>7304009</t>
  </si>
  <si>
    <t>IV*</t>
  </si>
  <si>
    <t>NGUỒN TRUNG ƯƠNG HỖ TRỢ CÓ MỤC TIÊU</t>
  </si>
  <si>
    <t>HỖ TRỢ NHÀ Ở CHO NGƯỜI CÓ CÔNG VỚI CÁCH MẠNG VỀ HÀ Ở THEO QUYẾT ĐỊNH SỐ 22/2013/TTg</t>
  </si>
  <si>
    <t>CÁC CHƯƠNG TRÌNH MỤC TIÊU</t>
  </si>
  <si>
    <t xml:space="preserve"> Các dự án bàn giao đưa vào sử dụng trước ngày 31/12/2017</t>
  </si>
  <si>
    <t>Dự án nhóm B</t>
  </si>
  <si>
    <t>Dự án đầu tư xây dựng nhà máy xử lý rác thải thành phố Cà Mau</t>
  </si>
  <si>
    <t>Dự án nhóm C</t>
  </si>
  <si>
    <t>Thanh toán khối lượng hoàn thành công trình trộng điểm của tỉnh</t>
  </si>
  <si>
    <t>Phân khai tại QĐ số 885/QĐ-UBND, ngày 01/06/2018:</t>
  </si>
  <si>
    <t xml:space="preserve">PT lưới điện HTMR Đ.Dơi, NH, Năm Căn 2007                                                                                                                                                               </t>
  </si>
  <si>
    <t>7002993</t>
  </si>
  <si>
    <t xml:space="preserve">Phát triển lưới điện hạ thế mở rộng Đầm Dơi 2006                                                                                                                                                        </t>
  </si>
  <si>
    <t>7151118</t>
  </si>
  <si>
    <t xml:space="preserve">Hệ thống kết cấu hạ tầng đường Trần Hưng Đạo                                                                                                                                                            </t>
  </si>
  <si>
    <t>7009537</t>
  </si>
  <si>
    <t xml:space="preserve">Thảm bê tông nhựa nóng đường Phan Đình Phùng Tp CM                                                                                                                                                      </t>
  </si>
  <si>
    <t>7060009</t>
  </si>
  <si>
    <t>7060015 - Thảm bê tông nhựa năng đường Lư Bôn</t>
  </si>
  <si>
    <t>7060015</t>
  </si>
  <si>
    <t xml:space="preserve">Thảm bê tông nhựa nóng đường Lý Bôn                                                                                                                                                                     </t>
  </si>
  <si>
    <t>7059995</t>
  </si>
  <si>
    <t>Thảm BT nhựa nóng đường Hoàng Diệu</t>
  </si>
  <si>
    <t>7060000</t>
  </si>
  <si>
    <t>Thảm BT nhựa nóng đường Nguyễn Trãi</t>
  </si>
  <si>
    <t xml:space="preserve">DA đầu tư HTTL Tiểu vùng 15-Nam Cà Mau                                                                                                                                                                  </t>
  </si>
  <si>
    <t>7005869</t>
  </si>
  <si>
    <t xml:space="preserve">02 ô thủy lợi phục vụ nuôi thủy sản: Hệ thống thủy lợi tiểu vùng 17 Nam Cà Mau                                                                                                                          </t>
  </si>
  <si>
    <t>Tuyến đường kênh 18 - U Minh Hạ</t>
  </si>
  <si>
    <t>7061473</t>
  </si>
  <si>
    <t>Các dự án chuyển tiếp hoàn thành sau năm 2018</t>
  </si>
  <si>
    <t>Dự án nhóm A</t>
  </si>
  <si>
    <t>Dự án đầu tư xây dựng tuyến đường phía bờ nam sông Ông Đốc nối vào Quốc lộ 1A (Rau Dừa - Rạch Ráng - Sông Đốc)</t>
  </si>
  <si>
    <t>Dự án đầu tư xây dựng Kè cấp bách tại xã Tân Thuận, huyện Đầm Dơi, tỉnh Cà Mau</t>
  </si>
  <si>
    <t>7296707</t>
  </si>
  <si>
    <t>Dự án đầu tư xây dựng Bờ kè chống sạt lở khu dân cư thị trấn Năm Căn, tỉnh Cà Mau (giai đoạn 1)</t>
  </si>
  <si>
    <t>7005815</t>
  </si>
  <si>
    <t xml:space="preserve"> Kho lưu trữ chuyên dụng tỉnh Cà Mau</t>
  </si>
  <si>
    <t>7358582</t>
  </si>
  <si>
    <t>Chương trình mục tiêu phát triển kinh tế thủy sản bền vững</t>
  </si>
  <si>
    <t xml:space="preserve"> Dự án đầu tư xây dựng bến cá kết hợp với khu neo đậu trú bão cho tàu cá tại cửa biển Khánh Hội, huyện U Minh</t>
  </si>
  <si>
    <t>7027480</t>
  </si>
  <si>
    <t>7005987</t>
  </si>
  <si>
    <t>Chương trình mục tiêu tái cơ cấu kinh tế nông nghiệp và phòng chống giảm nhẹ thien tai, ổn định đời sống dân cư</t>
  </si>
  <si>
    <t xml:space="preserve"> Dự án đầu tư khu tái định cư rừng phòng hộ biển Tây, huyện U Minh</t>
  </si>
  <si>
    <t xml:space="preserve"> Dự án đầu tư khu tái định cư rừng phòng hộ biển Tây, huyện Trần Văn Thời</t>
  </si>
  <si>
    <t>Dự án đầu tư khu dân cư xã Tam Giang Đông, huyện Năm Căn</t>
  </si>
  <si>
    <t>Dự án đầu tư khu dân cư Chà Là, xã Đông Hưng, huyện Cái Nước</t>
  </si>
  <si>
    <t>7084297</t>
  </si>
  <si>
    <t>Dự án sắp xếp dân cư xen ghếp xã Nguyễn Huân, huyện Đầm Dơi</t>
  </si>
  <si>
    <t>7159802</t>
  </si>
  <si>
    <t xml:space="preserve"> Dự án đầu tư nâng cấp đê biển Tây tỉnh Cà Mau</t>
  </si>
  <si>
    <t>7189107</t>
  </si>
  <si>
    <t>Dự án đầu tư cơ sở hạ tầng sản xuất giống tại Trại giống Khánh Lâm 2, huyện U Minh</t>
  </si>
  <si>
    <t>Hỗ trợ, khuyến khích daonh nghiệp đầu tư vào nông nghiệp nông thôn theo Nghị định 210</t>
  </si>
  <si>
    <t>Chương trình mục tiêu đầu tư hạ tầng khu kinh tế ven biển, khu kinh tế cửa khẩu, khu công nghiệp, ..</t>
  </si>
  <si>
    <t xml:space="preserve"> Đầu tư xây dựng và kinh doanh kết cấu hạ tầng khu công nghiệp</t>
  </si>
  <si>
    <t>7252752</t>
  </si>
  <si>
    <t>7457160</t>
  </si>
  <si>
    <t>Dự án đầu tư xây dựng tuyến đường trục chính Bắc Nam Khu kinh tế Năm Căn, tỉnh Cà Mau</t>
  </si>
  <si>
    <t>7554504</t>
  </si>
  <si>
    <t>Dự án nâng cấp, mở rộng cơ sở cai nghiện ma túy tỉnh Cà Mau</t>
  </si>
  <si>
    <t>7618943</t>
  </si>
  <si>
    <t>Dự án đầu tư xây dựng đường giao thông đấu nối từ đường Hành lang ven biển phía Nam đến điểm du lịch hạ tầng sinh thái Sông Trẹm</t>
  </si>
  <si>
    <t>Chương trình mục tiêu công nghệ thông tin</t>
  </si>
  <si>
    <t>Các dự án khởi công mới 2018</t>
  </si>
  <si>
    <t>Dự án xây dựng triển khai các dự án thành phần phục vụ hoạt động của chính quyền điện tử tỉnh Cà Mau</t>
  </si>
  <si>
    <t>7693095</t>
  </si>
  <si>
    <t>Chương trình mục tiêu phát triển lâm nghiệp bền vững</t>
  </si>
  <si>
    <t>7070714</t>
  </si>
  <si>
    <t>Dự án đầu tư xây dựng khu Trụ sở hành chính Vườn Quốc gia U Minh Hạ, tỉnh Cà Mau</t>
  </si>
  <si>
    <t>7567506</t>
  </si>
  <si>
    <t>Dự án đầu tư nâng cao  PCCCR tỉnh Cà Mau giai đoạn 2016 - 2020</t>
  </si>
  <si>
    <t>7599744</t>
  </si>
  <si>
    <t>7007595</t>
  </si>
  <si>
    <t>Dự án nâng cao năng lực giai đoạn 2 (phòng chống cháy  rừng)</t>
  </si>
  <si>
    <t>7422113</t>
  </si>
  <si>
    <t>Chương trình mục tiêu hỗ trợ vốn đối ứng ODA cho cá địa phương</t>
  </si>
  <si>
    <t>Các dự án chuyển tiếp hoàn thành năm 2018</t>
  </si>
  <si>
    <t>Dự án nâng cấp đô thị vùng đồng bằng sông Cửu Long</t>
  </si>
  <si>
    <t>Dự án đầu tư xây dựng hệ thống thoát nước và xử lý nước thải TPCM</t>
  </si>
  <si>
    <t>V*</t>
  </si>
  <si>
    <t>NGUỒN TRÁI PHIẾU CHÍNH PHỦ</t>
  </si>
  <si>
    <t>NGÀNH GIAO THÔNG</t>
  </si>
  <si>
    <t xml:space="preserve">Tuyến đường trục Đông-Tây (từ QL1-cửa biển Gành Hào và cầu qua sông Cái Nai (Khu kinh tế Năm Căn)                                                                                                                          </t>
  </si>
  <si>
    <t>7618350</t>
  </si>
  <si>
    <t>KIÊN CỐ HÓA TRƯỜNG LỚP HỌC MẪU GIÁO, TIỂU HỌC</t>
  </si>
  <si>
    <t>Dự án nhóm c</t>
  </si>
  <si>
    <t>Dự án kiên cố hóa trường lớp học mẫu giáo, tiểu học huyện Đầm Dơi</t>
  </si>
  <si>
    <t>Trường Mẫu Giáo Tân Duyệt, xã Tân Duyệt huyện Đầm Dơi</t>
  </si>
  <si>
    <t>7643370</t>
  </si>
  <si>
    <t>Trường Tiểu học Ngọc Chánh, xã Ngọc Chánh, huyện Đầm Dơi</t>
  </si>
  <si>
    <t>7643371</t>
  </si>
  <si>
    <t>Dự án kiên cố hóa trường lớp học mẫu giáo, tiểu học huyện U Minh</t>
  </si>
  <si>
    <t>Trường Mẫu giáo Bông Hồng, xã Khánh Hội huyện U Minh</t>
  </si>
  <si>
    <t>7647327</t>
  </si>
  <si>
    <t xml:space="preserve"> Trường Tiểu học Võ Thị Sáu, xã Khánh Hòa, huyện U Minh</t>
  </si>
  <si>
    <t>7646866</t>
  </si>
  <si>
    <t xml:space="preserve"> Trường tiểu học Đỗ Thừa Luông xã Khánh Thuật huyện U Minh</t>
  </si>
  <si>
    <t>7703737</t>
  </si>
  <si>
    <t>Dự án kiên cố hóa trường lớp học mẫu giáo, tiểu học huyện Ngọc Hiển</t>
  </si>
  <si>
    <t xml:space="preserve"> Xây dựng Trường Mẫu Giáo xã Tam Giang Tây HM: XD mới dãy 08 phòng học</t>
  </si>
  <si>
    <t>7647908</t>
  </si>
  <si>
    <t>Xây dựng Trường  Tiểu học 3 xã Tam Giang Tây HM: SLMB và XD 08 phòng học</t>
  </si>
  <si>
    <t>7647909</t>
  </si>
  <si>
    <t>Dự án kiên cố hóa trường lớp học mẫu giáo, tiểu học huyện Năm Căn</t>
  </si>
  <si>
    <t>Trường tiểu học ấp 1, Vinh Hoa, xã Tam Giang Đông, huyện Năm Căn</t>
  </si>
  <si>
    <t>7649234</t>
  </si>
  <si>
    <t xml:space="preserve"> Trường mẫu giáo bình Minh xã Tam Giang Đông, huyện Năm Căn</t>
  </si>
  <si>
    <t>7649235</t>
  </si>
  <si>
    <t>Dự án kiên cố hóa trường lớp học mẫu giáo, tiểu học huyện Phú Tân</t>
  </si>
  <si>
    <t>Trường Tiểu học Tân Nghiệp B, Xa Tân Hải, huyện Phú Tân</t>
  </si>
  <si>
    <t>7636658</t>
  </si>
  <si>
    <t>Dự án kiên cố hóa trường lớp học mẫu giáo, tiểu học huyện Trần Văn Thời</t>
  </si>
  <si>
    <t xml:space="preserve"> Trường Mần Non Tuổi Thơ Khánh Bình Tây Bắc</t>
  </si>
  <si>
    <t>7649036</t>
  </si>
  <si>
    <t>7648993 - Trường Tiểu học Khánh Bình Tây Bắc</t>
  </si>
  <si>
    <t>7648993</t>
  </si>
  <si>
    <t>VI*</t>
  </si>
  <si>
    <t xml:space="preserve">NGUỒN DỰ PHÒNG NGÂN SÁCH TRUNG ƯƠNG </t>
  </si>
  <si>
    <t>Xây dựng Kè cấp bách bảo vệ đê biển Tây kết hợp xây dựng khu tái định cư (đoạn từ cống Sào Lưới đến Bắc cống Đá Bạc và đoạn từ Nam Đá Bạc hướng về Kênh Mới)</t>
  </si>
  <si>
    <t>7700726</t>
  </si>
  <si>
    <t>Xây dựng Kè cấp bách bảo vệ bờ biển Đông khu vực cửa biển Rạch Gốc, cửa biển Vàm Xoáy</t>
  </si>
  <si>
    <t>7723473</t>
  </si>
  <si>
    <t>VII*</t>
  </si>
  <si>
    <t>NGUỒN VỐN ODA</t>
  </si>
  <si>
    <t>Nguồn vốn ODA và vay ưu đãi nhà tài trợ nước ngoài: Không bao gồm dự án giải ngân theo cơ chế tài chính trong nước</t>
  </si>
  <si>
    <t>Ngành Nông nghiệp và Phát triển nông thôn</t>
  </si>
  <si>
    <t>Dự án "Chống chịu khí hậu tổng hợp và sinh kế bền vững vùng đồng bằng sông Cửu Long"</t>
  </si>
  <si>
    <t>Các dự án dự kiến hoàn thành 2018</t>
  </si>
  <si>
    <t>Ngành cấp thoát nước</t>
  </si>
  <si>
    <t>Dự án cải tạo và xây dựng hệ thống thoát nước và xử lý nước thải thành phó Cà Mau</t>
  </si>
  <si>
    <t>Nguồn vốn ODA và vay ưu đãi nhà tài trợ nước ngoài: Giải ngân theo cơ chế tài chính trong nước</t>
  </si>
  <si>
    <t>Gây bồi tạo bãi và trồng cây ngập mặn bảo vệ đê biển khu vực Đất Mũi, tỉnh Cà Mau</t>
  </si>
  <si>
    <t>7536619</t>
  </si>
  <si>
    <t>Dự án bảo vệ, phục hồi và phát triển rừng ngập mặn tỉnh Cà Mau giai đoạn 2015 - 2020</t>
  </si>
  <si>
    <t>7536253</t>
  </si>
  <si>
    <t>Các dự án không ghi kế hoạch năm 2018 còn dư vốn tạm ứng chưa thu hồi từ những năm trước chuyển sang năm 2018:</t>
  </si>
  <si>
    <t>Vốn đầu tư từ ngân sách địa phương</t>
  </si>
  <si>
    <t>Vốn đầu tư trong cân đối NSĐP (bao gồm cả vốn đầu tư từ nguồn thu tiền sử dụng đất, xổ số kiến thiết)</t>
  </si>
  <si>
    <t>7003165 - Đường ô tô TT xã Đất Mũi-NH (Ông Trang-Khai Long)</t>
  </si>
  <si>
    <t>7004463 - Bờ kè Chợ nổi trên sông</t>
  </si>
  <si>
    <t>7004463</t>
  </si>
  <si>
    <t>7006754 - Trụ sở Sở Giao thông vận tải CM</t>
  </si>
  <si>
    <t>7006754</t>
  </si>
  <si>
    <t>7006801 - DA đường Lung lá - Nhà thể</t>
  </si>
  <si>
    <t>7006801</t>
  </si>
  <si>
    <t xml:space="preserve">7007247 - XD Mở rộng và nâng cấp hệ thống cấp nước Tp.Cà Mau </t>
  </si>
  <si>
    <t>7007247</t>
  </si>
  <si>
    <t>7007319 - Bãi xử lư rác Cà Mau</t>
  </si>
  <si>
    <t>7007319</t>
  </si>
  <si>
    <t>7008259 - DA Bệnh viện đa khoa huyện U Minh</t>
  </si>
  <si>
    <t>7008601 - DA ĐTXD Trường THCS thị trấn Năm Căn huyện NC</t>
  </si>
  <si>
    <t>7008601</t>
  </si>
  <si>
    <t>7011119 - Dự án đào tạo bồi dứng giáo viên, tăng cường CSVC các trường học - Trường CĐSP tỉnh Cà Mau</t>
  </si>
  <si>
    <t>7011119</t>
  </si>
  <si>
    <t>7011315 - XD trường PTTH Xã Phú Hưng - Cái Nước (GĐ2)</t>
  </si>
  <si>
    <t>7011315</t>
  </si>
  <si>
    <t>7011363 - XS TT kỹ thuật tổng hợp hướng nghiệp dạy ngh̉ CM</t>
  </si>
  <si>
    <t>7011363</t>
  </si>
  <si>
    <t>7011723 - XD trường PTTH bán công huyện TVT</t>
  </si>
  <si>
    <t>7011723</t>
  </si>
  <si>
    <t>7013428 - Xây dựng các hạng mục Nhà thiƠu nhi Cà Mau</t>
  </si>
  <si>
    <t>7013428</t>
  </si>
  <si>
    <t>7018895 - DA ĐTXD đường Đầm Dơi-Thanh Tùng Đầm Dơi</t>
  </si>
  <si>
    <t>7018895</t>
  </si>
  <si>
    <t>7021529 - Đường ô tô đến trung tâm xã Tạ An Khương Đông (từ thị trấn Đầm Dơi đến Tạ An Khương Đông), huyện Đầm Dơi</t>
  </si>
  <si>
    <t>7027195 - Dự án bảo tồn và sinh sản các loài thủy sản nước ngọt huyện Thới Bình</t>
  </si>
  <si>
    <t>7027195</t>
  </si>
  <si>
    <t>7027469 - Khu neo đậu trú bảo tàu cá Rạch Gốc</t>
  </si>
  <si>
    <t>7027469</t>
  </si>
  <si>
    <t>7027852 - Khu SX giống thuỷ sản tập trung Ngọc Hiển</t>
  </si>
  <si>
    <t>7027852</t>
  </si>
  <si>
    <t>7027887 - DAĐT XD các tuyến đường trên đảo Hòn Khoai</t>
  </si>
  <si>
    <t>7027887</t>
  </si>
  <si>
    <t>7047775 - Xây dựng tuyến giao thông bộ khu DLQG sinh thái rừng ngập mặn Cà Mau</t>
  </si>
  <si>
    <t>7047775</t>
  </si>
  <si>
    <t>7056574 - ĐA Tổ chức lại SX&amp;bố trí dân cư KV rừng tràm CM</t>
  </si>
  <si>
    <t>7056574</t>
  </si>
  <si>
    <t>7068810 - XD Bệnh viện ĐKKV Cái Nước</t>
  </si>
  <si>
    <t>7072380 - HT thoát nước TT Sông Đốc</t>
  </si>
  <si>
    <t>7072380</t>
  </si>
  <si>
    <t>7072606 - DAXD trường PTTH Sông đốc</t>
  </si>
  <si>
    <t>7072606</t>
  </si>
  <si>
    <t>7075202 - Trung tâm dạy ngh̉ huyện TVT</t>
  </si>
  <si>
    <t>7075202</t>
  </si>
  <si>
    <t>7085918 - PA BT, hỗ trợ TĐC XD trụ sở Đảng ủy Dân chính đảng</t>
  </si>
  <si>
    <t>7085918</t>
  </si>
  <si>
    <t>7100716 - Trung tâm Hành chính-chính trị tỉnh (GPMB)</t>
  </si>
  <si>
    <t>7100716</t>
  </si>
  <si>
    <t>7112608 - DA đường nội bộ khu CV-VH du lịch Ṃi CM</t>
  </si>
  <si>
    <t>7112608</t>
  </si>
  <si>
    <t>7112880 - DA khu di tƯch tỉnh ủy Lung Lá Nhà Thể</t>
  </si>
  <si>
    <t>7136250 - DA giáo dục tiểu học cho trẻ em că hoàn cảnh khó khăn</t>
  </si>
  <si>
    <t>7136250</t>
  </si>
  <si>
    <t>7153008 - Phương án bổ sung bồi thường GPMB Trung tâm hành chính huyện Ngọc Hiển</t>
  </si>
  <si>
    <t>7153008</t>
  </si>
  <si>
    <t>7159667 - Dự án  XD nhà ở xã hội (gđ 2), kƠt hợp cho CBCC Trường chính trị</t>
  </si>
  <si>
    <t>7159667</t>
  </si>
  <si>
    <t>7171777 - DA XD trường Trung học văn hoá nghệ thuật</t>
  </si>
  <si>
    <t>7171777</t>
  </si>
  <si>
    <t>7191369 - QH phát triển Giáo dục và đào tạo Cà Mau đến 2020</t>
  </si>
  <si>
    <t>7191369</t>
  </si>
  <si>
    <t>7207149 - QH phát triển VH-TT tỉnh CM đến 2020</t>
  </si>
  <si>
    <t>7207149</t>
  </si>
  <si>
    <t>7217485 - QH phát triển nông nghiệp tỉnh Cà Mau  đến 2010</t>
  </si>
  <si>
    <t>7217485</t>
  </si>
  <si>
    <t>7229468 - Dự án trồng mới 5 triệu ha rừng</t>
  </si>
  <si>
    <t>7229468</t>
  </si>
  <si>
    <t>7231955 - Bồi thường hỗ trợ GPMB  XD trụ sở Ban chỉ huy Q sự</t>
  </si>
  <si>
    <t>7231955</t>
  </si>
  <si>
    <t>7231958 - Bồi thường, GPMB QH trung tâm huyện Ngọc Hiển</t>
  </si>
  <si>
    <t>7231958</t>
  </si>
  <si>
    <t>7231960 - Bồi thường hỗ trợ giải phăng mặt bằng xây dựng Trung tâm hành chính huyện Ngọc Hiển</t>
  </si>
  <si>
    <t>7231960</t>
  </si>
  <si>
    <t>7235549 - Xây dựng Trung tâm phát săng truỷn hình mới</t>
  </si>
  <si>
    <t>7235549</t>
  </si>
  <si>
    <t>7251844 - XD Nhà thi đấu đa năng tỉnh Cà Mau</t>
  </si>
  <si>
    <t>7251844</t>
  </si>
  <si>
    <t>7252772 - Dự án khả thi bãi rác thị trấn U Minh, huyện U Minh</t>
  </si>
  <si>
    <t>7252772</t>
  </si>
  <si>
    <t>7252835 - Dự án khả thi bãi rác thị trấn Cái Đôi Vàm, huyện Phú Tân</t>
  </si>
  <si>
    <t>7252835</t>
  </si>
  <si>
    <t>7252883 - Dự án khả thi bãi rác thị trấn Cái Nước, huyện Cái Nước</t>
  </si>
  <si>
    <t>7252883</t>
  </si>
  <si>
    <t>7252966 - Hỗ trợ ĐT hệ thống cấp nước khu TĐC Khánh An</t>
  </si>
  <si>
    <t>7252966</t>
  </si>
  <si>
    <t>7252990 - Dự án khả thi bãi rác thị trấn Thới Bình, huyện Thới Bình</t>
  </si>
  <si>
    <t>7252990</t>
  </si>
  <si>
    <t>7253276 - QH tổng thể và QH chi tiƠt Trường chính trị tỉnh C</t>
  </si>
  <si>
    <t>7253276</t>
  </si>
  <si>
    <t>7254297 - Lập QH và DA đầu tư XD TT VHTT- ĐD (4 xã, TT)</t>
  </si>
  <si>
    <t>7254297</t>
  </si>
  <si>
    <t>7254301 - DA cầu xăm Lớn ( Cầu Rạch Sao 2 )</t>
  </si>
  <si>
    <t>7254301</t>
  </si>
  <si>
    <t>7254314 - Dự án khả thi bãi rác thị trấn Năm Căn, huyện Năm Căn</t>
  </si>
  <si>
    <t>7254314</t>
  </si>
  <si>
    <t>7254349 - Dự án sinh sản và bảo tồn giống cá đồng tại U Minh</t>
  </si>
  <si>
    <t>7254349</t>
  </si>
  <si>
    <t>7254352 - Chuẩn bị đầu tư lập các dự án đầu tư sắp xếp dân cư nông thôn</t>
  </si>
  <si>
    <t>7254352</t>
  </si>
  <si>
    <t>7254357 - DA NCKT cống Hội đồng thành</t>
  </si>
  <si>
    <t>7254357</t>
  </si>
  <si>
    <t>7254358 - DAĐT trạm bơm vùng Cánh đồng Năn H. Trần Văn Thời</t>
  </si>
  <si>
    <t>7254358</t>
  </si>
  <si>
    <t>7254359 - DA ĐTXD cống Rạch Lùm</t>
  </si>
  <si>
    <t>7254359</t>
  </si>
  <si>
    <t>7254360 - QH SX NN&amp;PT làng nghề NT  2010 và tầm nhìn 2020</t>
  </si>
  <si>
    <t>7254360</t>
  </si>
  <si>
    <t>7254368 - Chi phí đỉu hành dự án 0,6% (Sở Thủy sản)</t>
  </si>
  <si>
    <t>7254368</t>
  </si>
  <si>
    <t>7266862 - Trường THPT Trần Văn Thời_KCH</t>
  </si>
  <si>
    <t>7268653 - XD sân trường, sửa chữa dãy thực nghiệm, dãy kư túc xá Trường CĐSP tỉnh Cà Mau</t>
  </si>
  <si>
    <t>7268653</t>
  </si>
  <si>
    <t>7307612 - Chỉ tiêu kế hoạch bảo vệ và phát triển rừng tỉnh Cà Mau - năm 2011</t>
  </si>
  <si>
    <t>7307612</t>
  </si>
  <si>
    <t>7362205 - NC, trùng tu, tôn tạo Khu tưởng niệm Bác Hồ (gđ 2)</t>
  </si>
  <si>
    <t>7362205</t>
  </si>
  <si>
    <t>7377895 - XD Cảng CM (NC, CT bến xếp dỡ bến tàu xe Cà Mau)</t>
  </si>
  <si>
    <t>7377895</t>
  </si>
  <si>
    <t>7388935 - DA ĐT  tôn tạo, nâng cấp khu di tích chiến thắng Chà Là</t>
  </si>
  <si>
    <t>7388935</t>
  </si>
  <si>
    <t>7401809 - XD mới các phòng, khoa chuyên môn BV Ngọc Hiển</t>
  </si>
  <si>
    <t>7401809</t>
  </si>
  <si>
    <t>7421407 - ĐTXD HTKT toàn khu TTHC-CT tỉnh Cà Mau</t>
  </si>
  <si>
    <t>7421407</t>
  </si>
  <si>
    <t>7425541 - XD Salatel vùng ĐBDT Khmer giai đoạn 2016-2020 tỉnh CM</t>
  </si>
  <si>
    <t>7425541</t>
  </si>
  <si>
    <t>7430633 - PT lưới điện xã Tân Ân - NH; Phong Đỉn, KBĐ huyện TVT</t>
  </si>
  <si>
    <t>7430633</t>
  </si>
  <si>
    <t>7432313 - PT lưới điện giảm hộ chia hơi huyện CN, PT và TVT</t>
  </si>
  <si>
    <t>7432313</t>
  </si>
  <si>
    <t>7472270 - ĐTXD CT Khu thực nghiệm ƯDKHCN cho HST nước ngọt</t>
  </si>
  <si>
    <t>7472270</t>
  </si>
  <si>
    <t>7478495 - XD 5 cầu: tuyến ô tô TT xã Quách Phẩm (Chà Là, Kênh Lộ Xe, bến Bào, Đường Đào, Bảy Hưng)</t>
  </si>
  <si>
    <t>7500055 - PT lưới điện PV nhu cầu CT huyện Đầm Dời và Cái Nước</t>
  </si>
  <si>
    <t>7500055</t>
  </si>
  <si>
    <t>7506608 - XD 1 số HM CT quanh KV Bia kỷ niệm Ban ấn loát Tây Nam</t>
  </si>
  <si>
    <t>7513830 - Trụ sở Hành chính xã Phú Mỹ huyện Phú Tân</t>
  </si>
  <si>
    <t>7513830</t>
  </si>
  <si>
    <t>7523473 - Mua sắm trang TB Y từ cho BV vệ tinh Sản-Nhi CM (gđ2)</t>
  </si>
  <si>
    <t>7523473</t>
  </si>
  <si>
    <t>7536916 - Mở rộng đường Cà Mau-Đầm Dơi (từ HT Lãn Ông-Cầu Hòa Trung)</t>
  </si>
  <si>
    <t>7540657 - TRụ sở BQLDA công trình Nông nghiệp và TPNT</t>
  </si>
  <si>
    <t>7540657</t>
  </si>
  <si>
    <t>7541078 - Trùng tu, phục dựng 1 số HM khu Ccứ Tỉnh ủy Lung Lá Nhà Thể</t>
  </si>
  <si>
    <t>7541078</t>
  </si>
  <si>
    <t>7542369 - Đường dây THT 3 pha và trạm PV cẩu Cty LN U MInh Hạ</t>
  </si>
  <si>
    <t>7542990 - SC, NC tượng đài khởi nghĩa Hòn Khai, HM: SC chung toa</t>
  </si>
  <si>
    <t>7542990</t>
  </si>
  <si>
    <t>7549877 - Trụ sở hành chính xã Khánh Lộc, huyện Trần văn thời</t>
  </si>
  <si>
    <t>7549877</t>
  </si>
  <si>
    <t>7549971 - Trụ sở hành chính xã Tam Giang, huyện Năm Căn</t>
  </si>
  <si>
    <t>7549971</t>
  </si>
  <si>
    <t>7561649 - Nhà thi đấu đa năng 4000 chỗ</t>
  </si>
  <si>
    <t>7561649</t>
  </si>
  <si>
    <t>7584202 - Tu bổ, tôn tạo di tich Sắc tứ Quan âm Cổ tự</t>
  </si>
  <si>
    <t>7584202</t>
  </si>
  <si>
    <t>7596633 - Trụ sở cơ quan Khối Đoàn thể huyện Cái Nước</t>
  </si>
  <si>
    <t>7596633</t>
  </si>
  <si>
    <t>7597269 - Tuyến đường Cách mạng tháng 8 (từ Trụ sở K2-đường PNH)</t>
  </si>
  <si>
    <t>7609566 - Nạo vét cửa biển Cái Đôi Vàm huyện Phú Tân</t>
  </si>
  <si>
    <t>7609566</t>
  </si>
  <si>
    <t>Nguồn vốn ngân sách Trung ương</t>
  </si>
  <si>
    <t>Vốn đầu tư theo CTMT</t>
  </si>
  <si>
    <t>7005924 - Bờ kè chống sạt lở cửa biển Khánh Hội</t>
  </si>
  <si>
    <t>7005924</t>
  </si>
  <si>
    <t>7006224 - Dự án đầu tư sắp xếp dân cư khu Chợ Thủ, xã Tam Giang Tây, huyện Ngọc Hiển</t>
  </si>
  <si>
    <t>7006224</t>
  </si>
  <si>
    <t>7007294 - Dự án đầu tư xây dựng Hệ thống cấp nước thị trấn Sông Đốc</t>
  </si>
  <si>
    <t>7007294</t>
  </si>
  <si>
    <t>7011825 - DAĐT hạ tầng kỷ thuật và sắp xếp dân cư Xẻo Quao, thị trấn Sông Đốc, huyện Trần Văn Thời</t>
  </si>
  <si>
    <t>7011825</t>
  </si>
  <si>
    <t>7020190 - Công trình thủy lợi của huyện Đầm Dơi</t>
  </si>
  <si>
    <t>7020190</t>
  </si>
  <si>
    <t>7027376 - Dự án cảng cá Hòn Khoai</t>
  </si>
  <si>
    <t>7027376</t>
  </si>
  <si>
    <t>7027387 - Dự án đầu tư cơ sở hạ tầng đảo Hòn Chuối</t>
  </si>
  <si>
    <t>7027387</t>
  </si>
  <si>
    <t>7027423 - Dự án cảng cá Sông Đốc</t>
  </si>
  <si>
    <t>7027423</t>
  </si>
  <si>
    <t>7027429 - DA XD bến cập tàu Bãi Nhỏ&amp;đường tuần tra đảo Hòn Khoai</t>
  </si>
  <si>
    <t>7027429</t>
  </si>
  <si>
    <t>7027429 - DA XD  cập tàu Bãi Nhỏ&amp;đường tuần tra đảo Hòn Khoai</t>
  </si>
  <si>
    <t>7027448 - Dự án khu neo đậu tàu thuyền tránh bão cửa Sông Đốc, huyện Trần Văn Thời</t>
  </si>
  <si>
    <t>7027448</t>
  </si>
  <si>
    <t>7027505 - Dự án đầu tư xây dựng bến cá kƠt hợp khu neo đậu trú bão Cái Đôi Vàm, huyện Phú Tân</t>
  </si>
  <si>
    <t>7027505</t>
  </si>
  <si>
    <t>7027546 - DAĐTXD cơ sở hạ tầng vùng nuôi thủy sản xã Hòa Tân, thành phố Cà Mau</t>
  </si>
  <si>
    <t>7027546</t>
  </si>
  <si>
    <t>7027862 - DAĐTXD vùng nuôi tôm công nghiệp tập trung xã Hàm Rồng, huyện Năm Căn</t>
  </si>
  <si>
    <t>7027862</t>
  </si>
  <si>
    <t>7060100 - Dự án khu tái đ̃nh cư dân cư vùng sạt lở Cái Đôi Vàm, huyện Phú Tân</t>
  </si>
  <si>
    <t>7060100</t>
  </si>
  <si>
    <t>7099087 - Dự án hỗ trợ y từ vùng Đồng bằng sông Cửu Long</t>
  </si>
  <si>
    <t>7099087</t>
  </si>
  <si>
    <t>7238158 - Đầu tư khu đ̃nh canh, đ̃nh cư cho đồng bào dân tộc thiểu số du canh, du cư Vàm kênh Lung Ranh, huyện U Minh</t>
  </si>
  <si>
    <t>7238158</t>
  </si>
  <si>
    <t>7249001 - DAĐTXD đường cứu hộ, cứu nạn đê biển Tây, phục vụ an ninh, quốc phòng ... (đường Tắc Thủ - Vàm Đá Bạc)</t>
  </si>
  <si>
    <t>7249001</t>
  </si>
  <si>
    <t>7251828 - Khu tái đ̃nh cư dự án cầu Đầm Cùng, Trần Thới, CN</t>
  </si>
  <si>
    <t>7251828</t>
  </si>
  <si>
    <t>7254353 - Dự án tiếp nhận CGCN sinh sản nhân tạo cua biển, cá rô phi dăng GIFT và cá chẽm</t>
  </si>
  <si>
    <t>7254353</t>
  </si>
  <si>
    <t>7254355 - Cải tạo, mua sắm dụng cụ Trại thực nghiệm phường 6</t>
  </si>
  <si>
    <t>7254355</t>
  </si>
  <si>
    <t>7254366 - Chi phí đỉu hành các dự án (Ban QLDA ngành thủy sản)</t>
  </si>
  <si>
    <t>7254366</t>
  </si>
  <si>
    <t>7254373 - Dự án nuôi vỗ tôm sú bố mẹ</t>
  </si>
  <si>
    <t>7254373</t>
  </si>
  <si>
    <t>7389284 - Tiểu DA Khu tái đ̃nh cư cầu Rạch Ruộng Nhỏ</t>
  </si>
  <si>
    <t>7389284</t>
  </si>
  <si>
    <t>7498318 - Trung tâm y tế huyện Thới Bình</t>
  </si>
  <si>
    <t>7560286 - Hạ tầng điểm du lịch Đất Mũi-Khu du lịch QG Năm Căn</t>
  </si>
  <si>
    <t>7560286</t>
  </si>
  <si>
    <t>Vốn trái phiếu chính phủ</t>
  </si>
  <si>
    <t>(01)</t>
  </si>
  <si>
    <t>7148997 - Đường ô tô đến trung tâm xã Ngọc Chánh Đầm Dơi</t>
  </si>
  <si>
    <t>7002179 - Đường ô tô đến TT xã Tam Giang Tây (từ trung tâm huyện đến Tam Giang Tây), huyện Ngọc Hiển</t>
  </si>
  <si>
    <t>7003168 - Đường ô tô đến TT xã Rạch Gốc (Tân Ân cũ)</t>
  </si>
  <si>
    <t>7003241 - Đường ô tô đến trung tâm xã Tân Ân Tây (từ trung tâm huyện đến Vàm Ông Đ̃nh), huyện Ngọc Hiển</t>
  </si>
  <si>
    <t>7007359 - Đường TT xã Hàng Vịnh - NH</t>
  </si>
  <si>
    <t>7008393 - tuyến đường ô tô đế TT xã hưng Mỹ huyện Cái Nước</t>
  </si>
  <si>
    <t>7008853 - Xã Đất Mới huyện Năm Căn</t>
  </si>
  <si>
    <t>7008862 - Đường ô tô đến trung tâm xã Lâm Hải, huyện Năm Căn</t>
  </si>
  <si>
    <t>7008882 - Đường ô tô đến trung tâm xã Tam Giang Đông, huyện Năm Căn</t>
  </si>
  <si>
    <t>7011317 - Đường ô tô TT xã Trí Lực - TB</t>
  </si>
  <si>
    <t>7021597 - Đường ô tô trung tâm xã Tân Đức (từ Đầu Trâu đến Tân Đức), huyện Đầm Dơi</t>
  </si>
  <si>
    <t>7021616 - Đường ô tô đến trung tâm xã Tân Dân, huyện Đầm Dơi</t>
  </si>
  <si>
    <t>7065674 - Đường ô tô đến trung tâm xã Quách Phẩm, huyện Đầm Dơi</t>
  </si>
  <si>
    <t>(02)</t>
  </si>
  <si>
    <t>7002715 - DA ĐT XD hệ thống thủy lợi tiểu vùng III-Bắc Cà Ma</t>
  </si>
  <si>
    <t>7002748 - Dự án thuỷ lợi tiểu vùng 2 Nam Cà mau</t>
  </si>
  <si>
    <t>7002783 - 02Ô T/lợi pvụ Tsản: Hệ thống Tl/lợi T.vùng 5 Nam C</t>
  </si>
  <si>
    <t>(03)</t>
  </si>
  <si>
    <t>7002173 - Bệnh viện đa khoa huyện Ngọc Hiển</t>
  </si>
  <si>
    <t>7003533 - Bệnh viện đa khoa khu vực Đầm Dơi</t>
  </si>
  <si>
    <t>7008896 - Bệnh viện đa khoa khu vực Năm Căn</t>
  </si>
  <si>
    <t>7059535 - Bệnh viện đa khoa huyện Phú Tân</t>
  </si>
  <si>
    <t>7098463 - Bệnh viện đa khoa khu vực Trần Văn Thời</t>
  </si>
  <si>
    <t>Xây dựng Bệnh viện Sản-Nhi tỉnh Cà Mau</t>
  </si>
  <si>
    <t>Vốn bổ sung ngoài kế hoạch</t>
  </si>
  <si>
    <t>501 - Vốn dự phòng</t>
  </si>
  <si>
    <t>000 - Vốn dự phòng</t>
  </si>
  <si>
    <t xml:space="preserve"> Hạ tầng điểm du lịch Đất Mũi-Khu du lch QG Năm Căn</t>
  </si>
  <si>
    <t>Vốn Trái phiếu Chính phủ huyện quản lý</t>
  </si>
  <si>
    <t>Trường tiểu học Tân Nghiệp A. Hạng mục: xây dựng mới khối lớp học 06 phòng.</t>
  </si>
  <si>
    <t>7111786</t>
  </si>
  <si>
    <t>Trường tiểu học Bào Thùng. Hạng mục: xây dựng mới khối lớp học 08 phòng.</t>
  </si>
  <si>
    <t>7111790</t>
  </si>
  <si>
    <t>Trường tiểu học Tân Hưng Tây A. Hạng mục: xây dựng mới khối lớp học 06 phòng.</t>
  </si>
  <si>
    <t>7111799</t>
  </si>
  <si>
    <t>Trường tiểu học Phú Mỹ 3. Hạng mục: xây dựng mới khối lớp học 10 phòng.</t>
  </si>
  <si>
    <t>7112756</t>
  </si>
  <si>
    <t>Trường THCS Việt Thắng. Hạng mục: xây dựng mới khối lớp học 10 phòng (02 dãy).</t>
  </si>
  <si>
    <t>7112811</t>
  </si>
  <si>
    <t>Trường tiểu học Việt Thắng 2. Hạng mục: xây dựng mới khối lớp học 10 phòng.</t>
  </si>
  <si>
    <t>7112831</t>
  </si>
  <si>
    <t>Trường Tiểu học Lương Thế Trân 2</t>
  </si>
  <si>
    <t>7254856</t>
  </si>
  <si>
    <t>Trường Tiểu học Phú Hưng C</t>
  </si>
  <si>
    <t>7254862</t>
  </si>
  <si>
    <t>Trường Tiểu học Hưng Mỹ</t>
  </si>
  <si>
    <t>7254869</t>
  </si>
  <si>
    <t>Trường THCS thị trấn Cái Nước</t>
  </si>
  <si>
    <t>7254870</t>
  </si>
  <si>
    <t>Trường tiểu học Phú Hiệp. Hạng mục: xây dựng mới khối lớp học phòng.</t>
  </si>
  <si>
    <t>7111548</t>
  </si>
  <si>
    <t>Trường Tiểu học Việt Khái 2</t>
  </si>
  <si>
    <t>7254861</t>
  </si>
  <si>
    <t>Đề án xây dựng nông thôn mới xã Đất Mũi, huyện Ngọc Hiển</t>
  </si>
  <si>
    <r>
      <t xml:space="preserve">Tuyến đường phía bờ Nam sông Ông Đốc nối vào Quốc lộ 1A (Rau Dừa - Rạch Ráng - Sông Đốc). </t>
    </r>
    <r>
      <rPr>
        <i/>
        <sz val="8"/>
        <color indexed="8"/>
        <rFont val="Times New Roman"/>
        <family val="1"/>
        <charset val="163"/>
      </rPr>
      <t>Phần ngân sách tỉnh bố trí 593 tỷ đồng.</t>
    </r>
  </si>
  <si>
    <r>
      <t xml:space="preserve">Dự án đầu tư xây dựng hạ tầng khu công nghiệp Sông Đốc, huyện Trần Văn Thời </t>
    </r>
    <r>
      <rPr>
        <i/>
        <sz val="8"/>
        <color indexed="8"/>
        <rFont val="Times New Roman"/>
        <family val="1"/>
        <charset val="163"/>
      </rPr>
      <t xml:space="preserve">(hạng mục rà phá bom mìn, vật nổ công trình) </t>
    </r>
  </si>
  <si>
    <r>
      <t xml:space="preserve">Kho Lưu trữ chuyên dụng tỉnh Cà Mau </t>
    </r>
    <r>
      <rPr>
        <i/>
        <sz val="8"/>
        <color indexed="8"/>
        <rFont val="Times New Roman"/>
        <family val="1"/>
        <charset val="163"/>
      </rPr>
      <t>(Ngân sách Trung ương hỗ trợ 53,748 tỷ đồng )</t>
    </r>
  </si>
  <si>
    <r>
      <t xml:space="preserve">Trụ sở Chi cục Quản lý thị trường Cà Mau và Đội Quản lý thị trường thành phố Cà Mau </t>
    </r>
    <r>
      <rPr>
        <i/>
        <sz val="8"/>
        <color indexed="8"/>
        <rFont val="Times New Roman"/>
        <family val="1"/>
        <charset val="163"/>
      </rPr>
      <t xml:space="preserve">(trong đó: ngân sách tỉnh 14,183 tỷ đồng; bán đấu giá trụ sở hiện hữu 8,667 tỷ đồng) </t>
    </r>
  </si>
  <si>
    <r>
      <t xml:space="preserve">Sở Chỉ huy thống nhất, tỉnh Cà Mau </t>
    </r>
    <r>
      <rPr>
        <i/>
        <sz val="8"/>
        <color indexed="8"/>
        <rFont val="Times New Roman"/>
        <family val="1"/>
        <charset val="163"/>
      </rPr>
      <t>(chỉ triển khai các hạng mục công trình trong phạm vi kế hoạch vốn bố trí)</t>
    </r>
  </si>
  <si>
    <r>
      <t xml:space="preserve">Trụ sở Ban Chỉ huy Quân sự huyện Thới Bình </t>
    </r>
    <r>
      <rPr>
        <i/>
        <sz val="8"/>
        <color indexed="8"/>
        <rFont val="Times New Roman"/>
        <family val="1"/>
        <charset val="163"/>
      </rPr>
      <t>(Ngân sách địa phương hỗ trợ 05 tỷ đồng)</t>
    </r>
  </si>
  <si>
    <t>BÁO CÁO QUYẾT TOÁN CÁC NGUỒN VỐN ĐẦU TƯ
THUỘC NGÂN SÁCH NHÀ NƯỚC</t>
  </si>
  <si>
    <t>Đơn vị tính: đồng</t>
  </si>
  <si>
    <t xml:space="preserve">                  BÁO CÁO QUYẾT TOÁN CÁC NGUỒN VỐN ĐẦU TƯ
                                THUỘC NGÂN SÁCH NHÀ NƯỚC</t>
  </si>
  <si>
    <t>Cà Mau, ngày        tháng 9 năm 2019</t>
  </si>
  <si>
    <t xml:space="preserve">PHÒNG QL NGÂN SÁCH </t>
  </si>
  <si>
    <t>Ngày        tháng  9  năm 2019</t>
  </si>
  <si>
    <t>Ngày        tháng 9  năm 2019</t>
  </si>
  <si>
    <t>Ngày       tháng  9  năm 2019</t>
  </si>
  <si>
    <t>Ngày         tháng  9  năm 2019</t>
  </si>
  <si>
    <t>Cà Mau, ngày       tháng  9  năm 2019</t>
  </si>
  <si>
    <t>GHI THU, GHI CHI TIỀN SỬ DỤNG ĐẤT</t>
  </si>
  <si>
    <t>Chương trình mục tiêu quốc gia Nước sạch và
Vệ sinh môi trường nông thôn</t>
  </si>
  <si>
    <t>số liệu mẫu báo cáo BTC</t>
  </si>
  <si>
    <t>Dự toán điều chỉnh</t>
  </si>
  <si>
    <t>BÁO CÁO TÌNH HÌNH KIỂM TOÁN, THANH TRA NĂM 2018</t>
  </si>
  <si>
    <t>Số xử lý năm 2018</t>
  </si>
  <si>
    <t>Thanh tra năm 2018 (niên độ 2017)</t>
  </si>
  <si>
    <t>d</t>
  </si>
  <si>
    <t>Trong đó: - Xây dựng cơ bản</t>
  </si>
  <si>
    <t xml:space="preserve">               - Chi thường xuyên</t>
  </si>
  <si>
    <t>Trong đó: - Chi thường xuyên</t>
  </si>
  <si>
    <t xml:space="preserve">               - Xây dựng cơ bản</t>
  </si>
  <si>
    <t>Kiến nghị của kiểm toán,năm nay</t>
  </si>
  <si>
    <t>Cổng Thông tin điện tử tỉnh Cà Mau</t>
  </si>
  <si>
    <t>Đầu tư xây dựng bãi chôn chất thải rắn sinh hoạt hợp vệ sinh thị trấn Cái Đôi Vàm</t>
  </si>
  <si>
    <t>Đầu tư xây dựng bãi chôn chất thải rắn sinh hoạt thị trấn Cái Nước</t>
  </si>
  <si>
    <t>Đầu tư xây dựng bãi chôn chất thải rắn sinh hoạt thị trấn U Minh</t>
  </si>
  <si>
    <t>Đề án xây dựng nông thôn mới xã Viên An, huyện Ngọc Hiển</t>
  </si>
  <si>
    <t>Dự án khả thi bãi rác thị trấn Năm Căn</t>
  </si>
  <si>
    <t>QUYẾT TOÁN CHI NGÂN SÁCH CẤP TỈNH CHO TỪNG CƠ QUAN, TỔ CHỨC THEO LĨNH VỰC NĂM 2018</t>
  </si>
  <si>
    <t>Ban quản lý dự án ICMP Cà Mau</t>
  </si>
  <si>
    <t>Ban Tiếp công dân tỉnh Cà Mau</t>
  </si>
  <si>
    <t>Chi cục Biển và Hải đảo</t>
  </si>
  <si>
    <t>Chi cục Chăn nuôi và Thú y tỉnh Cà Mau</t>
  </si>
  <si>
    <t>Chi cục Dân số - Kế hoạch hoá gia đình tỉnh Cà Mau</t>
  </si>
  <si>
    <t>Chi cục Quản lý đất đai tỉnh cà Mau</t>
  </si>
  <si>
    <t>Chi cục Quản lý thị trường tỉnh Cà Mau</t>
  </si>
  <si>
    <t>Đoàn Cải lương Hương Tràm tỉnh Cà Mau</t>
  </si>
  <si>
    <t>Đội Thông tin văn nghệ Khmer Cà Mau</t>
  </si>
  <si>
    <t>Hội Luật gia tỉnh Cà Mau</t>
  </si>
  <si>
    <t>Hội Người mù tỉnh Cà Mau</t>
  </si>
  <si>
    <t>Hội Nhà báo Việt Nam tỉnh Cà Mau</t>
  </si>
  <si>
    <t>Hội Thủy sản Cà Mau</t>
  </si>
  <si>
    <t>Hội Y học tỉnh Cà Mau</t>
  </si>
  <si>
    <t>Liên Hiệp các tổ chức hữu nghị tỉnh Cà Mau</t>
  </si>
  <si>
    <t>Thanh Tra tỉnh Cà Mau</t>
  </si>
  <si>
    <t>Trung tâm Bảo trợ xã hội tỉnh Cà Mau</t>
  </si>
  <si>
    <t>Trung tâm Công nghệ thông tin và Truyền thông</t>
  </si>
  <si>
    <t>Trung tâm Dịch vụ việc làm tỉnh Cà Mau</t>
  </si>
  <si>
    <t>Trung tâm Giải quyết thủ tục hành chính tỉnh Cà Mau</t>
  </si>
  <si>
    <t>Trung tâm Giáo dục lao động xã hội tỉnh Cà Mau</t>
  </si>
  <si>
    <t>Trung tâm Giáo dục thường xuyên tỉnh Cà Mau</t>
  </si>
  <si>
    <t>Trung tâm Lưu trữ lịch sử tỉnh Cà Mau</t>
  </si>
  <si>
    <t>Trung tâm Pháp y tỉnh Cà Mau</t>
  </si>
  <si>
    <t>Trung tâm Quản lý, khai thác công trình thủy lợi Cà Mau</t>
  </si>
  <si>
    <t>Trung tâm Truyền thông giáo dục sức khoẻ Cà Mau</t>
  </si>
  <si>
    <t>Trung tâm Y tế dự phòng tỉnh Cà Mau</t>
  </si>
  <si>
    <t>Trường Cao đẳng Cộng đồng tỉnh Cà Mau</t>
  </si>
  <si>
    <t>Trường Cao đẳng Y tế tỉnh Cà Mau</t>
  </si>
  <si>
    <t>Trường Chính trị tỉnh Cà Mau</t>
  </si>
  <si>
    <t>Trường Trung cấp Kinh tế - Kỹ thuật tỉnh Cà Mau</t>
  </si>
  <si>
    <t>Trường Trung học phổ thông Cà Mau</t>
  </si>
  <si>
    <t>Trường Trung học phổ thông Cái Nước</t>
  </si>
  <si>
    <t>Trường Trung học phổ thông chuyên Phan Ngọc Hiển</t>
  </si>
  <si>
    <t>Trường Trung học phổ thông Đầm Dơi</t>
  </si>
  <si>
    <t>Trường Trung học phổ thông Hồ Thị Kỷ</t>
  </si>
  <si>
    <t>Trường Trung học phổ thông Huỳnh Phi Hùng</t>
  </si>
  <si>
    <t>Trường Trung học phổ thông Khánh An</t>
  </si>
  <si>
    <t>Trường Trung học phổ thông Khánh Hưng</t>
  </si>
  <si>
    <t>Trường Trung học phổ thông Khánh Lâm</t>
  </si>
  <si>
    <t>Trường Trung học phổ thông Ngọc Hiển</t>
  </si>
  <si>
    <t>Trường Trung học phổ thông Nguyễn Mai</t>
  </si>
  <si>
    <t>Trường Trung học phổ thông Nguyễn Thị Minh Khai</t>
  </si>
  <si>
    <t>Trường Trung học phổ thông Nguyễn Văn Nguyễn</t>
  </si>
  <si>
    <t>Trường Trung học phổ thông Nguyễn Việt Khái</t>
  </si>
  <si>
    <t>Trường Trung học phổ thông Phan Ngọc Hiển</t>
  </si>
  <si>
    <t>Trường Trung học phổ thông Phú Hưng</t>
  </si>
  <si>
    <t>Trường Trung học phổ thông Phú Tân</t>
  </si>
  <si>
    <t>Trường Trung học phổ thông Quách Văn Phẩm</t>
  </si>
  <si>
    <t>Trường Trung học phổ thông Sông Đốc</t>
  </si>
  <si>
    <t>Trường Trung học phổ thông Tắc Vân</t>
  </si>
  <si>
    <t>Trường Trung học phổ thông Tân Bằng</t>
  </si>
  <si>
    <t>Trường Trung học phổ thông Tân Đức</t>
  </si>
  <si>
    <t>Trường Trung học phổ thông Thái Thanh Hoà</t>
  </si>
  <si>
    <t>Trường Trung học phổ thông Trần Văn Thời</t>
  </si>
  <si>
    <t>Trường Trung học phổ thông U Minh</t>
  </si>
  <si>
    <t>Trường Trung học phổ thông Viên An</t>
  </si>
  <si>
    <t>Trường Trung học phổ thông Võ Thị Hồng</t>
  </si>
  <si>
    <t>Văn phòng Thường trực Ban Chỉ đạo 389 tỉnh Cà Mau</t>
  </si>
  <si>
    <t>VP Chi cục Thủy lợi tỉnh Cà Mau</t>
  </si>
  <si>
    <t>VP Hội Nông dân tỉnh Cà Mau</t>
  </si>
  <si>
    <t>VP Sở Giáo dục và Đào tạo tỉnh Cà Mau</t>
  </si>
  <si>
    <t>VP Sở Khoa học và Công nghệ tỉnh Cà Mau</t>
  </si>
  <si>
    <t>VP Tỉnh Đoàn Cà Mau</t>
  </si>
  <si>
    <t>Vườn Quốc Gia U Minh Hạ</t>
  </si>
  <si>
    <t>177</t>
  </si>
  <si>
    <t>178</t>
  </si>
  <si>
    <t>Cà Mau, ngày        tháng 10 năm 2019</t>
  </si>
  <si>
    <t>Chi cục Thuế Thới Bình</t>
  </si>
  <si>
    <t>Chi cục Thuế Trần Văn Thời</t>
  </si>
  <si>
    <t>Chi cục Thuế Cái Nước</t>
  </si>
  <si>
    <t>Chi cục Thuế Năm Căn</t>
  </si>
  <si>
    <t>Chi cục Thuế Ngọc Hiển</t>
  </si>
  <si>
    <t>Ghi thu, ghi chi tiền sử dụng đất</t>
  </si>
  <si>
    <t>Ban Điều hành Quỹ hỗ trợ nông dân tỉnh Cà Mau</t>
  </si>
  <si>
    <t>Quỹ Bảo vệ môi trường tỉnh Cà Mau</t>
  </si>
  <si>
    <t>Chi thực hiện một số mục tiêu, nhiệm vụ</t>
  </si>
  <si>
    <t>Các đơn vị khác tỉnh Cà Mau</t>
  </si>
  <si>
    <t>Cục thuế tỉnh Cà Mau</t>
  </si>
  <si>
    <t>Chi cục Thuế U Minh</t>
  </si>
  <si>
    <t>Chi Cục Kiểm Lâm</t>
  </si>
  <si>
    <t>Chi CTMT QG</t>
  </si>
  <si>
    <t>Chi
thường xuyên</t>
  </si>
  <si>
    <t>Chi đầu 
tư phát triển</t>
  </si>
  <si>
    <t>Dự
phòng</t>
  </si>
  <si>
    <t>Quyết toán năm 2018</t>
  </si>
  <si>
    <t>Chi giáo dục đào tạo và dạy nghề</t>
  </si>
  <si>
    <t>Chi khoa học công nghệ</t>
  </si>
  <si>
    <t>17=5/1</t>
  </si>
  <si>
    <t>18=6/2</t>
  </si>
  <si>
    <t>19=9/3</t>
  </si>
  <si>
    <t>Tổng thu NSNN</t>
  </si>
  <si>
    <t>Quyết toán 2018</t>
  </si>
  <si>
    <t>Thu NSĐP</t>
  </si>
  <si>
    <t>TỔNG NGUỒN THU NSNN (A+B+C+D)</t>
  </si>
  <si>
    <t xml:space="preserve"> B/ THU TỪ QUỸ DỰ TRỮ TÀI CHÍNH </t>
  </si>
  <si>
    <t xml:space="preserve"> IV/- Thu viện trợ</t>
  </si>
  <si>
    <t xml:space="preserve"> C/- THU CHUYỂN NGUỒN TỪ NĂM TRƯỚC</t>
  </si>
  <si>
    <t xml:space="preserve"> D/- THU KẾT DƯ NĂM TRƯỚC</t>
  </si>
  <si>
    <t xml:space="preserve"> III/-Thu từ hoạt động xuất nhập khẩu</t>
  </si>
  <si>
    <t xml:space="preserve">  II/- Thu từ dầu thô</t>
  </si>
  <si>
    <t xml:space="preserve"> A/- TỔNG THU CÂN ĐỐI NSNN</t>
  </si>
  <si>
    <t>Tổng thu
NSNN</t>
  </si>
  <si>
    <t>Thu
NSĐP</t>
  </si>
  <si>
    <t>5=3/1</t>
  </si>
  <si>
    <t>6=4/2</t>
  </si>
  <si>
    <t>QUYẾT TOÁN NGUỒN THU NSNN TRÊN ĐỊA BÀN THEO LĨNH VỰC NĂM 2018</t>
  </si>
  <si>
    <t>Biểu mẫu số 50</t>
  </si>
  <si>
    <t>Chi các Chương trình mục tiêu quốc gia</t>
  </si>
  <si>
    <t>CHI CHUYỂN NGUỒN SANG NĂM SAU</t>
  </si>
  <si>
    <t>CHI CÁC CHƯƠNG TRÌNH MỤC TIÊU</t>
  </si>
  <si>
    <t>CHI CÂN ĐỐI NGÂN SÁCH ĐỊA PHƯƠNG</t>
  </si>
  <si>
    <t>TỔNG CHI NGÂN SÁCH ĐỊA PHƯƠNG</t>
  </si>
  <si>
    <t>Quyết toán
năm 2018</t>
  </si>
  <si>
    <t>QUYẾT TOÁN CHI NSĐP THEO LĨNH VỰC NĂM 2018</t>
  </si>
  <si>
    <t>3=2/1</t>
  </si>
  <si>
    <t>So sánh
(%)</t>
  </si>
  <si>
    <t>Biểu mẫu số 51</t>
  </si>
  <si>
    <t>CHI BỔ SUNG CÂN ĐỐI CHO NGÂN SÁCH CẤP DƯỚI</t>
  </si>
  <si>
    <t>CHI NGÂN SÁCH CẤP TỈNH THEO LĨNH VỰC</t>
  </si>
  <si>
    <t>TỔNG CHI NS CẤP TỈNH (A+B+C)</t>
  </si>
  <si>
    <t>QUYẾT TOÁN CHI NGÂN SÁCH CẤP TỈNH THEO LĨNH VỰC NĂM 2018</t>
  </si>
  <si>
    <t>Tuyệt đối</t>
  </si>
  <si>
    <t>Ngân sách
cấp tỉnh</t>
  </si>
  <si>
    <t>Ngân sách huyện (xã)</t>
  </si>
  <si>
    <t>Ngân sách
huyện (xã)</t>
  </si>
  <si>
    <t>Ngân sách
địa phương</t>
  </si>
  <si>
    <t>1=2+3</t>
  </si>
  <si>
    <t>4=5+6</t>
  </si>
  <si>
    <t>7=4/1</t>
  </si>
  <si>
    <t>8=5/2</t>
  </si>
  <si>
    <t>9=6/3</t>
  </si>
  <si>
    <t xml:space="preserve">Biểu mẫu số 53          </t>
  </si>
  <si>
    <t>QUYẾT TOÁN CHI NSĐP, CHI NGÂN SÁCH CẤP TỈNH VÀ CHI NGÂN SÁCH HUYỆN (XÃ)
THEO CƠ CẤU CHI NĂM 2018</t>
  </si>
  <si>
    <t>(Kèm theo Báo cáo số:      /BC-UBND ngày   /11/2019 của UBND tỉnh Cà Mau)</t>
  </si>
  <si>
    <t>HỘI ĐỒNG NHÂN DÂN</t>
  </si>
  <si>
    <t>Biểu mẫu số 48</t>
  </si>
  <si>
    <t xml:space="preserve">       TỈNH CÀ MAU</t>
  </si>
  <si>
    <t>Tương đối (%)</t>
  </si>
  <si>
    <t>GHI CHÚ</t>
  </si>
  <si>
    <t>(Kèm theo Nghị quyết số           /NQ-HĐND ngày         /12/2019 của Hội đồng nhân dân tỉnh)</t>
  </si>
  <si>
    <t>ỦY BAN NHÂN DÂN</t>
  </si>
  <si>
    <t xml:space="preserve">     TỈNH CÀ MAU</t>
  </si>
  <si>
    <t>(Kèm theo Báo cáo số         /BC-UBND ngày       /11/2019 của Ủy ban nhân dân tỉnh)</t>
  </si>
  <si>
    <t>A/- TỔNG THU CÂN ĐỐI NSNN</t>
  </si>
  <si>
    <t>I/- Thu nội địa</t>
  </si>
  <si>
    <t>1/- Thu từ DNNN do Trung ương quản lý</t>
  </si>
  <si>
    <t xml:space="preserve">1.1- Thuế giá trị gia tăng </t>
  </si>
  <si>
    <t>1.2- Thuế thu nhập doanh nghiệp</t>
  </si>
  <si>
    <t>1.3- Thuế tiêu thụ đặc biệt</t>
  </si>
  <si>
    <t>1.4- Thu nhập sau thuế thu nhập doanh nghiệp</t>
  </si>
  <si>
    <t>1.5- Thuế tài nguyên</t>
  </si>
  <si>
    <t>1.6- Thuế môn bài</t>
  </si>
  <si>
    <t>1.7- Thu sử dụng vốn ngân sách</t>
  </si>
  <si>
    <t>1.8- Thu khác</t>
  </si>
  <si>
    <t>2/- Thu từ DNNN do địa phương quản lý</t>
  </si>
  <si>
    <t>2.1- Thuế giá trị gia tăng</t>
  </si>
  <si>
    <t>2.2- Thuế thu nhập doanh nghiệp</t>
  </si>
  <si>
    <t>2.3- Thuế tiêu thụ đặc biệt</t>
  </si>
  <si>
    <t>2.4- Thu nhập sau thuế thu nhập doanh nghiệp</t>
  </si>
  <si>
    <t>2.5- Thuế tài nguyên</t>
  </si>
  <si>
    <t>2.6- Thuế môn bài</t>
  </si>
  <si>
    <t>2.7- Thu sử dụng vốn ngân sách</t>
  </si>
  <si>
    <t>2.8- Thu khác</t>
  </si>
  <si>
    <t>3/- Thu từ DN có vốn đầu tư nước ngoài</t>
  </si>
  <si>
    <t>3.1- Thuế giá trị gia tăng</t>
  </si>
  <si>
    <t>3.2- Thuế thu nhập doanh nghiệp</t>
  </si>
  <si>
    <t>3.3- Thuế tiêu thụ đặc biệt</t>
  </si>
  <si>
    <t>3.4- Thuế môn bài</t>
  </si>
  <si>
    <t>3.5- Tiền thuê mặt đất, mặt nước, mặt biển</t>
  </si>
  <si>
    <t>3.6- Thuế tài nguyên</t>
  </si>
  <si>
    <t>3.7- Thu khác</t>
  </si>
  <si>
    <t>4/- Thu từ khu vực CTN - ngoài quốc doanh</t>
  </si>
  <si>
    <t>4.1- Thuế giá trị gia tăng</t>
  </si>
  <si>
    <t>4.2- Thuế thu nhập doanh nghiệp</t>
  </si>
  <si>
    <t>4.3- Thuế tiêu thụ đặc biệt</t>
  </si>
  <si>
    <t>4.4- Thuế tài nguyên</t>
  </si>
  <si>
    <t>4.5- Thuế môn bài</t>
  </si>
  <si>
    <t>4.6- Thu khác</t>
  </si>
  <si>
    <t>5/- Lệ phí trước bạ</t>
  </si>
  <si>
    <t>6/- Thuế sử dụng đất nông nghiệp</t>
  </si>
  <si>
    <t>7/- Thuế sử dụng đất phi nông nghiệp</t>
  </si>
  <si>
    <t>8/- Thuế thu nhập cá nhân</t>
  </si>
  <si>
    <t>9/- Thuế bảo vệ môi trường</t>
  </si>
  <si>
    <t>10/- Thu phí, lệ phí</t>
  </si>
  <si>
    <t>10.1- Phí, lệ phí Trung ương</t>
  </si>
  <si>
    <t>10.2- Phí, lệ phí Địa phương</t>
  </si>
  <si>
    <t>11/- Thu tiền sử dụng đất</t>
  </si>
  <si>
    <t>12/- Thu tiền thuê đất, mặt nước</t>
  </si>
  <si>
    <t>13/- Thu tiền sử dụng khu vực biển</t>
  </si>
  <si>
    <t>14/- Thu từ bán tài sản nhà nước</t>
  </si>
  <si>
    <t>15/- Thu từ tài sản được xác lập quyền sở hữu nhà nước</t>
  </si>
  <si>
    <t>16/- Thu tiền cho thuê và bán nhà ở thuộc sở hữu nhà nước</t>
  </si>
  <si>
    <t>17/- Thu khác ngân sách</t>
  </si>
  <si>
    <t>18/- Thu tiền cấp quyền khai thác khoáng sản</t>
  </si>
  <si>
    <t>19/- Thu từ quỹ đất công ích và thu hoa lợi công sản khác</t>
  </si>
  <si>
    <t>20/- Thu cổ tức và lợi nhuận sau thuế</t>
  </si>
  <si>
    <t>21/- Thu từ hoạt động xổ số kiến thiết</t>
  </si>
  <si>
    <t>22/- Thu cố định tại xã</t>
  </si>
  <si>
    <t>II/- Thu từ dầu thô</t>
  </si>
  <si>
    <t>III/-Thu từ hoạt động xuất nhập khẩu</t>
  </si>
  <si>
    <t>1/- Thuế xuất khẩu</t>
  </si>
  <si>
    <t>2/- Thuế nhập khẩu</t>
  </si>
  <si>
    <t>3/-Thuế tiêu thụ đặt biệt hàng nhập khẩu</t>
  </si>
  <si>
    <t>3/- Thuế bảo vệ môi trường do CQ Hải quan thực hiện</t>
  </si>
  <si>
    <t>4/- Thuế giá trị gia tăng hàng nhập khẩu</t>
  </si>
  <si>
    <t>5/- Khác</t>
  </si>
  <si>
    <t>IV/- Thu viện trợ</t>
  </si>
  <si>
    <t xml:space="preserve">B/ THU TỪ QUỸ DỰ TRỮ TÀI CHÍNH </t>
  </si>
  <si>
    <t>C/- THU CHUYỂN NGUỒN TỪ NĂM TRƯỚC</t>
  </si>
  <si>
    <t>D/- THU KẾT DƯ NĂM TRƯỚC</t>
  </si>
  <si>
    <t>Chi đầu tư phát triển cho chương trình, dự án theo lĩnh vực</t>
  </si>
  <si>
    <t>Chương trình mục tiêu đầu tư hạ tầng khu kinh tế ven biển, khu kinh tế cửa khẩu, khu công nghiệp, cụm công nghiệp, khu công nghệ cao, khu nông nghiệp ứng dụng công nghệ cao</t>
  </si>
  <si>
    <t>Chương trình MTQG Giảm nghèo bền vững</t>
  </si>
  <si>
    <t>Chương trình MTQG Nước sạch và vệ sinh môi trường nông thôn</t>
  </si>
  <si>
    <t>Chương trình MTQG giáo dục và đào tạo</t>
  </si>
  <si>
    <t>Chương trình MTQG Nước sạch và VSMT NT</t>
  </si>
  <si>
    <t>Chi cục Phát triển nông thôn</t>
  </si>
  <si>
    <t>Chi cục Trồng trọt và Bảo vệ thực vật</t>
  </si>
  <si>
    <t>Cổng Thông tin điện tử tỉnh</t>
  </si>
  <si>
    <t>Trung tâm Giống nông nghiệp tỉnh</t>
  </si>
  <si>
    <t>Trung tâm Khuyến nông tỉnh</t>
  </si>
  <si>
    <t>Trung tâm Thể dục thể thao tỉnh</t>
  </si>
  <si>
    <t>Trung tâm Văn hoá tỉnh</t>
  </si>
  <si>
    <t>Hội Liên hiệp Phụ nữ tỉnh</t>
  </si>
  <si>
    <t>Sở Lao động - Thương binh và Xã hội</t>
  </si>
  <si>
    <t>Sở Nội vụ</t>
  </si>
  <si>
    <t>Ủy ban MTTQ Việt Nam tỉnh</t>
  </si>
  <si>
    <t>Ban Dân tộc tỉnh</t>
  </si>
  <si>
    <t>Văn phòng Ủy ban nhân dân tỉnh</t>
  </si>
  <si>
    <t>Thư viện tỉnh</t>
  </si>
  <si>
    <t>Huyện, thành phố</t>
  </si>
  <si>
    <t xml:space="preserve">Bổ sung cân đối </t>
  </si>
  <si>
    <t>11=6/1*100</t>
  </si>
  <si>
    <t>Biểu mẫu số 58</t>
  </si>
  <si>
    <t>(Kèm theo Nghị quyết số            /NQ-HĐND ngày         /12/2019 của Hội đồng nhân dân tỉnh)</t>
  </si>
  <si>
    <t>Chi giáo
dục đào tạo và dạy nghề</t>
  </si>
  <si>
    <t>Chi chuyển
nguồn sang
năm sau</t>
  </si>
  <si>
    <t>QUYẾT TOÁN CHI NGÂN SÁCH THEO MỘT SỐ LĨNH VỰC CỦA TỪNG HUYỆN, THÀNH PHỐ THUỘC TỈNH NĂM 2018</t>
  </si>
  <si>
    <t>Chi thường xuyên (không kể CT MTQG)</t>
  </si>
  <si>
    <t>Chi đầu tư phát triển
(không kể CT MTQG)</t>
  </si>
  <si>
    <t>Chi thực hiện một số nhiệm vụ, mục tiêu khác</t>
  </si>
  <si>
    <t>Chi trả
nợ lãi do chính quyền địa phương vay</t>
  </si>
  <si>
    <t>Ban Chỉ huy phòng, chống thiên tai và tìm kiếm cứu nạn tỉnh Cà Mau</t>
  </si>
  <si>
    <t>Ban An toàn giao thông</t>
  </si>
  <si>
    <t>Ban Đại diện Hội người cao tuổi tỉnh Cà Mau</t>
  </si>
  <si>
    <t>Ban Quản lý Chương trình UN-REDD Cà Mau</t>
  </si>
  <si>
    <t>Ban Quản lý di tích tỉnh Cà Mau</t>
  </si>
  <si>
    <t>Ban Quản lý dự án Quỹ toàn cầu phòng, chống HIV/AIDS tỉnh Cà Mau</t>
  </si>
  <si>
    <t>Ban Quản lý dự án Sáng kiến khu vực ngăn chặn và loại trừ sốt rét kháng thuốc Artemisinin tỉnh Cà Mau, giai đoạn 2018 - 2020</t>
  </si>
  <si>
    <t>Ban Quản lý Khu du lịch Đất Mũi</t>
  </si>
  <si>
    <t>Ban Quản lý Khu sinh quyển Mũi Cà Mau</t>
  </si>
  <si>
    <t>Ban Thi đua - Khen thưởng</t>
  </si>
  <si>
    <t>Ban Tôn giáo</t>
  </si>
  <si>
    <t>Bệnh viện Đa khoa khu vực Cái Nước</t>
  </si>
  <si>
    <t>Bệnh viện Đa khoa khu vực Đầm Dơi</t>
  </si>
  <si>
    <t>Bệnh viện Đa khoa khu vực Năm Căn</t>
  </si>
  <si>
    <t>Bệnh viện Đa khoa khu vực Trần Văn Thời</t>
  </si>
  <si>
    <t>Bệnh viện Đa khoa tỉnh Cà Mau</t>
  </si>
  <si>
    <t>Ban Quản lý Rừng phòng hộ Đầm Dơi</t>
  </si>
  <si>
    <t>Ban Quản lý Rừng phòng hộ Đất Mũi</t>
  </si>
  <si>
    <t>Ban Quản lý Rừng phòng hộ Kiến Vàng</t>
  </si>
  <si>
    <t>Ban Quản lý Rừng phòng hộ Năm Căn</t>
  </si>
  <si>
    <t>Ban Quản lý Rừng phòng hộ Nhưng Miên</t>
  </si>
  <si>
    <t>Ban Quản lý Rừng phòng hộ Sào Lưới</t>
  </si>
  <si>
    <t>Ban Quản lý Rừng phòng hộ Tam Giang I</t>
  </si>
  <si>
    <t>Chi cục An toàn vệ sinh thực phẩm</t>
  </si>
  <si>
    <t>Chi cục Bảo vệ môi trường</t>
  </si>
  <si>
    <t>Chi cục phòng chống tệ nạn xã hội tỉnh Cà Mau</t>
  </si>
  <si>
    <t>Chi cục Văn thư lưu trữ tỉnh Cà Mau</t>
  </si>
  <si>
    <t>Hội Bảo trợ người tàn tật và trẻ mồ côi</t>
  </si>
  <si>
    <t>Hội Chữ thập đỏ tỉnh Cà Mau</t>
  </si>
  <si>
    <t>Hội Cựu chiến binh tỉnh Cà Mau</t>
  </si>
  <si>
    <t>Hội Cựu thanh niên xung phong tỉnh Cà Mau</t>
  </si>
  <si>
    <t>Hội Khuyến học tỉnh Cà Mau</t>
  </si>
  <si>
    <t>Hội Nạn nhân chất độc da cam Dioxin tỉnh Cà Mau</t>
  </si>
  <si>
    <t>Hội Tiêu chuẩn và bảo vệ quyền lợi người tiêu dùng tỉnh Cà Mau</t>
  </si>
  <si>
    <t>Hội Tù chính trị yêu nước tỉnh Cà Mau</t>
  </si>
  <si>
    <t>Hội Văn học - Nghệ thuật tỉnh Cà Mau</t>
  </si>
  <si>
    <t>Liên Hiệp các hội khoa học kỹ thuật tỉnh Cà Mau</t>
  </si>
  <si>
    <t>Nhà Thiếu nhi tỉnh Cà Mau</t>
  </si>
  <si>
    <t>Quỹ Bảo trợ trẻ em tỉnh Cà Mau</t>
  </si>
  <si>
    <t>Trung tâm Kiểm nghiệm thuốc, mỹ phẩm, thực phẩm</t>
  </si>
  <si>
    <t>Trung tâm Chăm sóc sức khoẻ sinh sản</t>
  </si>
  <si>
    <t>Trung tâm Đăng kiểm và cảng vụ đường thủy nội địa Cà Mau</t>
  </si>
  <si>
    <t>Trung tâm Dịch vụ hỗ trợ hợp tác xã, DN vừa và nhỏ</t>
  </si>
  <si>
    <t>Trung tâm Dịch vụ tài chính công tỉnh Cà Mau</t>
  </si>
  <si>
    <t>Trung tâm Giám định y khoa</t>
  </si>
  <si>
    <t>Trung tâm Giống nông nghiệp tỉnh Cà Mau</t>
  </si>
  <si>
    <t>Trung tâm Hỗ trợ nông dân tỉnh Cà Mau</t>
  </si>
  <si>
    <t>Trung tâm Khuyến công và xúc tiến thương mại tỉnh Cà Mau</t>
  </si>
  <si>
    <t>Trung tâm Kỹ thuật - Công nghệ - Quan trắc tài nguyên và môi trường</t>
  </si>
  <si>
    <t>Trung tâm Kỹ thuật tiêu chuẩn đo lường chất lượng</t>
  </si>
  <si>
    <t>Trung tâm Nước sạch và vệ sinh môi trường nông thôn Cà Mau</t>
  </si>
  <si>
    <t>Trung tâm Nuôi dưỡng người tâm thần</t>
  </si>
  <si>
    <t>Trung tâm Phân tích kiểm nghiệm tỉnh Cà Mau</t>
  </si>
  <si>
    <t>Trung tâm Phát triển hạ tầng khu kinh tế tỉnh Cà Mau</t>
  </si>
  <si>
    <t>Trung tâm Phát triển quỹ đất</t>
  </si>
  <si>
    <t>Trung tâm Phòng chống các bệnh xã hội tỉnh Cà Mau</t>
  </si>
  <si>
    <t>Trung tâm Phòng chống HIV/AIDS</t>
  </si>
  <si>
    <t>Trung tâm Thể dục thể thao tỉnh Cà Mau</t>
  </si>
  <si>
    <t>Trung tâm Thông tin và quảng bá du lịch tỉnh Cà Mau</t>
  </si>
  <si>
    <t>Trung tâm Thông tin và ứng dụng khoa học công nghệ</t>
  </si>
  <si>
    <t>Trung tâm Trợ giúp pháp lý của Nhà nước</t>
  </si>
  <si>
    <t>Trung tâm Trợ giúp phát triển doanh nghiệp tỉnh Cà Mau</t>
  </si>
  <si>
    <t>Trung tâm Văn hoá tỉnh Cà Mau</t>
  </si>
  <si>
    <t>Trường Cao đẳng Nghề Việt Nam - Hàn Quốc Cà Mau</t>
  </si>
  <si>
    <t>Trường Nuôi dạy trẻ khuyết tật tỉnh Cà Mau</t>
  </si>
  <si>
    <t>Trường Phổ thông dân tộc nội trú</t>
  </si>
  <si>
    <t>Trường Phổ thông dân tộc nội trú và trung học cơ sở Danh Thị Tươi</t>
  </si>
  <si>
    <t>Trường Trung học cơ sở và trung học phổ thông Lý Văn Lâm</t>
  </si>
  <si>
    <t>Trường Trung học cơ sở và trung học phổ thông Vàm Đình</t>
  </si>
  <si>
    <t>Trường Trung học phổ thông Thới Bình</t>
  </si>
  <si>
    <t>Văn phòng Đăng ký đất đai tỉnh Cà Mau</t>
  </si>
  <si>
    <t>Văn phòng Ủy ban nhân dân tỉnh Cà Mau</t>
  </si>
  <si>
    <t>VP Chi cục Quản lý chất lượng nông lâm sản và thủy sản</t>
  </si>
  <si>
    <t>VP Chi cục Tiêu chuẩn đo lường chất lượng</t>
  </si>
  <si>
    <t>VP Hội đồng Liên minh Hợp tác xã tỉnh Cà Mau</t>
  </si>
  <si>
    <t>VP Sở Giao thông vận tải tỉnh Cà Mau</t>
  </si>
  <si>
    <t>VP Sở Lao động - Thương binh và Xã hội tỉnh Cà Mau</t>
  </si>
  <si>
    <t>VP Sở Nông nghiệp và Phát triển Nông thôn tỉnh Cà Mau</t>
  </si>
  <si>
    <t>VP Sở Tài nguyên và Môi trường tỉnh Cà Mau</t>
  </si>
  <si>
    <t>VP Sở Văn hoá, Thể thao và Du lịch tỉnh Cà Mau</t>
  </si>
  <si>
    <t>VP Ủy ban Mặt trận Tổ quốc Việt Nam tỉnh Cà Mau</t>
  </si>
  <si>
    <t>Chi đầu tư và hỗ trợ vốn cho các DN hoạt động công ích (Quỹ đầu tư phát triển)</t>
  </si>
  <si>
    <t>Bộ Chỉ huy Bộ đội Biên phòng tỉnh Cà Mau</t>
  </si>
  <si>
    <t>Công an tỉnh tỉnh Cà Mau</t>
  </si>
  <si>
    <t>Làng Trẻ em SOS Cà Mau</t>
  </si>
  <si>
    <t>Bảo hiểm Xã hội tỉnh Cà Mau</t>
  </si>
  <si>
    <t>Đoàn Đại biểu Quốc hội tỉnh Cà Mau</t>
  </si>
  <si>
    <t>Liên Đoàn lao động tỉnh Cà Mau</t>
  </si>
  <si>
    <t>Văn phòng Tòa án Nhân dân tỉnh Cà Mau</t>
  </si>
  <si>
    <t>Văn phòng Cục Thi hành án dân sự tỉnh Cà Mau</t>
  </si>
  <si>
    <t>Văn phòng Cục thuế tỉnh Cà Mau</t>
  </si>
  <si>
    <t>Văn phòng Cục Thống kê tỉnh Cà Mau</t>
  </si>
  <si>
    <t>Hội Cựu giáo chức tỉnh Cà Mau</t>
  </si>
  <si>
    <t>Hội Khoa học lịch sử tỉnh Cà Mau</t>
  </si>
  <si>
    <t>Hội Sinh vật cảnh tỉnh Cà Mau</t>
  </si>
  <si>
    <t>Ủy ban Đoàn kết Công giáo tỉnh Cà Mau</t>
  </si>
  <si>
    <t>Công ty TNHH MTV Cấp thoát nước và Công trình đô thị Cà Mau</t>
  </si>
  <si>
    <t>Nhà Xuất bản Phương Đông</t>
  </si>
  <si>
    <t>Chi cục Thuế huyện Phú Tân</t>
  </si>
  <si>
    <t>Chi cục Thuế Thành phố Cà Mau</t>
  </si>
  <si>
    <t>Chi cục Thuế huyện Đầm Dơi</t>
  </si>
  <si>
    <t>Chi cục Thuế huyện Ngọc Hiển</t>
  </si>
  <si>
    <t>Quỹ Hỗ trợ phát triển hợp tác xã tỉnh Cà Mau</t>
  </si>
  <si>
    <t>Ngân hàng Chính sách xã hội tỉnh Cà Mau</t>
  </si>
  <si>
    <t>Công ty Bảo hiểm PVI</t>
  </si>
  <si>
    <t>CHI TRẢ NỢ LÃI DO CHÍNH QUYỀN ĐỊA PHƯƠNG VAY</t>
  </si>
  <si>
    <t>Ban Quản lý dự án Nguồn lợi ven biển vì sự phát triển bền vững tỉnh Cà Mau</t>
  </si>
  <si>
    <t>Văn phòng Điều phối các chương trình MTQG</t>
  </si>
  <si>
    <t>Văn phòng Hội đồng nhân dân tỉnh Cà Mau</t>
  </si>
  <si>
    <t>Dư nợ vay đầu năm</t>
  </si>
  <si>
    <t>Tổng số vay trong năm</t>
  </si>
  <si>
    <t>Chi trả nợ gốc trong năm</t>
  </si>
  <si>
    <t>Chỉ tiêu</t>
  </si>
  <si>
    <t>Dự toán Thủ tướng Chính phủ giao</t>
  </si>
  <si>
    <t>So sánh số quyết toán với (%)</t>
  </si>
  <si>
    <t>Dự toán Hội đồng
nhân dân tỉnh giao</t>
  </si>
  <si>
    <t>Thủ tướng
Chính phủ giao</t>
  </si>
  <si>
    <t>Hội đồng nhân
dân tỉnh giao</t>
  </si>
  <si>
    <t>Dư nợ vay cuối năm (1+2-3)</t>
  </si>
  <si>
    <t>Biểu mẫu theo Công văn 10536/BTC-NSNN
ngày 09/9/2019 của Bộ Tài chính</t>
  </si>
  <si>
    <t>QUYẾT TOÁN CHI NSĐP, CHI NGÂN SÁCH CẤP TỈNH VÀ
CHI NGÂN SÁCH HUYỆN (XÃ) THEO CƠ CẤU CHI NĂM 2018</t>
  </si>
  <si>
    <t>Chương trình MTQG Nước sạch và Vệ sinh môi trường nông thôn</t>
  </si>
  <si>
    <t>Chương trình MTQG Giáo dục và đào tạo</t>
  </si>
  <si>
    <t>Thu NSĐP hưởng 100%</t>
  </si>
  <si>
    <t>Thu NSĐP hưởng từ các khoản thu phân chia</t>
  </si>
  <si>
    <t>Văn phòng Điều phối các chương trình mục tiêu quốc gia</t>
  </si>
  <si>
    <t xml:space="preserve">  ỦY BAN NHÂN DÂN</t>
  </si>
  <si>
    <t>Biểu số 62/CK-NSNN</t>
  </si>
  <si>
    <t>CÂN ĐỐI NGÂN SÁCH ĐỊA PHƯƠNG NĂM 2018</t>
  </si>
  <si>
    <t>Thu bổ sung từ NSTW</t>
  </si>
  <si>
    <t>Chi cân đối NSĐP</t>
  </si>
  <si>
    <r>
      <t xml:space="preserve">    </t>
    </r>
    <r>
      <rPr>
        <b/>
        <sz val="14"/>
        <rFont val="Times New Roman"/>
        <family val="1"/>
      </rPr>
      <t xml:space="preserve"> ỦY BAN NHÂN DÂN
          TỈNH CÀ MAU</t>
    </r>
  </si>
  <si>
    <t>Biểu số 63/CK-NSNN</t>
  </si>
  <si>
    <t>(Kèm theo Quyết định số:         /QĐ-UBND ngày    /12/2019 của UBND tỉnh Cà Mau)</t>
  </si>
  <si>
    <t>(Kèm theo Quyết định số           /QĐ-UBND ngày         /12/2019 của UBND tỉnh Cà Mau)</t>
  </si>
  <si>
    <t>QUYẾT TOÁN THU NGÂN SÁCH NHÀ NƯỚC NĂM 2018</t>
  </si>
  <si>
    <t>Biểu số 64/CK-NSNN</t>
  </si>
  <si>
    <t>(Kèm theo Quyết định số            /QĐ-UBND ngày         /12/2019 của UBND tỉnh Cà Mau)</t>
  </si>
  <si>
    <t>Biểu số 65/CK-NSNN</t>
  </si>
  <si>
    <t xml:space="preserve">   ỦY BAN NHÂN DÂN</t>
  </si>
  <si>
    <t>Biểu số 66/CK-NSNN</t>
  </si>
  <si>
    <t>(Kèm theo Quyết toán số            /QĐ-UBND ngày         /12/2019 của UBND tỉnh Cà Mau)</t>
  </si>
  <si>
    <t>Biểu số 67/CK-NSNN</t>
  </si>
  <si>
    <t>QUYẾT TOÁN CHI BỔ SUNG TỪ NGÂN SÁCH CẤP TỈNH CHO NGÂN SÁCH HUYỆN, THÀNH PHỐ NĂM 2018</t>
  </si>
  <si>
    <t>Vốn đầu tư để thực hiện các chương trình mục tiêu nhiệm vụ</t>
  </si>
  <si>
    <t xml:space="preserve">Vốn sự nghiệp để thực hiện các chế độ, chính sách, nhiệm vụ </t>
  </si>
  <si>
    <t>Biểu số 68/CK-NSNN</t>
  </si>
  <si>
    <t>QUYẾT TOÁN CHI CHƯƠNG TRÌNH MỤC TIÊU QUỐC GIA NGÂN SÁCH CẤP TỈNH VÀ
NGÂN SÁCH CẤP HUYỆN NĂM 2018</t>
  </si>
  <si>
    <t xml:space="preserve">      (Kèm theo Quyết định số            /QĐ-UBND ngày      /12/2019 của UBND tỉnh Cà Mau)</t>
  </si>
</sst>
</file>

<file path=xl/styles.xml><?xml version="1.0" encoding="utf-8"?>
<styleSheet xmlns="http://schemas.openxmlformats.org/spreadsheetml/2006/main" xmlns:mc="http://schemas.openxmlformats.org/markup-compatibility/2006" xmlns:x14ac="http://schemas.microsoft.com/office/spreadsheetml/2009/9/ac" mc:Ignorable="x14ac">
  <numFmts count="93">
    <numFmt numFmtId="43" formatCode="_(* #,##0.00_);_(* \(#,##0.00\);_(* &quot;-&quot;??_);_(@_)"/>
    <numFmt numFmtId="164" formatCode="_-* #,##0\ _₫_-;\-* #,##0\ _₫_-;_-* &quot;-&quot;\ _₫_-;_-@_-"/>
    <numFmt numFmtId="165" formatCode="_-* #,##0.00\ _₫_-;\-* #,##0.00\ _₫_-;_-* &quot;-&quot;??\ _₫_-;_-@_-"/>
    <numFmt numFmtId="166" formatCode="0;[Red]0"/>
    <numFmt numFmtId="167" formatCode="_-\€* #,##0_-;&quot;-€&quot;* #,##0_-;_-\€* \-_-;_-@_-"/>
    <numFmt numFmtId="168" formatCode="00.000"/>
    <numFmt numFmtId="169" formatCode="_ * #,##0.00_)\ _$_ ;_ * \(#,##0.00&quot;) &quot;_$_ ;_ * \-??_)\ _$_ ;_ @_ "/>
    <numFmt numFmtId="170" formatCode="\?#,##0;&quot;?-&quot;#,##0"/>
    <numFmt numFmtId="171" formatCode="_ * #,##0_)\ _$_ ;_ * \(#,##0&quot;) &quot;_$_ ;_ * \-_)\ _$_ ;_ @_ "/>
    <numFmt numFmtId="172" formatCode="_(* #,##0_);_(* \(#,##0\);_(* \-_);_(@_)"/>
    <numFmt numFmtId="173" formatCode="_-* #,##0_-;\-* #,##0_-;_-* \-_-;_-@_-"/>
    <numFmt numFmtId="174" formatCode="_-* #,##0.00_-;\-* #,##0.00_-;_-* \-??_-;_-@_-"/>
    <numFmt numFmtId="175" formatCode="\$#,##0_);[Red]&quot;($&quot;#,##0\)"/>
    <numFmt numFmtId="176" formatCode="_-* #,##0\€_-;\-* #,##0\€_-;_-* &quot;-€&quot;_-;_-@_-"/>
    <numFmt numFmtId="177" formatCode="##,###,###,###,000"/>
    <numFmt numFmtId="178" formatCode="_-* #,##0.00_$_-;\-* #,##0.00_$_-;_-* \-??_$_-;_-@_-"/>
    <numFmt numFmtId="179" formatCode="_(* #,##0.00000000_);_(* \(#,##0.00000000\);_(* \-??_);_(@_)"/>
    <numFmt numFmtId="180" formatCode="_-* #,##0_$_-;\-* #,##0_$_-;_-* \-_$_-;_-@_-"/>
    <numFmt numFmtId="181" formatCode="\;"/>
    <numFmt numFmtId="182" formatCode="0.000_)"/>
    <numFmt numFmtId="183" formatCode="_-* #,##0.00\ _₫_-;\-* #,##0.00\ _₫_-;_-* \-??\ _₫_-;_-@_-"/>
    <numFmt numFmtId="184" formatCode="_(* #,##0.00_);_(* \(#,##0.00\);_(* \-??_);_(@_)"/>
    <numFmt numFmtId="185" formatCode="#,##0&quot; þ&quot;;[Red]\-#,##0&quot; þ&quot;"/>
    <numFmt numFmtId="186" formatCode="_-* #,##0.00_V_N_D_-;_-* #,##0.00_V_N_D\-;_-* \-??_V_N_D_-;_-@_-"/>
    <numFmt numFmtId="187" formatCode="#,##0;\(#,##0\)"/>
    <numFmt numFmtId="188" formatCode="_ * #,##0.00_ ;_ * \-#,##0.00_ ;_ * \-??_ ;_ @_ "/>
    <numFmt numFmtId="189" formatCode="_-* #,##0.00&quot; ₫&quot;_-;\-* #,##0.00&quot; ₫&quot;_-;_-* \-??&quot; ₫&quot;_-;_-@_-"/>
    <numFmt numFmtId="190" formatCode="0.00000"/>
    <numFmt numFmtId="191" formatCode="\$#,##0\ ;&quot;($&quot;#,##0\)"/>
    <numFmt numFmtId="192" formatCode="\t0.00%"/>
    <numFmt numFmtId="193" formatCode="&quot;$    &quot;#,##0_);&quot;($   &quot;#,##0\)"/>
    <numFmt numFmtId="194" formatCode="&quot;$     &quot;#,##0_);&quot;($     &quot;#,##0\)"/>
    <numFmt numFmtId="195" formatCode="\t#\ ??/??"/>
    <numFmt numFmtId="196" formatCode="#,###;\-#,###;&quot;&quot;;_(@_)"/>
    <numFmt numFmtId="197" formatCode="_-\£* #,##0_-;&quot;-£&quot;* #,##0_-;_-\£* \-_-;_-@_-"/>
    <numFmt numFmtId="198" formatCode="#,##0&quot; mk&quot;;[Red]\-#,##0&quot; mk&quot;"/>
    <numFmt numFmtId="199" formatCode="_-* #,##0\ _m_k_-;\-* #,##0\ _m_k_-;_-* &quot;- &quot;_m_k_-;_-@_-"/>
    <numFmt numFmtId="200" formatCode="m/d"/>
    <numFmt numFmtId="201" formatCode="\ß#,##0;&quot;-ß&quot;#,##0"/>
    <numFmt numFmtId="202" formatCode="&quot;vnd&quot;#,##0_);[Red]&quot;(vnd&quot;#,##0\)"/>
    <numFmt numFmtId="203" formatCode="0.00_)"/>
    <numFmt numFmtId="204" formatCode="_-* #,##0\ _F_B_-;\-* #,##0\ _F_B_-;_-* &quot;- &quot;_F_B_-;_-@_-"/>
    <numFmt numFmtId="205" formatCode="#,##0.00&quot; F&quot;;[Red]\-#,##0.00&quot; F&quot;"/>
    <numFmt numFmtId="206" formatCode="_ * #,##0_ ;_ * \-#,##0_ ;_ * \-_ ;_ @_ "/>
    <numFmt numFmtId="207" formatCode="_-* #,##0&quot; F&quot;_-;\-* #,##0&quot; F&quot;_-;_-* &quot;- F&quot;_-;_-@_-"/>
    <numFmt numFmtId="208" formatCode="#,##0.00_ ;\-#,##0.00\ "/>
    <numFmt numFmtId="209" formatCode="#,##0&quot; F&quot;;[Red]\-#,##0&quot; F&quot;"/>
    <numFmt numFmtId="210" formatCode="#,##0.00&quot; F&quot;;\-#,##0.00&quot; F&quot;"/>
    <numFmt numFmtId="211" formatCode="\$#,##0;&quot;-$&quot;#,##0"/>
    <numFmt numFmtId="212" formatCode="_(\$* #,##0_);_(\$* \(#,##0\);_(\$* \-_);_(@_)"/>
    <numFmt numFmtId="213" formatCode="_(\$* #,##0.00_);_(\$* \(#,##0.00\);_(\$* \-??_);_(@_)"/>
    <numFmt numFmtId="214" formatCode="_ * #,##0.0_)_$_ ;_ * \(#,##0.0\)_$_ ;_ * \-??_)_$_ ;_ @_ "/>
    <numFmt numFmtId="215" formatCode="_ &quot;RM&quot;* #,##0.00_ ;_ &quot;RM&quot;* \-#,##0.00_ ;_ &quot;RM&quot;* \-??_ ;_ @_ "/>
    <numFmt numFmtId="216" formatCode="_ \\* #,##0_ ;_ \\* \-#,##0_ ;_ \\* \-_ ;_ @_ "/>
    <numFmt numFmtId="217" formatCode="\£#,##0;&quot;-£&quot;#,##0"/>
    <numFmt numFmtId="218" formatCode="_-\$* #,##0_-;&quot;-$&quot;* #,##0_-;_-\$* \-_-;_-@_-"/>
    <numFmt numFmtId="219" formatCode="\$#,##0;[Red]&quot;-$&quot;#,##0"/>
    <numFmt numFmtId="220" formatCode="_-\$* #,##0.00_-;&quot;-$&quot;* #,##0.00_-;_-\$* \-??_-;_-@_-"/>
    <numFmt numFmtId="221" formatCode="\\#,##0.00;[Red]&quot;\-&quot;#,##0.00"/>
    <numFmt numFmtId="222" formatCode="\\#,##0;[Red]&quot;\-&quot;#,##0"/>
    <numFmt numFmtId="223" formatCode="_ * #,##0.00_)_v_n_d_ ;_ * \(#,##0.00\)_v_n_d_ ;_ * \-??_)_v_n_d_ ;_ @_ "/>
    <numFmt numFmtId="224" formatCode="#,##0.0000000000000"/>
    <numFmt numFmtId="225" formatCode="_ * #,##0_ ;_ * \-#,##0_ ;_ * \-??_ ;_ @_ "/>
    <numFmt numFmtId="226" formatCode="_-* #,##0_-;\-* #,##0_-;_-* \-??_-;_-@_-"/>
    <numFmt numFmtId="227" formatCode="_(* #,##0_);_(* \(#,##0\);_(* \-??_);_(@_)"/>
    <numFmt numFmtId="228" formatCode="_ * #,##0.0_ ;_ * \-#,##0.0_ ;_ * \-??_ ;_ @_ "/>
    <numFmt numFmtId="229" formatCode="#,##0.000000"/>
    <numFmt numFmtId="230" formatCode="\(0\)"/>
    <numFmt numFmtId="231" formatCode="_(* #,##0_);_(* \(#,##0\);_(* \-?_);_(@_)"/>
    <numFmt numFmtId="232" formatCode="_(* #,##0.0_);_(* \(#,##0.0\);_(* \-?_);_(@_)"/>
    <numFmt numFmtId="233" formatCode="_-* #,##0.0_-;\-* #,##0.0_-;_-* \-??_-;_-@_-"/>
    <numFmt numFmtId="234" formatCode="#,##0.0000000000_);\(#,##0.0000000000\)"/>
    <numFmt numFmtId="235" formatCode="#,##0.00000000"/>
    <numFmt numFmtId="236" formatCode="#,##0.0"/>
    <numFmt numFmtId="237" formatCode="#,##0\ "/>
    <numFmt numFmtId="238" formatCode="_(* #,##0.0_);_(* \(#,##0.0\);_(* \-??_);_(@_)"/>
    <numFmt numFmtId="239" formatCode="#,##0&quot;  &quot;"/>
    <numFmt numFmtId="240" formatCode="#,##0.000"/>
    <numFmt numFmtId="241" formatCode="#,###,###,###,###,###"/>
    <numFmt numFmtId="242" formatCode="#,##0.000000_);\(#,##0.000000\)"/>
    <numFmt numFmtId="243" formatCode="#,###,###,###,###"/>
    <numFmt numFmtId="244" formatCode="_(* #,##0_);_(* \(#,##0\);_(* &quot;-&quot;??_);_(@_)"/>
    <numFmt numFmtId="245" formatCode="_-[$€-2]* #,##0.00_-;\-[$€-2]* #,##0.00_-;_-[$€-2]* &quot;-&quot;??_-"/>
    <numFmt numFmtId="246" formatCode="#."/>
    <numFmt numFmtId="247" formatCode="_-* #,##0.00_-;\-* #,##0.00_-;_-* &quot;-&quot;??_-;_-@_-"/>
    <numFmt numFmtId="248" formatCode="_-* #,##0_-;\-* #,##0_-;_-* &quot;-&quot;_-;_-@_-"/>
    <numFmt numFmtId="249" formatCode="0.000\ "/>
    <numFmt numFmtId="250" formatCode="#,##0\ &quot;Lt&quot;;[Red]\-#,##0\ &quot;Lt&quot;"/>
    <numFmt numFmtId="251" formatCode="_-* #,##0\ &quot;DM&quot;_-;\-* #,##0\ &quot;DM&quot;_-;_-* &quot;-&quot;\ &quot;DM&quot;_-;_-@_-"/>
    <numFmt numFmtId="252" formatCode="_-* #,##0.00\ &quot;DM&quot;_-;\-* #,##0.00\ &quot;DM&quot;_-;_-* &quot;-&quot;??\ &quot;DM&quot;_-;_-@_-"/>
    <numFmt numFmtId="253" formatCode="#,##0.00000"/>
    <numFmt numFmtId="254" formatCode="#,##0.0_);\(#,##0.0\)"/>
    <numFmt numFmtId="255" formatCode="#,##0.0000"/>
  </numFmts>
  <fonts count="278">
    <font>
      <sz val="10"/>
      <name val="Arial"/>
      <family val="2"/>
    </font>
    <font>
      <sz val="11"/>
      <color theme="1"/>
      <name val="Calibri"/>
      <family val="2"/>
      <scheme val="minor"/>
    </font>
    <font>
      <sz val="10"/>
      <name val="Mangal"/>
      <family val="2"/>
    </font>
    <font>
      <sz val="12"/>
      <name val="¹ÙÅÁÃ¼"/>
      <charset val="129"/>
    </font>
    <font>
      <sz val="12"/>
      <name val="±¼¸²Ã¼"/>
      <charset val="129"/>
    </font>
    <font>
      <sz val="11"/>
      <name val="µ¸¿ò"/>
      <charset val="129"/>
    </font>
    <font>
      <sz val="12"/>
      <name val=".VnTime"/>
      <family val="2"/>
      <charset val="1"/>
    </font>
    <font>
      <sz val="14"/>
      <name val="VNTime"/>
      <charset val="1"/>
    </font>
    <font>
      <b/>
      <u/>
      <sz val="14"/>
      <color indexed="8"/>
      <name val=".VnBook-AntiquaH"/>
      <family val="2"/>
      <charset val="1"/>
    </font>
    <font>
      <i/>
      <sz val="12"/>
      <color indexed="8"/>
      <name val=".VnBook-AntiquaH"/>
      <family val="2"/>
      <charset val="1"/>
    </font>
    <font>
      <sz val="11"/>
      <color indexed="8"/>
      <name val="Calibri"/>
      <family val="2"/>
      <charset val="1"/>
    </font>
    <font>
      <sz val="14"/>
      <color indexed="8"/>
      <name val="Times New Roman"/>
      <family val="2"/>
      <charset val="1"/>
    </font>
    <font>
      <b/>
      <sz val="12"/>
      <color indexed="8"/>
      <name val=".VnBook-Antiqua"/>
      <family val="2"/>
      <charset val="1"/>
    </font>
    <font>
      <i/>
      <sz val="12"/>
      <color indexed="8"/>
      <name val=".VnBook-Antiqua"/>
      <family val="2"/>
      <charset val="1"/>
    </font>
    <font>
      <sz val="10"/>
      <name val=".VnTime"/>
      <family val="2"/>
      <charset val="1"/>
    </font>
    <font>
      <sz val="11"/>
      <color indexed="9"/>
      <name val="Calibri"/>
      <family val="2"/>
      <charset val="1"/>
    </font>
    <font>
      <sz val="14"/>
      <color indexed="9"/>
      <name val="Times New Roman"/>
      <family val="2"/>
      <charset val="1"/>
    </font>
    <font>
      <sz val="10"/>
      <name val="Arial"/>
      <family val="2"/>
      <charset val="1"/>
    </font>
    <font>
      <sz val="12"/>
      <name val="Times New Roman"/>
      <family val="1"/>
      <charset val="1"/>
    </font>
    <font>
      <sz val="12"/>
      <name val="|??¢¥¢¬¨Ï"/>
      <family val="1"/>
      <charset val="129"/>
    </font>
    <font>
      <sz val="8"/>
      <name val="Times New Roman"/>
      <family val="1"/>
      <charset val="1"/>
    </font>
    <font>
      <sz val="11"/>
      <color indexed="20"/>
      <name val="Calibri"/>
      <family val="2"/>
      <charset val="1"/>
    </font>
    <font>
      <sz val="11"/>
      <color indexed="10"/>
      <name val="Arial"/>
      <family val="2"/>
      <charset val="1"/>
    </font>
    <font>
      <sz val="12"/>
      <name val=".VnArial Narrow"/>
      <family val="2"/>
      <charset val="1"/>
    </font>
    <font>
      <sz val="12"/>
      <name val="¹UAAA¼"/>
      <family val="3"/>
      <charset val="129"/>
    </font>
    <font>
      <sz val="10"/>
      <name val="MS Sans Serif"/>
      <family val="2"/>
      <charset val="1"/>
    </font>
    <font>
      <b/>
      <sz val="11"/>
      <color indexed="52"/>
      <name val="Calibri"/>
      <family val="2"/>
      <charset val="1"/>
    </font>
    <font>
      <b/>
      <sz val="10"/>
      <name val="Arial"/>
      <family val="2"/>
      <charset val="1"/>
    </font>
    <font>
      <b/>
      <sz val="11"/>
      <color indexed="9"/>
      <name val="Calibri"/>
      <family val="2"/>
      <charset val="1"/>
    </font>
    <font>
      <sz val="11"/>
      <name val="Times New Roman"/>
      <family val="1"/>
      <charset val="1"/>
    </font>
    <font>
      <sz val="11"/>
      <name val="VNI-Times"/>
    </font>
    <font>
      <sz val="10"/>
      <name val="Times New Roman"/>
      <family val="1"/>
      <charset val="1"/>
    </font>
    <font>
      <sz val="10"/>
      <name val="MS Serif"/>
      <family val="1"/>
      <charset val="1"/>
    </font>
    <font>
      <sz val="10"/>
      <name val="±¼¸²A¼"/>
      <family val="3"/>
      <charset val="129"/>
    </font>
    <font>
      <sz val="10"/>
      <color indexed="16"/>
      <name val="MS Serif"/>
      <family val="1"/>
      <charset val="1"/>
    </font>
    <font>
      <i/>
      <sz val="11"/>
      <color indexed="23"/>
      <name val="Calibri"/>
      <family val="2"/>
      <charset val="1"/>
    </font>
    <font>
      <b/>
      <sz val="16"/>
      <color indexed="16"/>
      <name val="VNbritannic"/>
      <family val="2"/>
      <charset val="1"/>
    </font>
    <font>
      <b/>
      <sz val="18"/>
      <color indexed="12"/>
      <name val="VNbritannic"/>
      <family val="2"/>
      <charset val="1"/>
    </font>
    <font>
      <b/>
      <sz val="18"/>
      <name val="VNnew Century Cond"/>
      <family val="2"/>
      <charset val="1"/>
    </font>
    <font>
      <b/>
      <sz val="20"/>
      <color indexed="12"/>
      <name val="VNnew Century Cond"/>
      <family val="2"/>
      <charset val="1"/>
    </font>
    <font>
      <b/>
      <sz val="16"/>
      <name val="VNlucida sans"/>
      <family val="2"/>
      <charset val="1"/>
    </font>
    <font>
      <b/>
      <sz val="18"/>
      <color indexed="10"/>
      <name val="VNnew Century Cond"/>
      <family val="2"/>
      <charset val="1"/>
    </font>
    <font>
      <b/>
      <sz val="14"/>
      <color indexed="14"/>
      <name val="VNottawa"/>
      <family val="2"/>
      <charset val="1"/>
    </font>
    <font>
      <b/>
      <sz val="16"/>
      <color indexed="14"/>
      <name val="VNottawa"/>
      <family val="2"/>
      <charset val="1"/>
    </font>
    <font>
      <sz val="11"/>
      <color indexed="17"/>
      <name val="Calibri"/>
      <family val="2"/>
      <charset val="1"/>
    </font>
    <font>
      <sz val="8"/>
      <name val="Arial"/>
      <family val="2"/>
      <charset val="1"/>
    </font>
    <font>
      <sz val="8"/>
      <name val="Arial"/>
      <family val="2"/>
      <charset val="163"/>
    </font>
    <font>
      <sz val="10"/>
      <name val=".VnArialH"/>
      <family val="2"/>
      <charset val="1"/>
    </font>
    <font>
      <b/>
      <sz val="12"/>
      <color indexed="9"/>
      <name val="Times New Roman"/>
      <family val="1"/>
      <charset val="1"/>
    </font>
    <font>
      <b/>
      <sz val="12"/>
      <name val="Arial"/>
      <family val="2"/>
      <charset val="1"/>
    </font>
    <font>
      <b/>
      <sz val="18"/>
      <name val="Arial"/>
      <family val="2"/>
      <charset val="1"/>
    </font>
    <font>
      <b/>
      <sz val="11"/>
      <color indexed="56"/>
      <name val="Calibri"/>
      <family val="2"/>
      <charset val="1"/>
    </font>
    <font>
      <b/>
      <sz val="8"/>
      <name val="MS Sans Serif"/>
      <family val="2"/>
      <charset val="1"/>
    </font>
    <font>
      <b/>
      <sz val="14"/>
      <name val=".VnTimeH"/>
      <family val="2"/>
      <charset val="1"/>
    </font>
    <font>
      <u/>
      <sz val="12"/>
      <color indexed="12"/>
      <name val="VNI-Times"/>
    </font>
    <font>
      <u/>
      <sz val="12"/>
      <color indexed="12"/>
      <name val="Times New Roman"/>
      <family val="1"/>
      <charset val="1"/>
    </font>
    <font>
      <sz val="11"/>
      <color indexed="62"/>
      <name val="Calibri"/>
      <family val="2"/>
      <charset val="1"/>
    </font>
    <font>
      <sz val="16"/>
      <name val="VNI-Times"/>
    </font>
    <font>
      <b/>
      <sz val="14"/>
      <color indexed="9"/>
      <name val="Times New Roman"/>
      <family val="2"/>
      <charset val="1"/>
    </font>
    <font>
      <sz val="11"/>
      <color indexed="52"/>
      <name val="Calibri"/>
      <family val="2"/>
      <charset val="1"/>
    </font>
    <font>
      <i/>
      <sz val="10"/>
      <name val=".VnTime"/>
      <family val="2"/>
      <charset val="1"/>
    </font>
    <font>
      <b/>
      <sz val="10"/>
      <name val=".VnArial"/>
      <family val="2"/>
      <charset val="1"/>
    </font>
    <font>
      <b/>
      <sz val="10"/>
      <name val=".VnTime"/>
      <family val="2"/>
      <charset val="1"/>
    </font>
    <font>
      <b/>
      <sz val="11"/>
      <name val="Arial"/>
      <family val="2"/>
      <charset val="1"/>
    </font>
    <font>
      <sz val="11"/>
      <color indexed="60"/>
      <name val="Calibri"/>
      <family val="2"/>
      <charset val="1"/>
    </font>
    <font>
      <sz val="7"/>
      <name val="Small Fonts"/>
      <family val="2"/>
      <charset val="1"/>
    </font>
    <font>
      <sz val="10"/>
      <name val="VNtimes new roman"/>
      <family val="2"/>
      <charset val="1"/>
    </font>
    <font>
      <b/>
      <i/>
      <sz val="16"/>
      <name val="Arial"/>
      <family val="2"/>
      <charset val="1"/>
    </font>
    <font>
      <sz val="12"/>
      <name val="VNI-Times"/>
    </font>
    <font>
      <sz val="14"/>
      <name val="Times New Roman"/>
      <family val="1"/>
      <charset val="1"/>
    </font>
    <font>
      <sz val="13"/>
      <name val="Times New Roman"/>
      <family val="1"/>
      <charset val="1"/>
    </font>
    <font>
      <sz val="10"/>
      <name val="Arial"/>
      <family val="2"/>
      <charset val="163"/>
    </font>
    <font>
      <sz val="13"/>
      <name val="VNI-Times"/>
    </font>
    <font>
      <sz val="11"/>
      <color indexed="8"/>
      <name val="Arial"/>
      <family val="2"/>
      <charset val="1"/>
    </font>
    <font>
      <sz val="12"/>
      <name val="VN-NTime"/>
    </font>
    <font>
      <sz val="10"/>
      <name val="VNI-Times"/>
    </font>
    <font>
      <sz val="10"/>
      <color indexed="8"/>
      <name val="Arial"/>
      <family val="2"/>
      <charset val="1"/>
    </font>
    <font>
      <sz val="10"/>
      <name val="Arial CE"/>
      <family val="2"/>
      <charset val="238"/>
    </font>
    <font>
      <sz val="13"/>
      <name val=".VnTime"/>
      <family val="2"/>
      <charset val="1"/>
    </font>
    <font>
      <b/>
      <sz val="11"/>
      <color indexed="63"/>
      <name val="Calibri"/>
      <family val="2"/>
      <charset val="1"/>
    </font>
    <font>
      <b/>
      <sz val="12"/>
      <color indexed="8"/>
      <name val="Arial"/>
      <family val="2"/>
      <charset val="1"/>
    </font>
    <font>
      <b/>
      <i/>
      <sz val="12"/>
      <color indexed="8"/>
      <name val="Arial"/>
      <family val="2"/>
      <charset val="1"/>
    </font>
    <font>
      <sz val="12"/>
      <color indexed="8"/>
      <name val="Arial"/>
      <family val="2"/>
      <charset val="1"/>
    </font>
    <font>
      <i/>
      <sz val="12"/>
      <color indexed="8"/>
      <name val="Arial"/>
      <family val="2"/>
      <charset val="1"/>
    </font>
    <font>
      <sz val="19"/>
      <color indexed="48"/>
      <name val="Arial"/>
      <family val="2"/>
      <charset val="1"/>
    </font>
    <font>
      <sz val="12"/>
      <color indexed="14"/>
      <name val="Arial"/>
      <family val="2"/>
      <charset val="1"/>
    </font>
    <font>
      <sz val="8"/>
      <name val="MS Sans Serif"/>
      <family val="2"/>
      <charset val="1"/>
    </font>
    <font>
      <b/>
      <sz val="10.5"/>
      <name val=".VnAvantH"/>
      <family val="2"/>
      <charset val="1"/>
    </font>
    <font>
      <b/>
      <sz val="8"/>
      <color indexed="8"/>
      <name val="Arial"/>
      <family val="2"/>
      <charset val="1"/>
    </font>
    <font>
      <sz val="13"/>
      <name val=".VnArial"/>
      <family val="2"/>
      <charset val="1"/>
    </font>
    <font>
      <sz val="10"/>
      <name val=".VnArial"/>
      <family val="2"/>
      <charset val="1"/>
    </font>
    <font>
      <sz val="11"/>
      <name val=".VnAvant"/>
      <family val="2"/>
      <charset val="1"/>
    </font>
    <font>
      <b/>
      <sz val="13"/>
      <color indexed="8"/>
      <name val=".VnTimeH"/>
      <family val="2"/>
      <charset val="1"/>
    </font>
    <font>
      <sz val="9.5"/>
      <name val=".VnBlackH"/>
      <family val="2"/>
      <charset val="1"/>
    </font>
    <font>
      <b/>
      <sz val="10"/>
      <name val=".VnBahamasBH"/>
      <family val="2"/>
      <charset val="1"/>
    </font>
    <font>
      <b/>
      <sz val="11"/>
      <name val=".VnArialH"/>
      <family val="2"/>
      <charset val="1"/>
    </font>
    <font>
      <b/>
      <sz val="18"/>
      <color indexed="56"/>
      <name val="Cambria"/>
      <family val="2"/>
      <charset val="1"/>
    </font>
    <font>
      <b/>
      <sz val="10"/>
      <name val=".VnTimeH"/>
      <family val="2"/>
      <charset val="1"/>
    </font>
    <font>
      <b/>
      <sz val="11"/>
      <name val=".VnTimeH"/>
      <family val="2"/>
      <charset val="1"/>
    </font>
    <font>
      <b/>
      <sz val="10"/>
      <name val=".VnArialH"/>
      <family val="2"/>
      <charset val="1"/>
    </font>
    <font>
      <sz val="14"/>
      <color indexed="60"/>
      <name val="Times New Roman"/>
      <family val="2"/>
      <charset val="1"/>
    </font>
    <font>
      <sz val="10"/>
      <name val=".VnArial Narrow"/>
      <family val="2"/>
      <charset val="1"/>
    </font>
    <font>
      <b/>
      <sz val="14"/>
      <color indexed="52"/>
      <name val="Times New Roman"/>
      <family val="2"/>
      <charset val="1"/>
    </font>
    <font>
      <sz val="14"/>
      <color indexed="17"/>
      <name val="Times New Roman"/>
      <family val="2"/>
      <charset val="1"/>
    </font>
    <font>
      <b/>
      <sz val="14"/>
      <color indexed="8"/>
      <name val="Times New Roman"/>
      <family val="2"/>
      <charset val="1"/>
    </font>
    <font>
      <sz val="12"/>
      <name val="VNtimes new roman"/>
      <family val="2"/>
      <charset val="1"/>
    </font>
    <font>
      <sz val="14"/>
      <name val="VnTime"/>
      <family val="2"/>
      <charset val="1"/>
    </font>
    <font>
      <b/>
      <sz val="12"/>
      <name val=".VnTime"/>
      <family val="2"/>
      <charset val="1"/>
    </font>
    <font>
      <b/>
      <sz val="10"/>
      <name val="VN Helvetica"/>
      <charset val="1"/>
    </font>
    <font>
      <sz val="10"/>
      <name val="VN Helvetica"/>
      <charset val="1"/>
    </font>
    <font>
      <sz val="14"/>
      <color indexed="10"/>
      <name val="Times New Roman"/>
      <family val="2"/>
      <charset val="1"/>
    </font>
    <font>
      <i/>
      <sz val="14"/>
      <color indexed="23"/>
      <name val="Times New Roman"/>
      <family val="2"/>
      <charset val="1"/>
    </font>
    <font>
      <sz val="11"/>
      <color indexed="10"/>
      <name val="Calibri"/>
      <family val="2"/>
      <charset val="1"/>
    </font>
    <font>
      <sz val="14"/>
      <name val=".VnArial"/>
      <family val="2"/>
      <charset val="1"/>
    </font>
    <font>
      <sz val="14"/>
      <color indexed="20"/>
      <name val="Times New Roman"/>
      <family val="2"/>
      <charset val="1"/>
    </font>
    <font>
      <sz val="12"/>
      <color indexed="8"/>
      <name val="¹ÙÅÁÃ¼"/>
      <family val="1"/>
      <charset val="129"/>
    </font>
    <font>
      <sz val="14"/>
      <color indexed="52"/>
      <name val="Times New Roman"/>
      <family val="2"/>
      <charset val="1"/>
    </font>
    <font>
      <sz val="12"/>
      <name val="VNTime"/>
      <charset val="1"/>
    </font>
    <font>
      <b/>
      <sz val="14"/>
      <color indexed="63"/>
      <name val="Times New Roman"/>
      <family val="2"/>
      <charset val="1"/>
    </font>
    <font>
      <sz val="14"/>
      <color indexed="62"/>
      <name val="Times New Roman"/>
      <family val="2"/>
      <charset val="1"/>
    </font>
    <font>
      <b/>
      <sz val="15"/>
      <color indexed="56"/>
      <name val="Times New Roman"/>
      <family val="2"/>
      <charset val="1"/>
    </font>
    <font>
      <b/>
      <sz val="13"/>
      <color indexed="56"/>
      <name val="Times New Roman"/>
      <family val="2"/>
      <charset val="1"/>
    </font>
    <font>
      <b/>
      <sz val="11"/>
      <color indexed="56"/>
      <name val="Times New Roman"/>
      <family val="2"/>
      <charset val="1"/>
    </font>
    <font>
      <sz val="11"/>
      <name val="–¾’©"/>
      <family val="1"/>
      <charset val="128"/>
    </font>
    <font>
      <sz val="12"/>
      <name val="Arial"/>
      <family val="2"/>
      <charset val="1"/>
    </font>
    <font>
      <sz val="11"/>
      <name val="ＭＳ 明朝"/>
      <family val="1"/>
      <charset val="128"/>
    </font>
    <font>
      <sz val="12"/>
      <name val="뼻뮝"/>
      <family val="1"/>
      <charset val="129"/>
    </font>
    <font>
      <sz val="12"/>
      <name val="바탕체"/>
      <family val="1"/>
      <charset val="129"/>
    </font>
    <font>
      <sz val="10"/>
      <name val="굴림체"/>
      <family val="3"/>
      <charset val="129"/>
    </font>
    <font>
      <sz val="10"/>
      <name val="돋움체"/>
      <family val="3"/>
      <charset val="129"/>
    </font>
    <font>
      <i/>
      <sz val="12"/>
      <name val="Times New Roman"/>
      <family val="1"/>
      <charset val="1"/>
    </font>
    <font>
      <b/>
      <sz val="15"/>
      <name val="Times New Roman"/>
      <family val="1"/>
      <charset val="1"/>
    </font>
    <font>
      <b/>
      <sz val="10"/>
      <name val="Times New Roman"/>
      <family val="1"/>
      <charset val="1"/>
    </font>
    <font>
      <sz val="9.5"/>
      <name val="Times New Roman"/>
      <family val="1"/>
      <charset val="1"/>
    </font>
    <font>
      <b/>
      <sz val="9"/>
      <color indexed="8"/>
      <name val="Tahoma"/>
      <family val="2"/>
      <charset val="1"/>
    </font>
    <font>
      <sz val="9"/>
      <color indexed="8"/>
      <name val="Tahoma"/>
      <family val="2"/>
      <charset val="1"/>
    </font>
    <font>
      <sz val="9"/>
      <name val="Times New Roman"/>
      <family val="1"/>
      <charset val="1"/>
    </font>
    <font>
      <b/>
      <u/>
      <sz val="10"/>
      <name val="Times New Roman"/>
      <family val="1"/>
      <charset val="1"/>
    </font>
    <font>
      <i/>
      <sz val="10"/>
      <name val="Times New Roman"/>
      <family val="1"/>
      <charset val="1"/>
    </font>
    <font>
      <b/>
      <i/>
      <u/>
      <sz val="10"/>
      <name val="Times New Roman"/>
      <family val="1"/>
      <charset val="1"/>
    </font>
    <font>
      <b/>
      <i/>
      <sz val="10"/>
      <name val="Times New Roman"/>
      <family val="1"/>
      <charset val="1"/>
    </font>
    <font>
      <b/>
      <sz val="9.5"/>
      <name val="Times New Roman"/>
      <family val="1"/>
      <charset val="1"/>
    </font>
    <font>
      <b/>
      <sz val="12"/>
      <name val="Times New Roman"/>
      <family val="1"/>
      <charset val="1"/>
    </font>
    <font>
      <b/>
      <sz val="11"/>
      <name val="Times New Roman"/>
      <family val="1"/>
      <charset val="1"/>
    </font>
    <font>
      <b/>
      <sz val="14"/>
      <name val="Times New Roman"/>
      <family val="1"/>
      <charset val="1"/>
    </font>
    <font>
      <sz val="12"/>
      <color indexed="10"/>
      <name val="Times New Roman"/>
      <family val="1"/>
      <charset val="1"/>
    </font>
    <font>
      <i/>
      <sz val="13"/>
      <name val="Times New Roman"/>
      <family val="1"/>
      <charset val="1"/>
    </font>
    <font>
      <b/>
      <sz val="9"/>
      <name val="Times New Roman"/>
      <family val="1"/>
      <charset val="1"/>
    </font>
    <font>
      <b/>
      <sz val="7"/>
      <name val="Times New Roman"/>
      <family val="1"/>
      <charset val="1"/>
    </font>
    <font>
      <i/>
      <sz val="11"/>
      <name val="Times New Roman"/>
      <family val="1"/>
      <charset val="1"/>
    </font>
    <font>
      <b/>
      <sz val="10.5"/>
      <name val="Times New Roman"/>
      <family val="1"/>
      <charset val="1"/>
    </font>
    <font>
      <b/>
      <sz val="13"/>
      <name val="Times New Roman"/>
      <family val="1"/>
      <charset val="1"/>
    </font>
    <font>
      <b/>
      <i/>
      <sz val="11"/>
      <name val="Times New Roman"/>
      <family val="1"/>
      <charset val="1"/>
    </font>
    <font>
      <sz val="8"/>
      <color indexed="8"/>
      <name val="Tahoma"/>
      <family val="2"/>
      <charset val="1"/>
    </font>
    <font>
      <b/>
      <sz val="8"/>
      <color indexed="8"/>
      <name val="Tahoma"/>
      <family val="2"/>
      <charset val="1"/>
    </font>
    <font>
      <b/>
      <i/>
      <sz val="12"/>
      <name val="Times New Roman"/>
      <family val="1"/>
      <charset val="1"/>
    </font>
    <font>
      <sz val="14"/>
      <name val="VNI-Times"/>
    </font>
    <font>
      <b/>
      <sz val="12"/>
      <name val="VNI-Times"/>
    </font>
    <font>
      <i/>
      <sz val="12"/>
      <color indexed="10"/>
      <name val="Times New Roman"/>
      <family val="1"/>
      <charset val="1"/>
    </font>
    <font>
      <b/>
      <sz val="8"/>
      <name val="Times New Roman"/>
      <family val="1"/>
      <charset val="1"/>
    </font>
    <font>
      <sz val="8"/>
      <name val="Arial"/>
      <family val="2"/>
    </font>
    <font>
      <b/>
      <sz val="12"/>
      <name val="Times New Roman"/>
      <family val="1"/>
    </font>
    <font>
      <sz val="12"/>
      <name val="Times New Roman"/>
      <family val="1"/>
    </font>
    <font>
      <i/>
      <sz val="12"/>
      <name val="Times New Roman"/>
      <family val="1"/>
    </font>
    <font>
      <sz val="12"/>
      <color rgb="FFFF0000"/>
      <name val="Times New Roman"/>
      <family val="1"/>
      <charset val="1"/>
    </font>
    <font>
      <sz val="9"/>
      <color indexed="81"/>
      <name val="Tahoma"/>
      <family val="2"/>
    </font>
    <font>
      <b/>
      <sz val="9"/>
      <color indexed="81"/>
      <name val="Tahoma"/>
      <family val="2"/>
    </font>
    <font>
      <sz val="13"/>
      <color theme="1"/>
      <name val="Times New Roman"/>
      <family val="1"/>
      <charset val="163"/>
    </font>
    <font>
      <sz val="13"/>
      <name val="Times New Roman"/>
      <family val="1"/>
    </font>
    <font>
      <b/>
      <sz val="12"/>
      <color theme="1"/>
      <name val="Times New Roman"/>
      <family val="1"/>
      <charset val="163"/>
    </font>
    <font>
      <sz val="12"/>
      <color theme="1"/>
      <name val="Times New Roman"/>
      <family val="1"/>
      <charset val="163"/>
    </font>
    <font>
      <sz val="11"/>
      <color theme="1"/>
      <name val="Times New Roman"/>
      <family val="1"/>
      <charset val="163"/>
    </font>
    <font>
      <i/>
      <sz val="12"/>
      <color theme="1"/>
      <name val="Times New Roman"/>
      <family val="1"/>
      <charset val="163"/>
    </font>
    <font>
      <sz val="12"/>
      <color theme="1"/>
      <name val="Times New Roman"/>
      <family val="1"/>
    </font>
    <font>
      <i/>
      <sz val="13"/>
      <name val="Times New Roman"/>
      <family val="1"/>
    </font>
    <font>
      <b/>
      <sz val="14"/>
      <color theme="1"/>
      <name val="Times New Roman"/>
      <family val="1"/>
      <charset val="163"/>
    </font>
    <font>
      <sz val="13"/>
      <color theme="1"/>
      <name val="Times New Roman"/>
      <family val="1"/>
    </font>
    <font>
      <b/>
      <sz val="12"/>
      <color theme="1"/>
      <name val="Times New Roman"/>
      <family val="1"/>
    </font>
    <font>
      <b/>
      <sz val="14"/>
      <color theme="1"/>
      <name val="Times New Roman"/>
      <family val="1"/>
    </font>
    <font>
      <i/>
      <sz val="13"/>
      <color theme="1"/>
      <name val="Times New Roman"/>
      <family val="1"/>
    </font>
    <font>
      <sz val="10"/>
      <color theme="1"/>
      <name val="Times New Roman"/>
      <family val="1"/>
    </font>
    <font>
      <b/>
      <sz val="10"/>
      <color theme="1"/>
      <name val="Times New Roman"/>
      <family val="1"/>
    </font>
    <font>
      <b/>
      <sz val="13"/>
      <color theme="1"/>
      <name val="Times New Roman"/>
      <family val="1"/>
    </font>
    <font>
      <b/>
      <sz val="14"/>
      <name val="Times New Roman"/>
      <family val="1"/>
    </font>
    <font>
      <sz val="10"/>
      <name val="Times New Roman"/>
      <family val="1"/>
    </font>
    <font>
      <b/>
      <sz val="13"/>
      <name val="Times New Roman"/>
      <family val="1"/>
    </font>
    <font>
      <i/>
      <sz val="9"/>
      <name val="Times New Roman"/>
      <family val="1"/>
      <charset val="1"/>
    </font>
    <font>
      <i/>
      <sz val="11"/>
      <name val="Times New Roman"/>
      <family val="1"/>
    </font>
    <font>
      <b/>
      <sz val="11"/>
      <name val="Times New Roman"/>
      <family val="1"/>
    </font>
    <font>
      <sz val="11"/>
      <name val="Times New Roman"/>
      <family val="1"/>
    </font>
    <font>
      <sz val="11"/>
      <color indexed="8"/>
      <name val="Calibri"/>
      <family val="2"/>
      <charset val="163"/>
    </font>
    <font>
      <sz val="11"/>
      <color rgb="FFFF0000"/>
      <name val="Times New Roman"/>
      <family val="1"/>
      <charset val="1"/>
    </font>
    <font>
      <b/>
      <sz val="11"/>
      <color rgb="FFFF0000"/>
      <name val="Times New Roman"/>
      <family val="1"/>
      <charset val="1"/>
    </font>
    <font>
      <b/>
      <i/>
      <sz val="11"/>
      <name val="Times New Roman"/>
      <family val="1"/>
    </font>
    <font>
      <b/>
      <sz val="12"/>
      <color rgb="FFFF0000"/>
      <name val="Times New Roman"/>
      <family val="1"/>
      <charset val="1"/>
    </font>
    <font>
      <i/>
      <sz val="12"/>
      <color indexed="10"/>
      <name val="Times New Roman"/>
      <family val="1"/>
    </font>
    <font>
      <sz val="11"/>
      <color theme="1"/>
      <name val="Calibri"/>
      <family val="2"/>
      <charset val="163"/>
    </font>
    <font>
      <sz val="11"/>
      <color theme="1"/>
      <name val="Times New Roman"/>
      <family val="1"/>
    </font>
    <font>
      <sz val="9"/>
      <color theme="1"/>
      <name val="Times New Roman"/>
      <family val="1"/>
    </font>
    <font>
      <b/>
      <sz val="9"/>
      <color theme="1"/>
      <name val="Times New Roman"/>
      <family val="1"/>
    </font>
    <font>
      <i/>
      <sz val="9"/>
      <color theme="1"/>
      <name val="Times New Roman"/>
      <family val="1"/>
    </font>
    <font>
      <sz val="7"/>
      <color theme="1"/>
      <name val="Times New Roman"/>
      <family val="1"/>
    </font>
    <font>
      <sz val="6"/>
      <color theme="1"/>
      <name val="Times New Roman"/>
      <family val="1"/>
    </font>
    <font>
      <b/>
      <sz val="7.5"/>
      <color theme="1"/>
      <name val="Times New Roman"/>
      <family val="1"/>
    </font>
    <font>
      <i/>
      <sz val="7.5"/>
      <color theme="1"/>
      <name val="Times New Roman"/>
      <family val="1"/>
    </font>
    <font>
      <sz val="5.5"/>
      <color theme="1"/>
      <name val="Times New Roman"/>
      <family val="1"/>
    </font>
    <font>
      <sz val="6.5"/>
      <color theme="1"/>
      <name val="Times New Roman"/>
      <family val="1"/>
    </font>
    <font>
      <sz val="14"/>
      <color theme="1"/>
      <name val="Times New Roman"/>
      <family val="1"/>
    </font>
    <font>
      <i/>
      <sz val="14"/>
      <color theme="1"/>
      <name val="Times New Roman"/>
      <family val="1"/>
    </font>
    <font>
      <sz val="7.5"/>
      <color theme="1"/>
      <name val="Times New Roman"/>
      <family val="1"/>
    </font>
    <font>
      <sz val="10"/>
      <name val="Arial"/>
      <family val="2"/>
    </font>
    <font>
      <sz val="8"/>
      <color theme="1"/>
      <name val="Times New Roman"/>
      <family val="1"/>
    </font>
    <font>
      <b/>
      <sz val="18"/>
      <color theme="1"/>
      <name val="Times New Roman"/>
      <family val="1"/>
      <charset val="163"/>
    </font>
    <font>
      <sz val="18"/>
      <color theme="1"/>
      <name val="Times New Roman"/>
      <family val="1"/>
      <charset val="163"/>
    </font>
    <font>
      <i/>
      <sz val="18"/>
      <color theme="1"/>
      <name val="Times New Roman"/>
      <family val="1"/>
      <charset val="163"/>
    </font>
    <font>
      <b/>
      <i/>
      <sz val="12"/>
      <color theme="1"/>
      <name val="Times New Roman"/>
      <family val="1"/>
      <charset val="163"/>
    </font>
    <font>
      <sz val="11"/>
      <color indexed="8"/>
      <name val="Calibri"/>
      <family val="2"/>
    </font>
    <font>
      <sz val="14"/>
      <name val=".VnTime"/>
      <family val="2"/>
    </font>
    <font>
      <sz val="11"/>
      <name val="UVnTime"/>
      <family val="2"/>
    </font>
    <font>
      <i/>
      <sz val="12"/>
      <color theme="1"/>
      <name val="Times New Roman"/>
      <family val="1"/>
    </font>
    <font>
      <b/>
      <sz val="9"/>
      <color indexed="81"/>
      <name val="Tahoma"/>
      <family val="2"/>
      <charset val="163"/>
    </font>
    <font>
      <sz val="9"/>
      <color indexed="81"/>
      <name val="Tahoma"/>
      <family val="2"/>
      <charset val="163"/>
    </font>
    <font>
      <sz val="12"/>
      <name val="돋움체"/>
      <family val="3"/>
      <charset val="129"/>
    </font>
    <font>
      <sz val="12"/>
      <name val="???"/>
      <family val="1"/>
      <charset val="129"/>
    </font>
    <font>
      <sz val="10"/>
      <name val="Helv"/>
      <family val="2"/>
    </font>
    <font>
      <sz val="10"/>
      <name val="MS Sans Serif"/>
      <family val="2"/>
    </font>
    <font>
      <sz val="12"/>
      <name val=".VnTime"/>
      <family val="2"/>
    </font>
    <font>
      <b/>
      <sz val="1"/>
      <color indexed="8"/>
      <name val="Courier"/>
      <family val="3"/>
    </font>
    <font>
      <sz val="12"/>
      <name val="Arial"/>
      <family val="2"/>
    </font>
    <font>
      <sz val="10"/>
      <name val="Helv"/>
    </font>
    <font>
      <sz val="9"/>
      <name val="Arial"/>
      <family val="2"/>
    </font>
    <font>
      <sz val="10"/>
      <name val=".VnAvant"/>
      <family val="2"/>
    </font>
    <font>
      <sz val="10"/>
      <name val=".VnArial"/>
      <family val="2"/>
    </font>
    <font>
      <sz val="10"/>
      <name val="명조"/>
      <family val="3"/>
      <charset val="129"/>
    </font>
    <font>
      <sz val="8"/>
      <color theme="1"/>
      <name val="Times New Roman"/>
      <family val="1"/>
      <charset val="163"/>
    </font>
    <font>
      <b/>
      <sz val="8"/>
      <color theme="1"/>
      <name val="Times New Roman"/>
      <family val="1"/>
      <charset val="163"/>
    </font>
    <font>
      <b/>
      <i/>
      <sz val="8"/>
      <color theme="1"/>
      <name val="Times New Roman"/>
      <family val="1"/>
      <charset val="163"/>
    </font>
    <font>
      <sz val="8"/>
      <name val="Times New Roman"/>
      <family val="1"/>
      <charset val="163"/>
    </font>
    <font>
      <i/>
      <sz val="8"/>
      <color theme="1"/>
      <name val="Times New Roman"/>
      <family val="1"/>
      <charset val="163"/>
    </font>
    <font>
      <i/>
      <sz val="8"/>
      <color indexed="8"/>
      <name val="Times New Roman"/>
      <family val="1"/>
      <charset val="163"/>
    </font>
    <font>
      <sz val="8"/>
      <color rgb="FFFF0000"/>
      <name val="Times New Roman"/>
      <family val="1"/>
      <charset val="163"/>
    </font>
    <font>
      <sz val="14"/>
      <color theme="1"/>
      <name val="Times New Roman"/>
      <family val="1"/>
      <charset val="163"/>
    </font>
    <font>
      <b/>
      <i/>
      <sz val="12"/>
      <color theme="1"/>
      <name val="Times New Roman"/>
      <family val="1"/>
    </font>
    <font>
      <sz val="11"/>
      <color theme="1"/>
      <name val="Calibri"/>
      <family val="2"/>
      <charset val="163"/>
      <scheme val="minor"/>
    </font>
    <font>
      <b/>
      <sz val="10"/>
      <name val="Times New Roman"/>
      <family val="1"/>
    </font>
    <font>
      <sz val="7"/>
      <name val="Times New Roman"/>
      <family val="1"/>
      <charset val="1"/>
    </font>
    <font>
      <b/>
      <i/>
      <sz val="12"/>
      <name val="Times New Roman"/>
      <family val="1"/>
    </font>
    <font>
      <i/>
      <sz val="11"/>
      <color rgb="FFFF0000"/>
      <name val="Times New Roman"/>
      <family val="1"/>
    </font>
    <font>
      <i/>
      <sz val="15"/>
      <name val="Times New Roman"/>
      <family val="1"/>
    </font>
    <font>
      <i/>
      <sz val="14"/>
      <name val="Times New Roman"/>
      <family val="1"/>
    </font>
    <font>
      <b/>
      <sz val="11"/>
      <color rgb="FFFF0000"/>
      <name val="Times New Roman"/>
      <family val="1"/>
    </font>
    <font>
      <sz val="11"/>
      <color rgb="FFFF0000"/>
      <name val="Times New Roman"/>
      <family val="1"/>
    </font>
    <font>
      <sz val="13"/>
      <color rgb="FFFF0000"/>
      <name val="Times New Roman"/>
      <family val="1"/>
    </font>
    <font>
      <b/>
      <sz val="9"/>
      <color rgb="FFFF0000"/>
      <name val="Times New Roman"/>
      <family val="1"/>
      <charset val="1"/>
    </font>
    <font>
      <i/>
      <sz val="9"/>
      <name val="Times New Roman"/>
      <family val="1"/>
    </font>
    <font>
      <b/>
      <sz val="9"/>
      <name val="Times New Roman"/>
      <family val="1"/>
    </font>
    <font>
      <b/>
      <sz val="13"/>
      <color indexed="8"/>
      <name val="Times New Roman"/>
      <family val="1"/>
    </font>
    <font>
      <sz val="13"/>
      <color indexed="8"/>
      <name val="Times New Roman"/>
      <family val="1"/>
      <charset val="1"/>
    </font>
    <font>
      <sz val="12"/>
      <color indexed="8"/>
      <name val="Times New Roman"/>
      <family val="1"/>
      <charset val="1"/>
    </font>
    <font>
      <b/>
      <sz val="12"/>
      <color indexed="8"/>
      <name val="Times New Roman"/>
      <family val="1"/>
    </font>
    <font>
      <i/>
      <sz val="13"/>
      <color indexed="8"/>
      <name val="Times New Roman"/>
      <family val="1"/>
    </font>
    <font>
      <sz val="13"/>
      <color indexed="8"/>
      <name val="Times New Roman"/>
      <family val="1"/>
    </font>
    <font>
      <b/>
      <sz val="6"/>
      <name val="Times New Roman"/>
      <family val="1"/>
      <charset val="1"/>
    </font>
    <font>
      <i/>
      <sz val="6"/>
      <name val="Times New Roman"/>
      <family val="1"/>
      <charset val="1"/>
    </font>
    <font>
      <b/>
      <i/>
      <sz val="6"/>
      <name val="Times New Roman"/>
      <family val="1"/>
      <charset val="1"/>
    </font>
    <font>
      <sz val="6"/>
      <name val="Times New Roman"/>
      <family val="1"/>
      <charset val="1"/>
    </font>
    <font>
      <sz val="9"/>
      <name val="Times New Roman"/>
      <family val="1"/>
    </font>
    <font>
      <i/>
      <sz val="14"/>
      <name val="VNI-Times"/>
    </font>
    <font>
      <b/>
      <i/>
      <sz val="13"/>
      <name val="Times New Roman"/>
      <family val="1"/>
      <charset val="1"/>
    </font>
    <font>
      <sz val="13"/>
      <name val="Arial"/>
      <family val="2"/>
    </font>
    <font>
      <i/>
      <sz val="7"/>
      <name val="Times New Roman"/>
      <family val="1"/>
      <charset val="1"/>
    </font>
    <font>
      <b/>
      <sz val="8"/>
      <name val="Times New Roman"/>
      <family val="1"/>
    </font>
    <font>
      <i/>
      <sz val="8"/>
      <name val="Times New Roman"/>
      <family val="1"/>
    </font>
    <font>
      <sz val="8"/>
      <name val="Times New Roman"/>
      <family val="1"/>
    </font>
    <font>
      <i/>
      <sz val="10"/>
      <name val="Times New Roman"/>
      <family val="1"/>
    </font>
    <font>
      <b/>
      <i/>
      <sz val="12"/>
      <color rgb="FFFF0000"/>
      <name val="Times New Roman"/>
      <family val="1"/>
      <charset val="1"/>
    </font>
    <font>
      <b/>
      <i/>
      <sz val="10"/>
      <name val="Times New Roman"/>
      <family val="1"/>
    </font>
    <font>
      <b/>
      <sz val="13"/>
      <color indexed="8"/>
      <name val="Times New Roman"/>
      <family val="1"/>
      <charset val="1"/>
    </font>
  </fonts>
  <fills count="42">
    <fill>
      <patternFill patternType="none"/>
    </fill>
    <fill>
      <patternFill patternType="gray125"/>
    </fill>
    <fill>
      <patternFill patternType="solid">
        <fgColor indexed="22"/>
        <bgColor indexed="31"/>
      </patternFill>
    </fill>
    <fill>
      <patternFill patternType="solid">
        <fgColor indexed="31"/>
        <bgColor indexed="15"/>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27"/>
        <bgColor indexed="41"/>
      </patternFill>
    </fill>
    <fill>
      <patternFill patternType="solid">
        <fgColor indexed="47"/>
        <bgColor indexed="15"/>
      </patternFill>
    </fill>
    <fill>
      <patternFill patternType="solid">
        <fgColor indexed="44"/>
        <bgColor indexed="24"/>
      </patternFill>
    </fill>
    <fill>
      <patternFill patternType="solid">
        <fgColor indexed="29"/>
        <bgColor indexed="45"/>
      </patternFill>
    </fill>
    <fill>
      <patternFill patternType="solid">
        <fgColor indexed="11"/>
        <bgColor indexed="49"/>
      </patternFill>
    </fill>
    <fill>
      <patternFill patternType="solid">
        <fgColor indexed="51"/>
        <bgColor indexed="3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3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26"/>
        <bgColor indexed="9"/>
      </patternFill>
    </fill>
    <fill>
      <patternFill patternType="solid">
        <fgColor indexed="9"/>
        <bgColor indexed="26"/>
      </patternFill>
    </fill>
    <fill>
      <patternFill patternType="solid">
        <fgColor indexed="8"/>
        <bgColor indexed="58"/>
      </patternFill>
    </fill>
    <fill>
      <patternFill patternType="solid">
        <fgColor indexed="43"/>
        <bgColor indexed="26"/>
      </patternFill>
    </fill>
    <fill>
      <patternFill patternType="solid">
        <fgColor indexed="19"/>
        <bgColor indexed="23"/>
      </patternFill>
    </fill>
    <fill>
      <patternFill patternType="solid">
        <fgColor indexed="54"/>
        <bgColor indexed="19"/>
      </patternFill>
    </fill>
    <fill>
      <patternFill patternType="solid">
        <fgColor indexed="50"/>
        <bgColor indexed="51"/>
      </patternFill>
    </fill>
    <fill>
      <patternFill patternType="solid">
        <fgColor indexed="21"/>
        <bgColor indexed="30"/>
      </patternFill>
    </fill>
    <fill>
      <patternFill patternType="solid">
        <fgColor indexed="24"/>
        <bgColor indexed="44"/>
      </patternFill>
    </fill>
    <fill>
      <patternFill patternType="solid">
        <fgColor indexed="40"/>
        <bgColor indexed="49"/>
      </patternFill>
    </fill>
    <fill>
      <patternFill patternType="solid">
        <fgColor indexed="15"/>
        <bgColor indexed="31"/>
      </patternFill>
    </fill>
    <fill>
      <patternFill patternType="solid">
        <fgColor indexed="41"/>
        <bgColor indexed="27"/>
      </patternFill>
    </fill>
    <fill>
      <patternFill patternType="solid">
        <fgColor indexed="13"/>
        <bgColor indexed="51"/>
      </patternFill>
    </fill>
    <fill>
      <patternFill patternType="solid">
        <fgColor rgb="FFFFFF00"/>
        <bgColor indexed="64"/>
      </patternFill>
    </fill>
    <fill>
      <patternFill patternType="solid">
        <fgColor theme="0"/>
        <bgColor indexed="64"/>
      </patternFill>
    </fill>
    <fill>
      <patternFill patternType="solid">
        <fgColor rgb="FFFFFFFF"/>
      </patternFill>
    </fill>
    <fill>
      <patternFill patternType="solid">
        <fgColor theme="0" tint="-0.249977111117893"/>
        <bgColor indexed="64"/>
      </patternFill>
    </fill>
    <fill>
      <patternFill patternType="solid">
        <fgColor rgb="FFFFFFFF"/>
        <bgColor indexed="64"/>
      </patternFill>
    </fill>
    <fill>
      <patternFill patternType="solid">
        <fgColor indexed="9"/>
        <bgColor indexed="64"/>
      </patternFill>
    </fill>
    <fill>
      <patternFill patternType="solid">
        <fgColor rgb="FFFFFF00"/>
        <bgColor indexed="26"/>
      </patternFill>
    </fill>
  </fills>
  <borders count="1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medium">
        <color indexed="8"/>
      </top>
      <bottom style="medium">
        <color indexed="8"/>
      </bottom>
      <diagonal/>
    </border>
    <border>
      <left/>
      <right/>
      <top style="thin">
        <color indexed="8"/>
      </top>
      <bottom style="thin">
        <color indexed="8"/>
      </bottom>
      <diagonal/>
    </border>
    <border>
      <left/>
      <right/>
      <top/>
      <bottom style="medium">
        <color indexed="8"/>
      </bottom>
      <diagonal/>
    </border>
    <border>
      <left/>
      <right/>
      <top/>
      <bottom style="double">
        <color indexed="52"/>
      </bottom>
      <diagonal/>
    </border>
    <border>
      <left style="thin">
        <color indexed="8"/>
      </left>
      <right style="thin">
        <color indexed="8"/>
      </right>
      <top/>
      <bottom/>
      <diagonal/>
    </border>
    <border>
      <left style="thin">
        <color indexed="8"/>
      </left>
      <right style="thin">
        <color indexed="8"/>
      </right>
      <top style="thin">
        <color indexed="8"/>
      </top>
      <bottom style="hair">
        <color indexed="8"/>
      </bottom>
      <diagonal/>
    </border>
    <border>
      <left style="thin">
        <color indexed="48"/>
      </left>
      <right style="thin">
        <color indexed="48"/>
      </right>
      <top style="thin">
        <color indexed="48"/>
      </top>
      <bottom style="thin">
        <color indexed="48"/>
      </bottom>
      <diagonal/>
    </border>
    <border>
      <left style="thin">
        <color indexed="27"/>
      </left>
      <right style="thin">
        <color indexed="48"/>
      </right>
      <top style="medium">
        <color indexed="27"/>
      </top>
      <bottom style="thin">
        <color indexed="48"/>
      </bottom>
      <diagonal/>
    </border>
    <border>
      <left/>
      <right/>
      <top style="thin">
        <color indexed="48"/>
      </top>
      <bottom style="thin">
        <color indexed="48"/>
      </bottom>
      <diagonal/>
    </border>
    <border>
      <left style="thin">
        <color indexed="8"/>
      </left>
      <right/>
      <top style="thin">
        <color indexed="8"/>
      </top>
      <bottom style="thin">
        <color indexed="8"/>
      </bottom>
      <diagonal/>
    </border>
    <border>
      <left/>
      <right style="medium">
        <color indexed="8"/>
      </right>
      <top/>
      <bottom/>
      <diagonal/>
    </border>
    <border>
      <left/>
      <right/>
      <top style="thin">
        <color indexed="62"/>
      </top>
      <bottom style="double">
        <color indexed="62"/>
      </bottom>
      <diagonal/>
    </border>
    <border>
      <left style="thin">
        <color indexed="8"/>
      </left>
      <right style="thin">
        <color indexed="8"/>
      </right>
      <top style="hair">
        <color indexed="8"/>
      </top>
      <bottom style="hair">
        <color indexed="8"/>
      </bottom>
      <diagonal/>
    </border>
    <border>
      <left/>
      <right/>
      <top style="double">
        <color indexed="8"/>
      </top>
      <bottom/>
      <diagonal/>
    </border>
    <border>
      <left style="hair">
        <color indexed="8"/>
      </left>
      <right/>
      <top/>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diagonal/>
    </border>
    <border>
      <left style="hair">
        <color indexed="13"/>
      </left>
      <right style="hair">
        <color indexed="13"/>
      </right>
      <top style="hair">
        <color indexed="13"/>
      </top>
      <bottom style="hair">
        <color indexed="13"/>
      </bottom>
      <diagonal/>
    </border>
    <border>
      <left style="thin">
        <color indexed="8"/>
      </left>
      <right style="thin">
        <color indexed="8"/>
      </right>
      <top style="double">
        <color indexed="8"/>
      </top>
      <bottom/>
      <diagonal/>
    </border>
    <border>
      <left style="thin">
        <color indexed="8"/>
      </left>
      <right style="double">
        <color indexed="8"/>
      </right>
      <top style="double">
        <color indexed="8"/>
      </top>
      <bottom/>
      <diagonal/>
    </border>
    <border>
      <left style="thin">
        <color indexed="8"/>
      </left>
      <right style="thin">
        <color indexed="8"/>
      </right>
      <top/>
      <bottom style="double">
        <color indexed="8"/>
      </bottom>
      <diagonal/>
    </border>
    <border>
      <left style="thin">
        <color indexed="8"/>
      </left>
      <right/>
      <top/>
      <bottom style="double">
        <color indexed="8"/>
      </bottom>
      <diagonal/>
    </border>
    <border>
      <left style="thin">
        <color indexed="8"/>
      </left>
      <right style="double">
        <color indexed="8"/>
      </right>
      <top/>
      <bottom style="double">
        <color indexed="8"/>
      </bottom>
      <diagonal/>
    </border>
    <border>
      <left style="double">
        <color indexed="8"/>
      </left>
      <right style="thin">
        <color indexed="8"/>
      </right>
      <top style="double">
        <color indexed="8"/>
      </top>
      <bottom style="hair">
        <color indexed="8"/>
      </bottom>
      <diagonal/>
    </border>
    <border>
      <left style="thin">
        <color indexed="8"/>
      </left>
      <right style="thin">
        <color indexed="8"/>
      </right>
      <top style="double">
        <color indexed="8"/>
      </top>
      <bottom style="hair">
        <color indexed="8"/>
      </bottom>
      <diagonal/>
    </border>
    <border>
      <left style="thin">
        <color indexed="8"/>
      </left>
      <right style="double">
        <color indexed="8"/>
      </right>
      <top style="double">
        <color indexed="8"/>
      </top>
      <bottom style="hair">
        <color indexed="8"/>
      </bottom>
      <diagonal/>
    </border>
    <border>
      <left/>
      <right style="thin">
        <color indexed="8"/>
      </right>
      <top/>
      <bottom style="hair">
        <color indexed="8"/>
      </bottom>
      <diagonal/>
    </border>
    <border>
      <left style="thin">
        <color indexed="8"/>
      </left>
      <right style="thin">
        <color indexed="8"/>
      </right>
      <top/>
      <bottom style="hair">
        <color indexed="8"/>
      </bottom>
      <diagonal/>
    </border>
    <border>
      <left style="thin">
        <color indexed="8"/>
      </left>
      <right style="double">
        <color indexed="8"/>
      </right>
      <top/>
      <bottom style="hair">
        <color indexed="8"/>
      </bottom>
      <diagonal/>
    </border>
    <border>
      <left style="double">
        <color indexed="8"/>
      </left>
      <right style="thin">
        <color indexed="8"/>
      </right>
      <top style="hair">
        <color indexed="8"/>
      </top>
      <bottom style="hair">
        <color indexed="8"/>
      </bottom>
      <diagonal/>
    </border>
    <border>
      <left style="thin">
        <color indexed="8"/>
      </left>
      <right style="double">
        <color indexed="8"/>
      </right>
      <top style="hair">
        <color indexed="8"/>
      </top>
      <bottom style="hair">
        <color indexed="8"/>
      </bottom>
      <diagonal/>
    </border>
    <border>
      <left/>
      <right style="thin">
        <color indexed="8"/>
      </right>
      <top style="hair">
        <color indexed="8"/>
      </top>
      <bottom style="hair">
        <color indexed="8"/>
      </bottom>
      <diagonal/>
    </border>
    <border>
      <left style="double">
        <color indexed="8"/>
      </left>
      <right style="thin">
        <color indexed="8"/>
      </right>
      <top style="hair">
        <color indexed="8"/>
      </top>
      <bottom/>
      <diagonal/>
    </border>
    <border>
      <left style="thin">
        <color indexed="8"/>
      </left>
      <right style="thin">
        <color indexed="8"/>
      </right>
      <top style="hair">
        <color indexed="8"/>
      </top>
      <bottom/>
      <diagonal/>
    </border>
    <border>
      <left style="thin">
        <color indexed="8"/>
      </left>
      <right style="double">
        <color indexed="8"/>
      </right>
      <top style="hair">
        <color indexed="8"/>
      </top>
      <bottom/>
      <diagonal/>
    </border>
    <border>
      <left style="double">
        <color indexed="8"/>
      </left>
      <right style="thin">
        <color indexed="8"/>
      </right>
      <top/>
      <bottom/>
      <diagonal/>
    </border>
    <border>
      <left style="thin">
        <color indexed="8"/>
      </left>
      <right style="thin">
        <color indexed="8"/>
      </right>
      <top style="hair">
        <color indexed="8"/>
      </top>
      <bottom style="thin">
        <color indexed="8"/>
      </bottom>
      <diagonal/>
    </border>
    <border>
      <left style="thin">
        <color indexed="8"/>
      </left>
      <right style="double">
        <color indexed="8"/>
      </right>
      <top style="hair">
        <color indexed="8"/>
      </top>
      <bottom style="thin">
        <color indexed="8"/>
      </bottom>
      <diagonal/>
    </border>
    <border>
      <left style="double">
        <color indexed="8"/>
      </left>
      <right style="thin">
        <color indexed="8"/>
      </right>
      <top style="hair">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right style="thin">
        <color indexed="8"/>
      </right>
      <top style="thin">
        <color indexed="8"/>
      </top>
      <bottom style="double">
        <color indexed="8"/>
      </bottom>
      <diagonal/>
    </border>
    <border>
      <left style="thin">
        <color indexed="8"/>
      </left>
      <right/>
      <top/>
      <bottom/>
      <diagonal/>
    </border>
    <border>
      <left/>
      <right/>
      <top style="thin">
        <color indexed="8"/>
      </top>
      <bottom/>
      <diagonal/>
    </border>
    <border>
      <left style="thin">
        <color indexed="8"/>
      </left>
      <right/>
      <top style="thin">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style="thin">
        <color indexed="8"/>
      </top>
      <bottom/>
      <diagonal/>
    </border>
    <border>
      <left/>
      <right style="thin">
        <color indexed="8"/>
      </right>
      <top/>
      <bottom/>
      <diagonal/>
    </border>
    <border>
      <left/>
      <right style="thin">
        <color indexed="8"/>
      </right>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dashed">
        <color indexed="8"/>
      </bottom>
      <diagonal/>
    </border>
    <border>
      <left style="thin">
        <color indexed="8"/>
      </left>
      <right style="thin">
        <color indexed="8"/>
      </right>
      <top style="dashed">
        <color indexed="8"/>
      </top>
      <bottom style="dashed">
        <color indexed="8"/>
      </bottom>
      <diagonal/>
    </border>
    <border>
      <left style="thin">
        <color indexed="8"/>
      </left>
      <right style="thin">
        <color indexed="8"/>
      </right>
      <top style="dashed">
        <color indexed="8"/>
      </top>
      <bottom style="thin">
        <color indexed="8"/>
      </bottom>
      <diagonal/>
    </border>
    <border>
      <left style="double">
        <color indexed="8"/>
      </left>
      <right style="thin">
        <color indexed="8"/>
      </right>
      <top style="double">
        <color indexed="8"/>
      </top>
      <bottom style="double">
        <color indexed="8"/>
      </bottom>
      <diagonal/>
    </border>
    <border>
      <left style="thin">
        <color indexed="8"/>
      </left>
      <right style="thin">
        <color indexed="8"/>
      </right>
      <top style="double">
        <color indexed="8"/>
      </top>
      <bottom style="double">
        <color indexed="8"/>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8"/>
      </right>
      <top style="thin">
        <color indexed="8"/>
      </top>
      <bottom style="hair">
        <color indexed="8"/>
      </bottom>
      <diagonal/>
    </border>
    <border>
      <left/>
      <right style="thin">
        <color indexed="8"/>
      </right>
      <top style="hair">
        <color indexed="8"/>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right style="thin">
        <color indexed="64"/>
      </right>
      <top style="dashed">
        <color indexed="64"/>
      </top>
      <bottom style="dashed">
        <color indexed="64"/>
      </bottom>
      <diagonal/>
    </border>
    <border>
      <left/>
      <right style="thin">
        <color indexed="64"/>
      </right>
      <top style="dashed">
        <color indexed="64"/>
      </top>
      <bottom/>
      <diagonal/>
    </border>
    <border>
      <left style="thin">
        <color indexed="64"/>
      </left>
      <right style="thin">
        <color indexed="64"/>
      </right>
      <top style="dashed">
        <color indexed="64"/>
      </top>
      <bottom/>
      <diagonal/>
    </border>
    <border>
      <left/>
      <right style="thin">
        <color indexed="64"/>
      </right>
      <top style="thin">
        <color indexed="64"/>
      </top>
      <bottom style="thin">
        <color indexed="64"/>
      </bottom>
      <diagonal/>
    </border>
    <border>
      <left style="thin">
        <color indexed="8"/>
      </left>
      <right style="thin">
        <color indexed="8"/>
      </right>
      <top style="hair">
        <color indexed="8"/>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8"/>
      </left>
      <right/>
      <top style="hair">
        <color indexed="8"/>
      </top>
      <bottom style="hair">
        <color indexed="8"/>
      </bottom>
      <diagonal/>
    </border>
    <border>
      <left style="thin">
        <color indexed="8"/>
      </left>
      <right style="thin">
        <color indexed="64"/>
      </right>
      <top style="thin">
        <color indexed="8"/>
      </top>
      <bottom/>
      <diagonal/>
    </border>
    <border>
      <left style="thin">
        <color indexed="8"/>
      </left>
      <right style="thin">
        <color indexed="64"/>
      </right>
      <top/>
      <bottom style="thin">
        <color indexed="8"/>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right/>
      <top style="hair">
        <color indexed="64"/>
      </top>
      <bottom/>
      <diagonal/>
    </border>
    <border>
      <left/>
      <right/>
      <top/>
      <bottom style="hair">
        <color indexed="64"/>
      </bottom>
      <diagonal/>
    </border>
    <border>
      <left/>
      <right style="thin">
        <color indexed="8"/>
      </right>
      <top style="dashed">
        <color indexed="8"/>
      </top>
      <bottom style="dashed">
        <color indexed="8"/>
      </bottom>
      <diagonal/>
    </border>
    <border>
      <left/>
      <right style="thin">
        <color indexed="8"/>
      </right>
      <top style="dashed">
        <color indexed="8"/>
      </top>
      <bottom style="thin">
        <color indexed="8"/>
      </bottom>
      <diagonal/>
    </border>
    <border>
      <left/>
      <right style="thin">
        <color indexed="64"/>
      </right>
      <top style="thin">
        <color indexed="64"/>
      </top>
      <bottom style="dashed">
        <color indexed="64"/>
      </bottom>
      <diagonal/>
    </border>
  </borders>
  <cellStyleXfs count="575">
    <xf numFmtId="0" fontId="0" fillId="0" borderId="0"/>
    <xf numFmtId="166" fontId="2" fillId="0" borderId="0" applyFill="0" applyBorder="0" applyAlignment="0" applyProtection="0"/>
    <xf numFmtId="0" fontId="6" fillId="0" borderId="0" applyNumberFormat="0" applyFill="0" applyBorder="0" applyAlignment="0" applyProtection="0"/>
    <xf numFmtId="167" fontId="2" fillId="0" borderId="0" applyFill="0" applyBorder="0" applyAlignment="0" applyProtection="0"/>
    <xf numFmtId="168" fontId="2" fillId="0" borderId="0" applyFill="0" applyBorder="0" applyAlignment="0" applyProtection="0"/>
    <xf numFmtId="0" fontId="2" fillId="0" borderId="0" applyFill="0" applyBorder="0" applyAlignment="0" applyProtection="0"/>
    <xf numFmtId="170" fontId="2" fillId="0" borderId="0" applyFill="0" applyBorder="0" applyAlignment="0" applyProtection="0"/>
    <xf numFmtId="171" fontId="2" fillId="0" borderId="0" applyFill="0" applyBorder="0" applyAlignment="0" applyProtection="0"/>
    <xf numFmtId="169" fontId="2" fillId="0" borderId="0" applyFill="0" applyBorder="0" applyAlignment="0" applyProtection="0"/>
    <xf numFmtId="169" fontId="2" fillId="0" borderId="0" applyFill="0" applyBorder="0" applyAlignment="0" applyProtection="0"/>
    <xf numFmtId="0" fontId="17" fillId="0" borderId="0" applyNumberFormat="0" applyFill="0" applyBorder="0" applyAlignment="0" applyProtection="0"/>
    <xf numFmtId="40" fontId="2" fillId="0" borderId="0" applyFill="0" applyBorder="0" applyAlignment="0" applyProtection="0"/>
    <xf numFmtId="172" fontId="2" fillId="0" borderId="0" applyFill="0" applyBorder="0" applyAlignment="0" applyProtection="0"/>
    <xf numFmtId="173" fontId="2" fillId="0" borderId="0" applyFill="0" applyBorder="0" applyAlignment="0" applyProtection="0"/>
    <xf numFmtId="174" fontId="2" fillId="0" borderId="0" applyFill="0" applyBorder="0" applyAlignment="0" applyProtection="0"/>
    <xf numFmtId="175" fontId="2" fillId="0" borderId="0" applyFill="0" applyBorder="0" applyAlignment="0" applyProtection="0"/>
    <xf numFmtId="0" fontId="2" fillId="0" borderId="0" applyFill="0" applyBorder="0" applyAlignment="0" applyProtection="0"/>
    <xf numFmtId="0" fontId="2" fillId="0" borderId="0" applyFill="0" applyBorder="0" applyAlignment="0" applyProtection="0"/>
    <xf numFmtId="0" fontId="19" fillId="0" borderId="0"/>
    <xf numFmtId="0" fontId="17" fillId="0" borderId="0" applyNumberFormat="0" applyFill="0" applyBorder="0" applyAlignment="0" applyProtection="0"/>
    <xf numFmtId="0" fontId="4" fillId="0" borderId="0"/>
    <xf numFmtId="0" fontId="5" fillId="0" borderId="0"/>
    <xf numFmtId="0" fontId="5" fillId="0" borderId="0"/>
    <xf numFmtId="0" fontId="4" fillId="0" borderId="0"/>
    <xf numFmtId="0" fontId="3" fillId="0" borderId="0"/>
    <xf numFmtId="0" fontId="3" fillId="0" borderId="0"/>
    <xf numFmtId="166" fontId="2" fillId="0" borderId="0" applyFill="0" applyBorder="0" applyAlignment="0" applyProtection="0"/>
    <xf numFmtId="176" fontId="2" fillId="0" borderId="0" applyFill="0" applyBorder="0" applyAlignment="0" applyProtection="0"/>
    <xf numFmtId="19" fontId="2" fillId="0" borderId="0" applyFill="0" applyBorder="0" applyAlignment="0" applyProtection="0"/>
    <xf numFmtId="19" fontId="2" fillId="0" borderId="0" applyFill="0" applyBorder="0" applyAlignment="0" applyProtection="0"/>
    <xf numFmtId="166" fontId="2" fillId="0" borderId="0" applyFill="0" applyBorder="0" applyAlignment="0" applyProtection="0"/>
    <xf numFmtId="166" fontId="2" fillId="0" borderId="0" applyFill="0" applyBorder="0" applyAlignment="0" applyProtection="0"/>
    <xf numFmtId="167" fontId="2" fillId="0" borderId="0" applyFill="0" applyBorder="0" applyAlignment="0" applyProtection="0"/>
    <xf numFmtId="177" fontId="2" fillId="0" borderId="0" applyFill="0" applyBorder="0" applyAlignment="0" applyProtection="0"/>
    <xf numFmtId="174" fontId="2" fillId="0" borderId="0" applyFill="0" applyBorder="0" applyAlignment="0" applyProtection="0"/>
    <xf numFmtId="177" fontId="2" fillId="0" borderId="0" applyFill="0" applyBorder="0" applyAlignment="0" applyProtection="0"/>
    <xf numFmtId="178" fontId="2" fillId="0" borderId="0" applyFill="0" applyBorder="0" applyAlignment="0" applyProtection="0"/>
    <xf numFmtId="37" fontId="2" fillId="0" borderId="0" applyFill="0" applyBorder="0" applyAlignment="0" applyProtection="0"/>
    <xf numFmtId="37" fontId="2" fillId="0" borderId="0" applyFill="0" applyBorder="0" applyAlignment="0" applyProtection="0"/>
    <xf numFmtId="178" fontId="2" fillId="0" borderId="0" applyFill="0" applyBorder="0" applyAlignment="0" applyProtection="0"/>
    <xf numFmtId="179" fontId="2" fillId="0" borderId="0" applyFill="0" applyBorder="0" applyAlignment="0" applyProtection="0"/>
    <xf numFmtId="173" fontId="2" fillId="0" borderId="0" applyFill="0" applyBorder="0" applyAlignment="0" applyProtection="0"/>
    <xf numFmtId="166" fontId="2" fillId="0" borderId="0" applyFill="0" applyBorder="0" applyAlignment="0" applyProtection="0"/>
    <xf numFmtId="176" fontId="2" fillId="0" borderId="0" applyFill="0" applyBorder="0" applyAlignment="0" applyProtection="0"/>
    <xf numFmtId="19" fontId="2" fillId="0" borderId="0" applyFill="0" applyBorder="0" applyAlignment="0" applyProtection="0"/>
    <xf numFmtId="19" fontId="2" fillId="0" borderId="0" applyFill="0" applyBorder="0" applyAlignment="0" applyProtection="0"/>
    <xf numFmtId="176" fontId="2" fillId="0" borderId="0" applyFill="0" applyBorder="0" applyAlignment="0" applyProtection="0"/>
    <xf numFmtId="177" fontId="2" fillId="0" borderId="0" applyFill="0" applyBorder="0" applyAlignment="0" applyProtection="0"/>
    <xf numFmtId="178" fontId="2" fillId="0" borderId="0" applyFill="0" applyBorder="0" applyAlignment="0" applyProtection="0"/>
    <xf numFmtId="37" fontId="2" fillId="0" borderId="0" applyFill="0" applyBorder="0" applyAlignment="0" applyProtection="0"/>
    <xf numFmtId="37" fontId="2" fillId="0" borderId="0" applyFill="0" applyBorder="0" applyAlignment="0" applyProtection="0"/>
    <xf numFmtId="177" fontId="2" fillId="0" borderId="0" applyFill="0" applyBorder="0" applyAlignment="0" applyProtection="0"/>
    <xf numFmtId="174" fontId="2" fillId="0" borderId="0" applyFill="0" applyBorder="0" applyAlignment="0" applyProtection="0"/>
    <xf numFmtId="178" fontId="2" fillId="0" borderId="0" applyFill="0" applyBorder="0" applyAlignment="0" applyProtection="0"/>
    <xf numFmtId="179" fontId="2" fillId="0" borderId="0" applyFill="0" applyBorder="0" applyAlignment="0" applyProtection="0"/>
    <xf numFmtId="180" fontId="2" fillId="0" borderId="0" applyFill="0" applyBorder="0" applyAlignment="0" applyProtection="0"/>
    <xf numFmtId="0" fontId="2" fillId="0" borderId="0" applyFill="0" applyBorder="0" applyAlignment="0" applyProtection="0"/>
    <xf numFmtId="0" fontId="2" fillId="0" borderId="0" applyFill="0" applyBorder="0" applyAlignment="0" applyProtection="0"/>
    <xf numFmtId="180" fontId="2" fillId="0" borderId="0" applyFill="0" applyBorder="0" applyAlignment="0" applyProtection="0"/>
    <xf numFmtId="176" fontId="2" fillId="0" borderId="0" applyFill="0" applyBorder="0" applyAlignment="0" applyProtection="0"/>
    <xf numFmtId="19" fontId="2" fillId="0" borderId="0" applyFill="0" applyBorder="0" applyAlignment="0" applyProtection="0"/>
    <xf numFmtId="19" fontId="2" fillId="0" borderId="0" applyFill="0" applyBorder="0" applyAlignment="0" applyProtection="0"/>
    <xf numFmtId="179" fontId="2" fillId="0" borderId="0" applyFill="0" applyBorder="0" applyAlignment="0" applyProtection="0"/>
    <xf numFmtId="173" fontId="2" fillId="0" borderId="0" applyFill="0" applyBorder="0" applyAlignment="0" applyProtection="0"/>
    <xf numFmtId="176" fontId="2" fillId="0" borderId="0" applyFill="0" applyBorder="0" applyAlignment="0" applyProtection="0"/>
    <xf numFmtId="177" fontId="2" fillId="0" borderId="0" applyFill="0" applyBorder="0" applyAlignment="0" applyProtection="0"/>
    <xf numFmtId="174" fontId="2" fillId="0" borderId="0" applyFill="0" applyBorder="0" applyAlignment="0" applyProtection="0"/>
    <xf numFmtId="179" fontId="2" fillId="0" borderId="0" applyFill="0" applyBorder="0" applyAlignment="0" applyProtection="0"/>
    <xf numFmtId="180" fontId="2" fillId="0" borderId="0" applyFill="0" applyBorder="0" applyAlignment="0" applyProtection="0"/>
    <xf numFmtId="0" fontId="2" fillId="0" borderId="0" applyFill="0" applyBorder="0" applyAlignment="0" applyProtection="0"/>
    <xf numFmtId="0" fontId="2" fillId="0" borderId="0" applyFill="0" applyBorder="0" applyAlignment="0" applyProtection="0"/>
    <xf numFmtId="180" fontId="2" fillId="0" borderId="0" applyFill="0" applyBorder="0" applyAlignment="0" applyProtection="0"/>
    <xf numFmtId="177" fontId="2" fillId="0" borderId="0" applyFill="0" applyBorder="0" applyAlignment="0" applyProtection="0"/>
    <xf numFmtId="178" fontId="2" fillId="0" borderId="0" applyFill="0" applyBorder="0" applyAlignment="0" applyProtection="0"/>
    <xf numFmtId="37" fontId="2" fillId="0" borderId="0" applyFill="0" applyBorder="0" applyAlignment="0" applyProtection="0"/>
    <xf numFmtId="37" fontId="2" fillId="0" borderId="0" applyFill="0" applyBorder="0" applyAlignment="0" applyProtection="0"/>
    <xf numFmtId="178" fontId="2" fillId="0" borderId="0" applyFill="0" applyBorder="0" applyAlignment="0" applyProtection="0"/>
    <xf numFmtId="179" fontId="2" fillId="0" borderId="0" applyFill="0" applyBorder="0" applyAlignment="0" applyProtection="0"/>
    <xf numFmtId="173" fontId="2" fillId="0" borderId="0" applyFill="0" applyBorder="0" applyAlignment="0" applyProtection="0"/>
    <xf numFmtId="166" fontId="2" fillId="0" borderId="0" applyFill="0" applyBorder="0" applyAlignment="0" applyProtection="0"/>
    <xf numFmtId="167" fontId="2" fillId="0" borderId="0" applyFill="0" applyBorder="0" applyAlignment="0" applyProtection="0"/>
    <xf numFmtId="179" fontId="2" fillId="0" borderId="0" applyFill="0" applyBorder="0" applyAlignment="0" applyProtection="0"/>
    <xf numFmtId="173" fontId="2" fillId="0" borderId="0" applyFill="0" applyBorder="0" applyAlignment="0" applyProtection="0"/>
    <xf numFmtId="179" fontId="2" fillId="0" borderId="0" applyFill="0" applyBorder="0" applyAlignment="0" applyProtection="0"/>
    <xf numFmtId="180" fontId="2" fillId="0" borderId="0" applyFill="0" applyBorder="0" applyAlignment="0" applyProtection="0"/>
    <xf numFmtId="0" fontId="2" fillId="0" borderId="0" applyFill="0" applyBorder="0" applyAlignment="0" applyProtection="0"/>
    <xf numFmtId="0" fontId="2" fillId="0" borderId="0" applyFill="0" applyBorder="0" applyAlignment="0" applyProtection="0"/>
    <xf numFmtId="180" fontId="2" fillId="0" borderId="0" applyFill="0" applyBorder="0" applyAlignment="0" applyProtection="0"/>
    <xf numFmtId="177" fontId="2" fillId="0" borderId="0" applyFill="0" applyBorder="0" applyAlignment="0" applyProtection="0"/>
    <xf numFmtId="178" fontId="2" fillId="0" borderId="0" applyFill="0" applyBorder="0" applyAlignment="0" applyProtection="0"/>
    <xf numFmtId="37" fontId="2" fillId="0" borderId="0" applyFill="0" applyBorder="0" applyAlignment="0" applyProtection="0"/>
    <xf numFmtId="37" fontId="2" fillId="0" borderId="0" applyFill="0" applyBorder="0" applyAlignment="0" applyProtection="0"/>
    <xf numFmtId="178" fontId="2" fillId="0" borderId="0" applyFill="0" applyBorder="0" applyAlignment="0" applyProtection="0"/>
    <xf numFmtId="166" fontId="2" fillId="0" borderId="0" applyFill="0" applyBorder="0" applyAlignment="0" applyProtection="0"/>
    <xf numFmtId="167" fontId="2" fillId="0" borderId="0" applyFill="0" applyBorder="0" applyAlignment="0" applyProtection="0"/>
    <xf numFmtId="177" fontId="2" fillId="0" borderId="0" applyFill="0" applyBorder="0" applyAlignment="0" applyProtection="0"/>
    <xf numFmtId="174" fontId="2" fillId="0" borderId="0" applyFill="0" applyBorder="0" applyAlignment="0" applyProtection="0"/>
    <xf numFmtId="176" fontId="2" fillId="0" borderId="0" applyFill="0" applyBorder="0" applyAlignment="0" applyProtection="0"/>
    <xf numFmtId="0" fontId="123" fillId="0" borderId="0"/>
    <xf numFmtId="0" fontId="123" fillId="0" borderId="0"/>
    <xf numFmtId="1" fontId="7" fillId="0" borderId="0" applyBorder="0" applyAlignment="0"/>
    <xf numFmtId="0" fontId="8" fillId="2" borderId="0"/>
    <xf numFmtId="9" fontId="115" fillId="0" borderId="0" applyBorder="0" applyAlignment="0" applyProtection="0"/>
    <xf numFmtId="0" fontId="9" fillId="2" borderId="0"/>
    <xf numFmtId="0" fontId="6" fillId="0" borderId="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2" fillId="2" borderId="0"/>
    <xf numFmtId="0" fontId="13" fillId="0" borderId="0">
      <alignment wrapText="1"/>
    </xf>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6" borderId="0" applyNumberFormat="0" applyBorder="0" applyAlignment="0" applyProtection="0"/>
    <xf numFmtId="0" fontId="10" fillId="9" borderId="0" applyNumberFormat="0" applyBorder="0" applyAlignment="0" applyProtection="0"/>
    <xf numFmtId="0" fontId="10" fillId="12"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6" borderId="0" applyNumberFormat="0" applyBorder="0" applyAlignment="0" applyProtection="0"/>
    <xf numFmtId="0" fontId="11" fillId="9" borderId="0" applyNumberFormat="0" applyBorder="0" applyAlignment="0" applyProtection="0"/>
    <xf numFmtId="0" fontId="11" fillId="12" borderId="0" applyNumberFormat="0" applyBorder="0" applyAlignment="0" applyProtection="0"/>
    <xf numFmtId="0" fontId="2" fillId="0" borderId="0" applyNumberFormat="0" applyBorder="0" applyAlignment="0"/>
    <xf numFmtId="0" fontId="14" fillId="0" borderId="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6" fillId="13"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215" fontId="2" fillId="0" borderId="0" applyFill="0" applyBorder="0" applyAlignment="0" applyProtection="0"/>
    <xf numFmtId="0" fontId="2" fillId="0" borderId="0" applyFill="0" applyBorder="0" applyAlignment="0" applyProtection="0"/>
    <xf numFmtId="216" fontId="2" fillId="0" borderId="0" applyFill="0" applyBorder="0" applyAlignment="0" applyProtection="0"/>
    <xf numFmtId="217" fontId="2" fillId="0" borderId="0" applyFill="0" applyBorder="0" applyAlignment="0" applyProtection="0"/>
    <xf numFmtId="0" fontId="2" fillId="0" borderId="0" applyFill="0" applyBorder="0" applyAlignment="0" applyProtection="0"/>
    <xf numFmtId="191" fontId="2" fillId="0" borderId="0" applyFill="0" applyBorder="0" applyAlignment="0" applyProtection="0"/>
    <xf numFmtId="0" fontId="20" fillId="0" borderId="0">
      <alignment horizontal="center" wrapText="1"/>
      <protection locked="0"/>
    </xf>
    <xf numFmtId="206" fontId="2" fillId="0" borderId="0" applyFill="0" applyBorder="0" applyAlignment="0" applyProtection="0"/>
    <xf numFmtId="0" fontId="2" fillId="0" borderId="0" applyFill="0" applyBorder="0" applyAlignment="0" applyProtection="0"/>
    <xf numFmtId="206" fontId="2" fillId="0" borderId="0" applyFill="0" applyBorder="0" applyAlignment="0" applyProtection="0"/>
    <xf numFmtId="188" fontId="2" fillId="0" borderId="0" applyFill="0" applyBorder="0" applyAlignment="0" applyProtection="0"/>
    <xf numFmtId="0" fontId="2" fillId="0" borderId="0" applyFill="0" applyBorder="0" applyAlignment="0" applyProtection="0"/>
    <xf numFmtId="214" fontId="2" fillId="0" borderId="0" applyFill="0" applyBorder="0" applyAlignment="0" applyProtection="0"/>
    <xf numFmtId="166" fontId="2" fillId="0" borderId="0" applyFill="0" applyBorder="0" applyAlignment="0" applyProtection="0"/>
    <xf numFmtId="167" fontId="2" fillId="0" borderId="0" applyFill="0" applyBorder="0" applyAlignment="0" applyProtection="0"/>
    <xf numFmtId="0" fontId="21" fillId="4" borderId="0" applyNumberFormat="0" applyBorder="0" applyAlignment="0" applyProtection="0"/>
    <xf numFmtId="0" fontId="22" fillId="0" borderId="0"/>
    <xf numFmtId="0" fontId="23" fillId="0" borderId="0"/>
    <xf numFmtId="0" fontId="18" fillId="0" borderId="0" applyNumberFormat="0" applyFill="0" applyBorder="0" applyAlignment="0" applyProtection="0"/>
    <xf numFmtId="0" fontId="24" fillId="0" borderId="0"/>
    <xf numFmtId="0" fontId="31" fillId="0" borderId="0"/>
    <xf numFmtId="0" fontId="24" fillId="0" borderId="0"/>
    <xf numFmtId="0" fontId="5" fillId="0" borderId="0"/>
    <xf numFmtId="0" fontId="33" fillId="0" borderId="0"/>
    <xf numFmtId="181" fontId="25" fillId="0" borderId="0" applyFill="0" applyBorder="0" applyAlignment="0"/>
    <xf numFmtId="0" fontId="26" fillId="2" borderId="1" applyNumberFormat="0" applyAlignment="0" applyProtection="0"/>
    <xf numFmtId="0" fontId="27" fillId="0" borderId="0"/>
    <xf numFmtId="0" fontId="27" fillId="0" borderId="0"/>
    <xf numFmtId="0" fontId="28" fillId="21" borderId="2" applyNumberFormat="0" applyAlignment="0" applyProtection="0"/>
    <xf numFmtId="223" fontId="2" fillId="0" borderId="0" applyFill="0" applyBorder="0" applyAlignment="0" applyProtection="0"/>
    <xf numFmtId="182" fontId="29" fillId="0" borderId="0"/>
    <xf numFmtId="182" fontId="29" fillId="0" borderId="0"/>
    <xf numFmtId="182" fontId="29" fillId="0" borderId="0"/>
    <xf numFmtId="182" fontId="29" fillId="0" borderId="0"/>
    <xf numFmtId="182" fontId="29" fillId="0" borderId="0"/>
    <xf numFmtId="182" fontId="29" fillId="0" borderId="0"/>
    <xf numFmtId="182" fontId="29" fillId="0" borderId="0"/>
    <xf numFmtId="182" fontId="29" fillId="0" borderId="0"/>
    <xf numFmtId="0" fontId="30" fillId="0" borderId="3"/>
    <xf numFmtId="172" fontId="2" fillId="0" borderId="0" applyFill="0" applyBorder="0" applyAlignment="0" applyProtection="0"/>
    <xf numFmtId="183" fontId="2" fillId="0" borderId="0" applyFill="0" applyBorder="0" applyAlignment="0" applyProtection="0"/>
    <xf numFmtId="184" fontId="2" fillId="0" borderId="0" applyFill="0" applyBorder="0" applyAlignment="0" applyProtection="0"/>
    <xf numFmtId="184" fontId="2" fillId="0" borderId="0" applyFill="0" applyBorder="0" applyAlignment="0" applyProtection="0"/>
    <xf numFmtId="184" fontId="2" fillId="0" borderId="0" applyFill="0" applyBorder="0" applyAlignment="0" applyProtection="0"/>
    <xf numFmtId="184" fontId="2" fillId="0" borderId="0" applyFill="0" applyBorder="0" applyAlignment="0" applyProtection="0"/>
    <xf numFmtId="184" fontId="2" fillId="0" borderId="0" applyFill="0" applyBorder="0" applyAlignment="0" applyProtection="0"/>
    <xf numFmtId="184" fontId="2" fillId="0" borderId="0" applyFill="0" applyBorder="0" applyAlignment="0" applyProtection="0"/>
    <xf numFmtId="184" fontId="2" fillId="0" borderId="0" applyFill="0" applyBorder="0" applyAlignment="0" applyProtection="0"/>
    <xf numFmtId="184" fontId="2" fillId="0" borderId="0" applyFill="0" applyBorder="0" applyAlignment="0" applyProtection="0"/>
    <xf numFmtId="184" fontId="2" fillId="0" borderId="0" applyFill="0" applyBorder="0" applyAlignment="0" applyProtection="0"/>
    <xf numFmtId="185" fontId="2" fillId="0" borderId="0" applyFill="0" applyBorder="0" applyAlignment="0" applyProtection="0"/>
    <xf numFmtId="184" fontId="2" fillId="0" borderId="0" applyFill="0" applyBorder="0" applyAlignment="0" applyProtection="0"/>
    <xf numFmtId="184" fontId="2" fillId="0" borderId="0" applyFill="0" applyBorder="0" applyAlignment="0" applyProtection="0"/>
    <xf numFmtId="184" fontId="2" fillId="0" borderId="0" applyFill="0" applyBorder="0" applyAlignment="0" applyProtection="0"/>
    <xf numFmtId="184" fontId="2" fillId="0" borderId="0" applyFill="0" applyBorder="0" applyAlignment="0" applyProtection="0"/>
    <xf numFmtId="185" fontId="2" fillId="0" borderId="0" applyFill="0" applyBorder="0" applyAlignment="0" applyProtection="0"/>
    <xf numFmtId="184" fontId="2" fillId="0" borderId="0" applyFill="0" applyBorder="0" applyAlignment="0" applyProtection="0"/>
    <xf numFmtId="185" fontId="2" fillId="0" borderId="0" applyFill="0" applyBorder="0" applyAlignment="0" applyProtection="0"/>
    <xf numFmtId="185" fontId="2" fillId="0" borderId="0" applyFill="0" applyBorder="0" applyAlignment="0" applyProtection="0"/>
    <xf numFmtId="185" fontId="2" fillId="0" borderId="0" applyFill="0" applyBorder="0" applyAlignment="0" applyProtection="0"/>
    <xf numFmtId="184" fontId="2" fillId="0" borderId="0" applyFill="0" applyBorder="0" applyAlignment="0" applyProtection="0"/>
    <xf numFmtId="184" fontId="2" fillId="0" borderId="0" applyFill="0" applyBorder="0" applyAlignment="0" applyProtection="0"/>
    <xf numFmtId="184" fontId="2" fillId="0" borderId="0" applyFill="0" applyBorder="0" applyAlignment="0" applyProtection="0"/>
    <xf numFmtId="184" fontId="2" fillId="0" borderId="0" applyFill="0" applyBorder="0" applyAlignment="0" applyProtection="0"/>
    <xf numFmtId="186" fontId="2" fillId="0" borderId="0" applyFill="0" applyBorder="0" applyAlignment="0" applyProtection="0"/>
    <xf numFmtId="184" fontId="2" fillId="0" borderId="0" applyFill="0" applyBorder="0" applyAlignment="0" applyProtection="0"/>
    <xf numFmtId="187" fontId="31" fillId="0" borderId="0"/>
    <xf numFmtId="174" fontId="2" fillId="0" borderId="0" applyFill="0" applyBorder="0" applyAlignment="0" applyProtection="0"/>
    <xf numFmtId="188" fontId="2" fillId="0" borderId="0" applyFill="0" applyBorder="0" applyAlignment="0" applyProtection="0"/>
    <xf numFmtId="3" fontId="2" fillId="0" borderId="0" applyFill="0" applyBorder="0" applyAlignment="0" applyProtection="0"/>
    <xf numFmtId="40" fontId="2" fillId="0" borderId="0" applyFill="0" applyBorder="0" applyAlignment="0" applyProtection="0"/>
    <xf numFmtId="0" fontId="32" fillId="0" borderId="0" applyNumberFormat="0" applyAlignment="0"/>
    <xf numFmtId="16" fontId="2" fillId="0" borderId="0" applyFill="0" applyBorder="0" applyAlignment="0" applyProtection="0"/>
    <xf numFmtId="17" fontId="2" fillId="0" borderId="0" applyFill="0" applyBorder="0" applyAlignment="0" applyProtection="0"/>
    <xf numFmtId="189" fontId="2" fillId="0" borderId="0" applyFill="0" applyBorder="0" applyAlignment="0" applyProtection="0"/>
    <xf numFmtId="190" fontId="2" fillId="0" borderId="0" applyFill="0" applyBorder="0" applyAlignment="0" applyProtection="0"/>
    <xf numFmtId="191" fontId="2" fillId="0" borderId="0" applyFill="0" applyBorder="0" applyAlignment="0" applyProtection="0"/>
    <xf numFmtId="192" fontId="17" fillId="0" borderId="0"/>
    <xf numFmtId="0" fontId="2" fillId="0" borderId="0" applyFill="0" applyBorder="0" applyAlignment="0" applyProtection="0"/>
    <xf numFmtId="0" fontId="118" fillId="2" borderId="4" applyNumberFormat="0" applyAlignment="0" applyProtection="0"/>
    <xf numFmtId="0" fontId="119" fillId="8" borderId="1" applyNumberFormat="0" applyAlignment="0" applyProtection="0"/>
    <xf numFmtId="174" fontId="2" fillId="0" borderId="0" applyFill="0" applyBorder="0" applyAlignment="0" applyProtection="0"/>
    <xf numFmtId="0" fontId="120" fillId="0" borderId="5" applyNumberFormat="0" applyFill="0" applyAlignment="0" applyProtection="0"/>
    <xf numFmtId="0" fontId="121" fillId="0" borderId="6" applyNumberFormat="0" applyFill="0" applyAlignment="0" applyProtection="0"/>
    <xf numFmtId="0" fontId="122" fillId="0" borderId="7" applyNumberFormat="0" applyFill="0" applyAlignment="0" applyProtection="0"/>
    <xf numFmtId="0" fontId="122" fillId="0" borderId="0" applyNumberFormat="0" applyFill="0" applyBorder="0" applyAlignment="0" applyProtection="0"/>
    <xf numFmtId="193" fontId="2" fillId="0" borderId="0" applyFill="0" applyBorder="0" applyAlignment="0" applyProtection="0"/>
    <xf numFmtId="194" fontId="2" fillId="0" borderId="0" applyFill="0" applyBorder="0" applyAlignment="0" applyProtection="0"/>
    <xf numFmtId="195" fontId="17" fillId="0" borderId="0"/>
    <xf numFmtId="172" fontId="2" fillId="0" borderId="0" applyFill="0" applyBorder="0" applyAlignment="0" applyProtection="0"/>
    <xf numFmtId="172" fontId="2" fillId="0" borderId="0" applyFill="0" applyBorder="0" applyAlignment="0" applyProtection="0"/>
    <xf numFmtId="184" fontId="2" fillId="0" borderId="0" applyFill="0" applyBorder="0" applyAlignment="0" applyProtection="0"/>
    <xf numFmtId="184" fontId="2" fillId="0" borderId="0" applyFill="0" applyBorder="0" applyAlignment="0" applyProtection="0"/>
    <xf numFmtId="0" fontId="34" fillId="0" borderId="0" applyNumberFormat="0" applyAlignment="0"/>
    <xf numFmtId="0" fontId="35" fillId="0" borderId="0" applyNumberFormat="0" applyFill="0" applyBorder="0" applyAlignment="0" applyProtection="0"/>
    <xf numFmtId="2" fontId="2" fillId="0" borderId="0" applyFill="0" applyBorder="0" applyAlignment="0" applyProtection="0"/>
    <xf numFmtId="0" fontId="36" fillId="0" borderId="0" applyNumberFormat="0" applyFill="0" applyBorder="0" applyAlignment="0" applyProtection="0"/>
    <xf numFmtId="0" fontId="37" fillId="0" borderId="0" applyNumberFormat="0" applyFill="0" applyBorder="0" applyProtection="0">
      <alignment vertical="center"/>
    </xf>
    <xf numFmtId="0" fontId="38" fillId="0" borderId="0" applyNumberFormat="0" applyFill="0" applyBorder="0" applyAlignment="0" applyProtection="0"/>
    <xf numFmtId="0" fontId="39" fillId="0" borderId="0" applyNumberFormat="0" applyFill="0" applyBorder="0" applyProtection="0">
      <alignment vertical="center"/>
    </xf>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 fillId="22" borderId="8" applyNumberFormat="0" applyAlignment="0" applyProtection="0"/>
    <xf numFmtId="0" fontId="44" fillId="5" borderId="0" applyNumberFormat="0" applyBorder="0" applyAlignment="0" applyProtection="0"/>
    <xf numFmtId="0" fontId="45" fillId="2" borderId="0" applyNumberFormat="0" applyBorder="0" applyAlignment="0" applyProtection="0"/>
    <xf numFmtId="0" fontId="46" fillId="23" borderId="0" applyNumberFormat="0" applyBorder="0" applyAlignment="0" applyProtection="0"/>
    <xf numFmtId="0" fontId="45" fillId="23" borderId="0" applyNumberFormat="0" applyBorder="0" applyAlignment="0" applyProtection="0"/>
    <xf numFmtId="0" fontId="47" fillId="0" borderId="0" applyNumberFormat="0" applyFill="0" applyBorder="0" applyAlignment="0" applyProtection="0"/>
    <xf numFmtId="0" fontId="2" fillId="0" borderId="0" applyNumberFormat="0" applyBorder="0" applyAlignment="0"/>
    <xf numFmtId="196" fontId="2" fillId="0" borderId="0" applyFill="0" applyBorder="0" applyAlignment="0" applyProtection="0"/>
    <xf numFmtId="0" fontId="48" fillId="24" borderId="0"/>
    <xf numFmtId="0" fontId="48" fillId="23" borderId="0"/>
    <xf numFmtId="0" fontId="49" fillId="0" borderId="0">
      <alignment horizontal="left"/>
    </xf>
    <xf numFmtId="0" fontId="49" fillId="0" borderId="0">
      <alignment horizontal="left"/>
    </xf>
    <xf numFmtId="0" fontId="49" fillId="0" borderId="9" applyNumberFormat="0" applyAlignment="0" applyProtection="0"/>
    <xf numFmtId="0" fontId="49" fillId="0" borderId="10">
      <alignment horizontal="left" vertical="center"/>
    </xf>
    <xf numFmtId="0" fontId="50" fillId="0" borderId="0" applyNumberFormat="0" applyFill="0" applyBorder="0" applyAlignment="0" applyProtection="0"/>
    <xf numFmtId="0" fontId="49" fillId="0" borderId="0" applyNumberFormat="0" applyFill="0" applyBorder="0" applyAlignment="0" applyProtection="0"/>
    <xf numFmtId="0" fontId="51" fillId="0" borderId="7" applyNumberFormat="0" applyFill="0" applyAlignment="0" applyProtection="0"/>
    <xf numFmtId="0" fontId="51" fillId="0" borderId="0" applyNumberFormat="0" applyFill="0" applyBorder="0" applyAlignment="0" applyProtection="0"/>
    <xf numFmtId="0" fontId="50" fillId="0" borderId="0" applyProtection="0"/>
    <xf numFmtId="0" fontId="49" fillId="0" borderId="0" applyProtection="0"/>
    <xf numFmtId="0" fontId="52" fillId="0" borderId="11">
      <alignment horizontal="center"/>
    </xf>
    <xf numFmtId="0" fontId="52" fillId="0" borderId="0">
      <alignment horizontal="center"/>
    </xf>
    <xf numFmtId="49" fontId="53" fillId="0" borderId="3">
      <alignment vertical="center"/>
    </xf>
    <xf numFmtId="0" fontId="54" fillId="0" borderId="0" applyNumberFormat="0" applyFill="0" applyBorder="0" applyAlignment="0" applyProtection="0"/>
    <xf numFmtId="0" fontId="55" fillId="0" borderId="0" applyNumberFormat="0" applyFill="0" applyBorder="0" applyAlignment="0" applyProtection="0"/>
    <xf numFmtId="180" fontId="2" fillId="0" borderId="0" applyFill="0" applyBorder="0" applyAlignment="0" applyProtection="0"/>
    <xf numFmtId="0" fontId="3" fillId="0" borderId="0"/>
    <xf numFmtId="0" fontId="45" fillId="22" borderId="0" applyNumberFormat="0" applyBorder="0" applyAlignment="0" applyProtection="0"/>
    <xf numFmtId="0" fontId="46" fillId="23" borderId="0" applyNumberFormat="0" applyBorder="0" applyAlignment="0" applyProtection="0"/>
    <xf numFmtId="0" fontId="45" fillId="23" borderId="0" applyNumberFormat="0" applyBorder="0" applyAlignment="0" applyProtection="0"/>
    <xf numFmtId="0" fontId="56" fillId="8" borderId="1" applyNumberFormat="0" applyAlignment="0" applyProtection="0"/>
    <xf numFmtId="0" fontId="56" fillId="8" borderId="1" applyNumberFormat="0" applyAlignment="0" applyProtection="0"/>
    <xf numFmtId="0" fontId="6" fillId="0" borderId="0"/>
    <xf numFmtId="0" fontId="58" fillId="21" borderId="2" applyNumberFormat="0" applyAlignment="0" applyProtection="0"/>
    <xf numFmtId="0" fontId="57" fillId="0" borderId="0" applyNumberFormat="0" applyFill="0">
      <alignment horizontal="center"/>
    </xf>
    <xf numFmtId="0" fontId="25" fillId="0" borderId="0"/>
    <xf numFmtId="0" fontId="59" fillId="0" borderId="12" applyNumberFormat="0" applyFill="0" applyAlignment="0" applyProtection="0"/>
    <xf numFmtId="0" fontId="60" fillId="0" borderId="13" applyNumberFormat="0" applyAlignment="0"/>
    <xf numFmtId="0" fontId="61" fillId="0" borderId="13" applyNumberFormat="0" applyAlignment="0"/>
    <xf numFmtId="0" fontId="62" fillId="0" borderId="13" applyNumberFormat="0" applyAlignment="0"/>
    <xf numFmtId="38" fontId="2" fillId="0" borderId="0" applyFill="0" applyBorder="0" applyAlignment="0" applyProtection="0"/>
    <xf numFmtId="40" fontId="2" fillId="0" borderId="0" applyFill="0" applyBorder="0" applyAlignment="0" applyProtection="0"/>
    <xf numFmtId="0" fontId="63" fillId="0" borderId="11"/>
    <xf numFmtId="0" fontId="63" fillId="0" borderId="11"/>
    <xf numFmtId="197" fontId="17" fillId="0" borderId="14"/>
    <xf numFmtId="198" fontId="2" fillId="0" borderId="0" applyFill="0" applyBorder="0" applyAlignment="0" applyProtection="0"/>
    <xf numFmtId="199" fontId="2" fillId="0" borderId="0" applyFill="0" applyBorder="0" applyAlignment="0" applyProtection="0"/>
    <xf numFmtId="200" fontId="2" fillId="0" borderId="0" applyFill="0" applyBorder="0" applyAlignment="0" applyProtection="0"/>
    <xf numFmtId="201" fontId="2" fillId="0" borderId="0" applyFill="0" applyBorder="0" applyAlignment="0" applyProtection="0"/>
    <xf numFmtId="0" fontId="2" fillId="0" borderId="0" applyNumberFormat="0" applyFill="0" applyAlignment="0"/>
    <xf numFmtId="0" fontId="64" fillId="25" borderId="0" applyNumberFormat="0" applyBorder="0" applyAlignment="0" applyProtection="0"/>
    <xf numFmtId="0" fontId="31" fillId="0" borderId="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20" borderId="0" applyNumberFormat="0" applyBorder="0" applyAlignment="0" applyProtection="0"/>
    <xf numFmtId="37" fontId="65" fillId="0" borderId="0"/>
    <xf numFmtId="202" fontId="66" fillId="0" borderId="0"/>
    <xf numFmtId="0" fontId="17" fillId="0" borderId="0"/>
    <xf numFmtId="0" fontId="17" fillId="0" borderId="0"/>
    <xf numFmtId="203" fontId="67" fillId="0" borderId="0"/>
    <xf numFmtId="0" fontId="17" fillId="0" borderId="0"/>
    <xf numFmtId="0" fontId="68" fillId="0" borderId="0"/>
    <xf numFmtId="0" fontId="68" fillId="0" borderId="0"/>
    <xf numFmtId="0" fontId="6" fillId="0" borderId="0"/>
    <xf numFmtId="0" fontId="69" fillId="0" borderId="0"/>
    <xf numFmtId="0" fontId="17" fillId="0" borderId="0"/>
    <xf numFmtId="0" fontId="69" fillId="0" borderId="0"/>
    <xf numFmtId="0" fontId="70" fillId="0" borderId="0"/>
    <xf numFmtId="0" fontId="68" fillId="0" borderId="0"/>
    <xf numFmtId="0" fontId="68" fillId="0" borderId="0"/>
    <xf numFmtId="0" fontId="17" fillId="0" borderId="0"/>
    <xf numFmtId="0" fontId="17" fillId="0" borderId="0"/>
    <xf numFmtId="0" fontId="17" fillId="0" borderId="0"/>
    <xf numFmtId="0" fontId="30" fillId="0" borderId="0"/>
    <xf numFmtId="0" fontId="17" fillId="0" borderId="0"/>
    <xf numFmtId="0" fontId="68" fillId="0" borderId="0"/>
    <xf numFmtId="0" fontId="71" fillId="0" borderId="0"/>
    <xf numFmtId="0" fontId="10"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6" fillId="0" borderId="0"/>
    <xf numFmtId="0" fontId="17" fillId="0" borderId="0"/>
    <xf numFmtId="0" fontId="17" fillId="0" borderId="0"/>
    <xf numFmtId="0" fontId="70" fillId="0" borderId="0"/>
    <xf numFmtId="0" fontId="72" fillId="0" borderId="0"/>
    <xf numFmtId="0" fontId="17" fillId="0" borderId="0"/>
    <xf numFmtId="0" fontId="17" fillId="0" borderId="0"/>
    <xf numFmtId="0" fontId="18" fillId="0" borderId="0"/>
    <xf numFmtId="0" fontId="18" fillId="0" borderId="0"/>
    <xf numFmtId="0" fontId="23" fillId="0" borderId="0"/>
    <xf numFmtId="0" fontId="68" fillId="0" borderId="0"/>
    <xf numFmtId="0" fontId="6" fillId="0" borderId="0"/>
    <xf numFmtId="0" fontId="6" fillId="0" borderId="0"/>
    <xf numFmtId="0" fontId="73" fillId="0" borderId="0"/>
    <xf numFmtId="0" fontId="17" fillId="0" borderId="0"/>
    <xf numFmtId="0" fontId="74" fillId="0" borderId="0"/>
    <xf numFmtId="0" fontId="75" fillId="0" borderId="0"/>
    <xf numFmtId="0" fontId="72" fillId="0" borderId="0"/>
    <xf numFmtId="0" fontId="68" fillId="0" borderId="0"/>
    <xf numFmtId="0" fontId="68" fillId="0" borderId="0"/>
    <xf numFmtId="0" fontId="74" fillId="0" borderId="0"/>
    <xf numFmtId="0" fontId="6" fillId="0" borderId="0"/>
    <xf numFmtId="0" fontId="77" fillId="0" borderId="0"/>
    <xf numFmtId="0" fontId="2" fillId="22" borderId="8" applyNumberFormat="0" applyAlignment="0" applyProtection="0"/>
    <xf numFmtId="0" fontId="116" fillId="0" borderId="12" applyNumberFormat="0" applyFill="0" applyAlignment="0" applyProtection="0"/>
    <xf numFmtId="3" fontId="2" fillId="0" borderId="0" applyFill="0" applyBorder="0" applyAlignment="0" applyProtection="0"/>
    <xf numFmtId="0" fontId="78" fillId="0" borderId="0" applyNumberFormat="0" applyFill="0" applyBorder="0" applyAlignment="0" applyProtection="0"/>
    <xf numFmtId="0" fontId="6" fillId="0" borderId="0" applyNumberFormat="0" applyFill="0" applyBorder="0" applyAlignment="0" applyProtection="0"/>
    <xf numFmtId="0" fontId="3" fillId="0" borderId="0"/>
    <xf numFmtId="0" fontId="79" fillId="2" borderId="4" applyNumberFormat="0" applyAlignment="0" applyProtection="0"/>
    <xf numFmtId="204" fontId="2" fillId="0" borderId="0" applyFill="0" applyBorder="0" applyAlignment="0" applyProtection="0"/>
    <xf numFmtId="14" fontId="20" fillId="0" borderId="0">
      <alignment horizontal="center" wrapText="1"/>
      <protection locked="0"/>
    </xf>
    <xf numFmtId="10" fontId="2" fillId="0" borderId="0" applyFill="0" applyBorder="0" applyAlignment="0" applyProtection="0"/>
    <xf numFmtId="10" fontId="2" fillId="0" borderId="0" applyFill="0" applyBorder="0" applyAlignment="0" applyProtection="0"/>
    <xf numFmtId="10"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2" fillId="26" borderId="0" applyNumberFormat="0" applyBorder="0" applyAlignment="0"/>
    <xf numFmtId="0" fontId="45" fillId="0" borderId="0" applyNumberFormat="0" applyFill="0" applyBorder="0" applyAlignment="0" applyProtection="0"/>
    <xf numFmtId="180" fontId="2" fillId="0" borderId="0" applyFill="0" applyBorder="0" applyAlignment="0" applyProtection="0"/>
    <xf numFmtId="0" fontId="6" fillId="0" borderId="0" applyNumberFormat="0" applyFill="0" applyBorder="0" applyAlignment="0" applyProtection="0"/>
    <xf numFmtId="0" fontId="80" fillId="25" borderId="15" applyNumberFormat="0" applyProtection="0">
      <alignment vertical="center"/>
    </xf>
    <xf numFmtId="0" fontId="81" fillId="25" borderId="15" applyNumberFormat="0" applyProtection="0">
      <alignment vertical="center"/>
    </xf>
    <xf numFmtId="0" fontId="82" fillId="25" borderId="15" applyNumberFormat="0" applyProtection="0">
      <alignment horizontal="left" vertical="center" indent="1"/>
    </xf>
    <xf numFmtId="0" fontId="82" fillId="27" borderId="0" applyNumberFormat="0" applyProtection="0">
      <alignment horizontal="left" vertical="center" indent="1"/>
    </xf>
    <xf numFmtId="0" fontId="82" fillId="18" borderId="15" applyNumberFormat="0" applyProtection="0">
      <alignment horizontal="right" vertical="center"/>
    </xf>
    <xf numFmtId="0" fontId="82" fillId="4" borderId="15" applyNumberFormat="0" applyProtection="0">
      <alignment horizontal="right" vertical="center"/>
    </xf>
    <xf numFmtId="0" fontId="82" fillId="10" borderId="15" applyNumberFormat="0" applyProtection="0">
      <alignment horizontal="right" vertical="center"/>
    </xf>
    <xf numFmtId="0" fontId="82" fillId="5" borderId="15" applyNumberFormat="0" applyProtection="0">
      <alignment horizontal="right" vertical="center"/>
    </xf>
    <xf numFmtId="0" fontId="82" fillId="12" borderId="15" applyNumberFormat="0" applyProtection="0">
      <alignment horizontal="right" vertical="center"/>
    </xf>
    <xf numFmtId="0" fontId="82" fillId="8" borderId="15" applyNumberFormat="0" applyProtection="0">
      <alignment horizontal="right" vertical="center"/>
    </xf>
    <xf numFmtId="0" fontId="82" fillId="28" borderId="15" applyNumberFormat="0" applyProtection="0">
      <alignment horizontal="right" vertical="center"/>
    </xf>
    <xf numFmtId="0" fontId="82" fillId="19" borderId="15" applyNumberFormat="0" applyProtection="0">
      <alignment horizontal="right" vertical="center"/>
    </xf>
    <xf numFmtId="0" fontId="82" fillId="29" borderId="15" applyNumberFormat="0" applyProtection="0">
      <alignment horizontal="right" vertical="center"/>
    </xf>
    <xf numFmtId="0" fontId="80" fillId="30" borderId="16" applyNumberFormat="0" applyProtection="0">
      <alignment horizontal="left" vertical="center" indent="1"/>
    </xf>
    <xf numFmtId="0" fontId="80" fillId="9" borderId="0" applyNumberFormat="0" applyProtection="0">
      <alignment horizontal="left" vertical="center" indent="1"/>
    </xf>
    <xf numFmtId="0" fontId="80" fillId="27" borderId="0" applyNumberFormat="0" applyProtection="0">
      <alignment horizontal="left" vertical="center" indent="1"/>
    </xf>
    <xf numFmtId="0" fontId="82" fillId="9" borderId="15" applyNumberFormat="0" applyProtection="0">
      <alignment horizontal="right" vertical="center"/>
    </xf>
    <xf numFmtId="0" fontId="76" fillId="9" borderId="0" applyNumberFormat="0" applyProtection="0">
      <alignment horizontal="left" vertical="center" indent="1"/>
    </xf>
    <xf numFmtId="0" fontId="76" fillId="27" borderId="0" applyNumberFormat="0" applyProtection="0">
      <alignment horizontal="left" vertical="center" indent="1"/>
    </xf>
    <xf numFmtId="0" fontId="82" fillId="7" borderId="15" applyNumberFormat="0" applyProtection="0">
      <alignment vertical="center"/>
    </xf>
    <xf numFmtId="0" fontId="83" fillId="7" borderId="15" applyNumberFormat="0" applyProtection="0">
      <alignment vertical="center"/>
    </xf>
    <xf numFmtId="0" fontId="80" fillId="9" borderId="17" applyNumberFormat="0" applyProtection="0">
      <alignment horizontal="left" vertical="center" indent="1"/>
    </xf>
    <xf numFmtId="0" fontId="82" fillId="7" borderId="15" applyNumberFormat="0" applyProtection="0">
      <alignment horizontal="right" vertical="center"/>
    </xf>
    <xf numFmtId="0" fontId="83" fillId="7" borderId="15" applyNumberFormat="0" applyProtection="0">
      <alignment horizontal="right" vertical="center"/>
    </xf>
    <xf numFmtId="0" fontId="80" fillId="9" borderId="15" applyNumberFormat="0" applyProtection="0">
      <alignment horizontal="left" vertical="center" indent="1"/>
    </xf>
    <xf numFmtId="0" fontId="84" fillId="31" borderId="17" applyNumberFormat="0" applyProtection="0">
      <alignment horizontal="left" vertical="center" indent="1"/>
    </xf>
    <xf numFmtId="0" fontId="85" fillId="7" borderId="15" applyNumberFormat="0" applyProtection="0">
      <alignment horizontal="right" vertical="center"/>
    </xf>
    <xf numFmtId="0" fontId="2" fillId="32" borderId="10" applyNumberFormat="0" applyAlignment="0"/>
    <xf numFmtId="0" fontId="86" fillId="0" borderId="0" applyNumberFormat="0" applyFill="0" applyBorder="0" applyAlignment="0"/>
    <xf numFmtId="0" fontId="17" fillId="0" borderId="0"/>
    <xf numFmtId="0" fontId="87" fillId="0" borderId="0" applyNumberFormat="0" applyBorder="0" applyAlignment="0"/>
    <xf numFmtId="0" fontId="14" fillId="0" borderId="0" applyNumberFormat="0" applyFill="0" applyBorder="0" applyAlignment="0" applyProtection="0"/>
    <xf numFmtId="0" fontId="2" fillId="0" borderId="0" applyFill="0" applyBorder="0" applyAlignment="0" applyProtection="0"/>
    <xf numFmtId="180" fontId="2" fillId="0" borderId="0" applyFill="0" applyBorder="0" applyAlignment="0" applyProtection="0"/>
    <xf numFmtId="166" fontId="2" fillId="0" borderId="0" applyFill="0" applyBorder="0" applyAlignment="0" applyProtection="0"/>
    <xf numFmtId="176" fontId="2" fillId="0" borderId="0" applyFill="0" applyBorder="0" applyAlignment="0" applyProtection="0"/>
    <xf numFmtId="19" fontId="2" fillId="0" borderId="0" applyFill="0" applyBorder="0" applyAlignment="0" applyProtection="0"/>
    <xf numFmtId="19" fontId="2" fillId="0" borderId="0" applyFill="0" applyBorder="0" applyAlignment="0" applyProtection="0"/>
    <xf numFmtId="176" fontId="2" fillId="0" borderId="0" applyFill="0" applyBorder="0" applyAlignment="0" applyProtection="0"/>
    <xf numFmtId="166" fontId="2" fillId="0" borderId="0" applyFill="0" applyBorder="0" applyAlignment="0" applyProtection="0"/>
    <xf numFmtId="176" fontId="2" fillId="0" borderId="0" applyFill="0" applyBorder="0" applyAlignment="0" applyProtection="0"/>
    <xf numFmtId="19" fontId="2" fillId="0" borderId="0" applyFill="0" applyBorder="0" applyAlignment="0" applyProtection="0"/>
    <xf numFmtId="179" fontId="2" fillId="0" borderId="0" applyFill="0" applyBorder="0" applyAlignment="0" applyProtection="0"/>
    <xf numFmtId="19" fontId="2" fillId="0" borderId="0" applyFill="0" applyBorder="0" applyAlignment="0" applyProtection="0"/>
    <xf numFmtId="176" fontId="2" fillId="0" borderId="0" applyFill="0" applyBorder="0" applyAlignment="0" applyProtection="0"/>
    <xf numFmtId="180" fontId="2" fillId="0" borderId="0" applyFill="0" applyBorder="0" applyAlignment="0" applyProtection="0"/>
    <xf numFmtId="0" fontId="2" fillId="0" borderId="0" applyFill="0" applyBorder="0" applyAlignment="0" applyProtection="0"/>
    <xf numFmtId="0" fontId="2" fillId="0" borderId="0" applyFill="0" applyBorder="0" applyAlignment="0" applyProtection="0"/>
    <xf numFmtId="180" fontId="2" fillId="0" borderId="0" applyFill="0" applyBorder="0" applyAlignment="0" applyProtection="0"/>
    <xf numFmtId="179" fontId="2" fillId="0" borderId="0" applyFill="0" applyBorder="0" applyAlignment="0" applyProtection="0"/>
    <xf numFmtId="180" fontId="2" fillId="0" borderId="0" applyFill="0" applyBorder="0" applyAlignment="0" applyProtection="0"/>
    <xf numFmtId="0" fontId="2" fillId="0" borderId="0" applyFill="0" applyBorder="0" applyAlignment="0" applyProtection="0"/>
    <xf numFmtId="0" fontId="63" fillId="0" borderId="0"/>
    <xf numFmtId="0" fontId="63" fillId="0" borderId="0"/>
    <xf numFmtId="40" fontId="88" fillId="0" borderId="0" applyBorder="0">
      <alignment horizontal="right"/>
    </xf>
    <xf numFmtId="205" fontId="78" fillId="0" borderId="18">
      <alignment horizontal="right" vertical="center"/>
    </xf>
    <xf numFmtId="206" fontId="75" fillId="0" borderId="18">
      <alignment horizontal="right" vertical="center"/>
    </xf>
    <xf numFmtId="205" fontId="78" fillId="0" borderId="18">
      <alignment horizontal="right" vertical="center"/>
    </xf>
    <xf numFmtId="205" fontId="78" fillId="0" borderId="18">
      <alignment horizontal="right" vertical="center"/>
    </xf>
    <xf numFmtId="205" fontId="78" fillId="0" borderId="18">
      <alignment horizontal="right" vertical="center"/>
    </xf>
    <xf numFmtId="0" fontId="17" fillId="0" borderId="18">
      <alignment horizontal="right" vertical="center"/>
    </xf>
    <xf numFmtId="205" fontId="78" fillId="0" borderId="18">
      <alignment horizontal="right" vertical="center"/>
    </xf>
    <xf numFmtId="0" fontId="17" fillId="0" borderId="18">
      <alignment horizontal="right" vertical="center"/>
    </xf>
    <xf numFmtId="0" fontId="17" fillId="0" borderId="18">
      <alignment horizontal="right" vertical="center"/>
    </xf>
    <xf numFmtId="0" fontId="17" fillId="0" borderId="18">
      <alignment horizontal="right" vertical="center"/>
    </xf>
    <xf numFmtId="205" fontId="78" fillId="0" borderId="18">
      <alignment horizontal="right" vertical="center"/>
    </xf>
    <xf numFmtId="205" fontId="78" fillId="0" borderId="18">
      <alignment horizontal="right" vertical="center"/>
    </xf>
    <xf numFmtId="205" fontId="78" fillId="0" borderId="18">
      <alignment horizontal="right" vertical="center"/>
    </xf>
    <xf numFmtId="206" fontId="75" fillId="0" borderId="18">
      <alignment horizontal="right" vertical="center"/>
    </xf>
    <xf numFmtId="205" fontId="78" fillId="0" borderId="18">
      <alignment horizontal="right" vertical="center"/>
    </xf>
    <xf numFmtId="205" fontId="78" fillId="0" borderId="18">
      <alignment horizontal="right" vertical="center"/>
    </xf>
    <xf numFmtId="205" fontId="78" fillId="0" borderId="18">
      <alignment horizontal="right" vertical="center"/>
    </xf>
    <xf numFmtId="197" fontId="89" fillId="0" borderId="18">
      <alignment horizontal="right" vertical="center"/>
    </xf>
    <xf numFmtId="207" fontId="78" fillId="0" borderId="18">
      <alignment horizontal="center"/>
    </xf>
    <xf numFmtId="208" fontId="75" fillId="0" borderId="3">
      <alignment horizontal="left"/>
    </xf>
    <xf numFmtId="0" fontId="117" fillId="0" borderId="19"/>
    <xf numFmtId="0" fontId="78" fillId="0" borderId="0" applyNumberFormat="0" applyFill="0" applyBorder="0" applyAlignment="0" applyProtection="0"/>
    <xf numFmtId="0" fontId="90" fillId="0" borderId="0" applyNumberFormat="0" applyBorder="0" applyAlignment="0"/>
    <xf numFmtId="0" fontId="91" fillId="0" borderId="0" applyNumberFormat="0" applyBorder="0" applyAlignment="0"/>
    <xf numFmtId="0" fontId="92" fillId="0" borderId="0" applyNumberFormat="0" applyBorder="0" applyAlignment="0"/>
    <xf numFmtId="0" fontId="96" fillId="0" borderId="0" applyNumberFormat="0" applyFill="0" applyBorder="0" applyAlignment="0" applyProtection="0"/>
    <xf numFmtId="0" fontId="102" fillId="2" borderId="1" applyNumberFormat="0" applyAlignment="0" applyProtection="0"/>
    <xf numFmtId="0" fontId="93" fillId="0" borderId="0" applyNumberFormat="0" applyFill="0" applyBorder="0" applyAlignment="0" applyProtection="0"/>
    <xf numFmtId="0" fontId="94" fillId="0" borderId="0" applyBorder="0" applyAlignment="0"/>
    <xf numFmtId="0" fontId="95" fillId="0" borderId="0" applyNumberFormat="0" applyFill="0" applyBorder="0" applyAlignment="0" applyProtection="0"/>
    <xf numFmtId="0" fontId="47" fillId="0" borderId="0" applyNumberFormat="0" applyFill="0" applyBorder="0" applyAlignment="0" applyProtection="0"/>
    <xf numFmtId="0" fontId="96" fillId="0" borderId="0" applyNumberFormat="0" applyFill="0" applyBorder="0" applyAlignment="0" applyProtection="0"/>
    <xf numFmtId="0" fontId="104" fillId="0" borderId="20" applyNumberFormat="0" applyFill="0" applyAlignment="0" applyProtection="0"/>
    <xf numFmtId="0" fontId="97" fillId="0" borderId="13" applyNumberFormat="0" applyAlignment="0"/>
    <xf numFmtId="0" fontId="98" fillId="0" borderId="21" applyNumberFormat="0" applyAlignment="0"/>
    <xf numFmtId="0" fontId="99" fillId="0" borderId="0" applyNumberFormat="0" applyBorder="0" applyAlignment="0"/>
    <xf numFmtId="0" fontId="103" fillId="5" borderId="0" applyNumberFormat="0" applyBorder="0" applyAlignment="0" applyProtection="0"/>
    <xf numFmtId="0" fontId="2" fillId="0" borderId="22" applyNumberFormat="0" applyFill="0" applyAlignment="0" applyProtection="0"/>
    <xf numFmtId="0" fontId="100" fillId="25" borderId="0" applyNumberFormat="0" applyBorder="0" applyAlignment="0" applyProtection="0"/>
    <xf numFmtId="0" fontId="101" fillId="0" borderId="23">
      <alignment horizontal="center"/>
    </xf>
    <xf numFmtId="0" fontId="110" fillId="0" borderId="0" applyNumberFormat="0" applyFill="0" applyBorder="0" applyAlignment="0" applyProtection="0"/>
    <xf numFmtId="0" fontId="111" fillId="0" borderId="0" applyNumberFormat="0" applyFill="0" applyBorder="0" applyAlignment="0" applyProtection="0"/>
    <xf numFmtId="0" fontId="49" fillId="0" borderId="24">
      <alignment horizontal="center"/>
    </xf>
    <xf numFmtId="209" fontId="78" fillId="0" borderId="0"/>
    <xf numFmtId="0" fontId="105" fillId="0" borderId="0"/>
    <xf numFmtId="210" fontId="78" fillId="0" borderId="3"/>
    <xf numFmtId="0" fontId="105" fillId="0" borderId="3"/>
    <xf numFmtId="0" fontId="78" fillId="0" borderId="0" applyNumberFormat="0" applyBorder="0" applyAlignment="0" applyProtection="0"/>
    <xf numFmtId="3" fontId="106" fillId="0" borderId="0">
      <protection locked="0"/>
    </xf>
    <xf numFmtId="0" fontId="107" fillId="33" borderId="3">
      <alignment horizontal="left" vertical="center"/>
    </xf>
    <xf numFmtId="211" fontId="108" fillId="0" borderId="25">
      <alignment horizontal="left" vertical="top"/>
    </xf>
    <xf numFmtId="211" fontId="109" fillId="0" borderId="13">
      <alignment horizontal="left" vertical="top"/>
    </xf>
    <xf numFmtId="212" fontId="2" fillId="0" borderId="0" applyFill="0" applyBorder="0" applyAlignment="0" applyProtection="0"/>
    <xf numFmtId="213" fontId="2" fillId="0" borderId="0" applyFill="0" applyBorder="0" applyAlignment="0" applyProtection="0"/>
    <xf numFmtId="0" fontId="112" fillId="0" borderId="0" applyNumberFormat="0" applyFill="0" applyBorder="0" applyAlignment="0" applyProtection="0"/>
    <xf numFmtId="0" fontId="2" fillId="0" borderId="26" applyNumberFormat="0" applyAlignment="0"/>
    <xf numFmtId="0" fontId="114" fillId="4" borderId="0" applyNumberFormat="0" applyBorder="0" applyAlignment="0" applyProtection="0"/>
    <xf numFmtId="0" fontId="113" fillId="0" borderId="0" applyNumberFormat="0" applyFill="0" applyBorder="0" applyAlignment="0" applyProtection="0"/>
    <xf numFmtId="0" fontId="2" fillId="0" borderId="0" applyFill="0" applyBorder="0" applyAlignment="0" applyProtection="0"/>
    <xf numFmtId="0" fontId="2" fillId="0" borderId="0" applyFill="0" applyBorder="0" applyAlignment="0" applyProtection="0"/>
    <xf numFmtId="0" fontId="18" fillId="0" borderId="0">
      <alignment vertical="center"/>
    </xf>
    <xf numFmtId="40" fontId="2" fillId="0" borderId="0" applyFill="0" applyBorder="0" applyAlignment="0" applyProtection="0"/>
    <xf numFmtId="38" fontId="2" fillId="0" borderId="0" applyFill="0" applyBorder="0" applyAlignment="0" applyProtection="0"/>
    <xf numFmtId="0" fontId="2" fillId="0" borderId="0" applyFill="0" applyBorder="0" applyAlignment="0" applyProtection="0"/>
    <xf numFmtId="0" fontId="2" fillId="0" borderId="0" applyFill="0" applyBorder="0" applyAlignment="0" applyProtection="0"/>
    <xf numFmtId="9" fontId="2" fillId="0" borderId="0" applyFill="0" applyBorder="0" applyAlignment="0" applyProtection="0"/>
    <xf numFmtId="0" fontId="126" fillId="0" borderId="0"/>
    <xf numFmtId="188" fontId="2" fillId="0" borderId="0" applyFill="0" applyBorder="0" applyAlignment="0" applyProtection="0"/>
    <xf numFmtId="221" fontId="2" fillId="0" borderId="0" applyFill="0" applyBorder="0" applyAlignment="0" applyProtection="0"/>
    <xf numFmtId="222" fontId="2" fillId="0" borderId="0" applyFill="0" applyBorder="0" applyAlignment="0" applyProtection="0"/>
    <xf numFmtId="0" fontId="127" fillId="0" borderId="0"/>
    <xf numFmtId="0" fontId="128" fillId="0" borderId="0"/>
    <xf numFmtId="0" fontId="129" fillId="0" borderId="0"/>
    <xf numFmtId="0" fontId="124" fillId="0" borderId="0"/>
    <xf numFmtId="173" fontId="2" fillId="0" borderId="0" applyFill="0" applyBorder="0" applyAlignment="0" applyProtection="0"/>
    <xf numFmtId="174" fontId="2" fillId="0" borderId="0" applyFill="0" applyBorder="0" applyAlignment="0" applyProtection="0"/>
    <xf numFmtId="0" fontId="17" fillId="0" borderId="0"/>
    <xf numFmtId="0" fontId="125" fillId="0" borderId="0"/>
    <xf numFmtId="218" fontId="2" fillId="0" borderId="0" applyFill="0" applyBorder="0" applyAlignment="0" applyProtection="0"/>
    <xf numFmtId="219" fontId="2" fillId="0" borderId="0" applyFill="0" applyBorder="0" applyAlignment="0" applyProtection="0"/>
    <xf numFmtId="220" fontId="2" fillId="0" borderId="0" applyFill="0" applyBorder="0" applyAlignment="0" applyProtection="0"/>
    <xf numFmtId="0" fontId="168" fillId="0" borderId="0"/>
    <xf numFmtId="0" fontId="190" fillId="0" borderId="0"/>
    <xf numFmtId="183" fontId="190" fillId="0" borderId="0"/>
    <xf numFmtId="0" fontId="196" fillId="0" borderId="0"/>
    <xf numFmtId="0" fontId="1" fillId="0" borderId="0"/>
    <xf numFmtId="165" fontId="216" fillId="0" borderId="0" applyFont="0" applyFill="0" applyBorder="0" applyAlignment="0" applyProtection="0"/>
    <xf numFmtId="0" fontId="217" fillId="0" borderId="0"/>
    <xf numFmtId="0" fontId="1" fillId="0" borderId="0"/>
    <xf numFmtId="43" fontId="1" fillId="0" borderId="0" applyFont="0" applyFill="0" applyBorder="0" applyAlignment="0" applyProtection="0"/>
    <xf numFmtId="0" fontId="218" fillId="0" borderId="0"/>
    <xf numFmtId="0" fontId="210" fillId="0" borderId="0"/>
    <xf numFmtId="0" fontId="210" fillId="0" borderId="0"/>
    <xf numFmtId="3" fontId="222" fillId="0" borderId="67"/>
    <xf numFmtId="0" fontId="210" fillId="0" borderId="0" applyNumberFormat="0" applyFill="0" applyBorder="0" applyAlignment="0" applyProtection="0"/>
    <xf numFmtId="0" fontId="223" fillId="0" borderId="0" applyFont="0" applyFill="0" applyBorder="0" applyAlignment="0" applyProtection="0"/>
    <xf numFmtId="0" fontId="224" fillId="0" borderId="0"/>
    <xf numFmtId="0" fontId="225" fillId="0" borderId="0"/>
    <xf numFmtId="0" fontId="210" fillId="0" borderId="0"/>
    <xf numFmtId="3" fontId="222" fillId="0" borderId="67"/>
    <xf numFmtId="3" fontId="222" fillId="0" borderId="67"/>
    <xf numFmtId="43" fontId="216" fillId="0" borderId="0" applyFont="0" applyFill="0" applyBorder="0" applyAlignment="0" applyProtection="0"/>
    <xf numFmtId="0" fontId="216" fillId="0" borderId="0" applyFont="0" applyFill="0" applyBorder="0" applyAlignment="0" applyProtection="0"/>
    <xf numFmtId="0" fontId="216" fillId="0" borderId="0" applyFont="0" applyFill="0" applyBorder="0" applyAlignment="0" applyProtection="0"/>
    <xf numFmtId="245" fontId="226" fillId="0" borderId="0" applyFont="0" applyFill="0" applyBorder="0" applyAlignment="0" applyProtection="0"/>
    <xf numFmtId="246" fontId="227" fillId="0" borderId="0">
      <protection locked="0"/>
    </xf>
    <xf numFmtId="0" fontId="216" fillId="0" borderId="0"/>
    <xf numFmtId="0" fontId="216" fillId="0" borderId="0"/>
    <xf numFmtId="0" fontId="228" fillId="0" borderId="0"/>
    <xf numFmtId="38" fontId="225" fillId="0" borderId="0" applyFont="0" applyFill="0" applyBorder="0" applyAlignment="0" applyProtection="0"/>
    <xf numFmtId="4" fontId="229" fillId="0" borderId="0" applyFont="0" applyFill="0" applyBorder="0" applyAlignment="0" applyProtection="0"/>
    <xf numFmtId="0" fontId="216" fillId="0" borderId="0"/>
    <xf numFmtId="0" fontId="1" fillId="0" borderId="0"/>
    <xf numFmtId="0" fontId="1" fillId="0" borderId="0"/>
    <xf numFmtId="0" fontId="230" fillId="0" borderId="0"/>
    <xf numFmtId="0" fontId="210" fillId="0" borderId="0"/>
    <xf numFmtId="0" fontId="210" fillId="0" borderId="0"/>
    <xf numFmtId="0" fontId="229" fillId="40" borderId="0"/>
    <xf numFmtId="248" fontId="123" fillId="0" borderId="0" applyFont="0" applyFill="0" applyBorder="0" applyAlignment="0" applyProtection="0"/>
    <xf numFmtId="0" fontId="210" fillId="0" borderId="0" applyFont="0" applyFill="0" applyBorder="0" applyAlignment="0" applyProtection="0"/>
    <xf numFmtId="0" fontId="184" fillId="0" borderId="0"/>
    <xf numFmtId="0" fontId="226" fillId="0" borderId="85">
      <alignment horizontal="center"/>
    </xf>
    <xf numFmtId="0" fontId="210" fillId="0" borderId="0" applyNumberFormat="0" applyFill="0" applyBorder="0" applyAlignment="0" applyProtection="0"/>
    <xf numFmtId="249" fontId="231" fillId="0" borderId="0" applyFont="0" applyFill="0" applyBorder="0" applyAlignment="0" applyProtection="0"/>
    <xf numFmtId="250" fontId="232" fillId="0" borderId="0" applyFont="0" applyFill="0" applyBorder="0" applyAlignment="0" applyProtection="0"/>
    <xf numFmtId="251" fontId="210" fillId="0" borderId="0" applyFont="0" applyFill="0" applyBorder="0" applyAlignment="0" applyProtection="0"/>
    <xf numFmtId="252" fontId="210" fillId="0" borderId="0" applyFont="0" applyFill="0" applyBorder="0" applyAlignment="0" applyProtection="0"/>
    <xf numFmtId="0" fontId="233" fillId="0" borderId="115"/>
    <xf numFmtId="0" fontId="127" fillId="0" borderId="0" applyFont="0" applyFill="0" applyBorder="0" applyAlignment="0" applyProtection="0"/>
    <xf numFmtId="0" fontId="127" fillId="0" borderId="0" applyFont="0" applyFill="0" applyBorder="0" applyAlignment="0" applyProtection="0"/>
    <xf numFmtId="164" fontId="210" fillId="0" borderId="0" applyFont="0" applyFill="0" applyBorder="0" applyAlignment="0" applyProtection="0"/>
    <xf numFmtId="247" fontId="225" fillId="0" borderId="0" applyNumberFormat="0" applyFont="0" applyFill="0" applyBorder="0" applyAlignment="0" applyProtection="0"/>
    <xf numFmtId="0" fontId="243" fillId="0" borderId="0"/>
  </cellStyleXfs>
  <cellXfs count="1899">
    <xf numFmtId="0" fontId="0" fillId="0" borderId="0" xfId="0"/>
    <xf numFmtId="0" fontId="18" fillId="0" borderId="0" xfId="0" applyFont="1"/>
    <xf numFmtId="0" fontId="18" fillId="0" borderId="0" xfId="0" applyFont="1" applyAlignment="1">
      <alignment horizontal="right"/>
    </xf>
    <xf numFmtId="0" fontId="130" fillId="0" borderId="0" xfId="0" applyFont="1" applyAlignment="1">
      <alignment horizontal="right"/>
    </xf>
    <xf numFmtId="0" fontId="18" fillId="34" borderId="0" xfId="0" applyFont="1" applyFill="1"/>
    <xf numFmtId="0" fontId="131" fillId="0" borderId="0" xfId="0" applyFont="1" applyAlignment="1">
      <alignment horizontal="center"/>
    </xf>
    <xf numFmtId="0" fontId="18" fillId="0" borderId="0" xfId="0" applyFont="1" applyAlignment="1">
      <alignment horizontal="center"/>
    </xf>
    <xf numFmtId="3" fontId="18" fillId="0" borderId="0" xfId="0" applyNumberFormat="1" applyFont="1"/>
    <xf numFmtId="3" fontId="31" fillId="0" borderId="0" xfId="0" applyNumberFormat="1" applyFont="1"/>
    <xf numFmtId="0" fontId="31" fillId="0" borderId="27" xfId="0" applyFont="1" applyBorder="1" applyAlignment="1">
      <alignment horizontal="center" vertical="center"/>
    </xf>
    <xf numFmtId="0" fontId="31" fillId="0" borderId="27" xfId="0" applyFont="1" applyBorder="1" applyAlignment="1">
      <alignment horizontal="center"/>
    </xf>
    <xf numFmtId="0" fontId="31" fillId="0" borderId="28" xfId="0" applyFont="1" applyBorder="1" applyAlignment="1">
      <alignment horizontal="center"/>
    </xf>
    <xf numFmtId="0" fontId="18" fillId="0" borderId="29" xfId="0" applyFont="1" applyBorder="1" applyAlignment="1">
      <alignment horizontal="center" vertical="center"/>
    </xf>
    <xf numFmtId="0" fontId="31" fillId="0" borderId="29" xfId="0" applyFont="1" applyBorder="1" applyAlignment="1">
      <alignment horizontal="center"/>
    </xf>
    <xf numFmtId="0" fontId="31" fillId="0" borderId="30" xfId="0" applyFont="1" applyBorder="1" applyAlignment="1">
      <alignment horizontal="center"/>
    </xf>
    <xf numFmtId="0" fontId="31" fillId="0" borderId="31" xfId="0" applyFont="1" applyBorder="1" applyAlignment="1">
      <alignment horizontal="center"/>
    </xf>
    <xf numFmtId="0" fontId="31" fillId="0" borderId="32" xfId="0" applyFont="1" applyBorder="1" applyAlignment="1">
      <alignment vertical="center" wrapText="1"/>
    </xf>
    <xf numFmtId="0" fontId="132" fillId="0" borderId="33" xfId="0" applyFont="1" applyBorder="1" applyAlignment="1">
      <alignment horizontal="center" vertical="center" wrapText="1"/>
    </xf>
    <xf numFmtId="4" fontId="132" fillId="0" borderId="33" xfId="180" applyNumberFormat="1" applyFont="1" applyFill="1" applyBorder="1" applyAlignment="1" applyProtection="1">
      <alignment horizontal="right" vertical="center" wrapText="1"/>
    </xf>
    <xf numFmtId="4" fontId="132" fillId="0" borderId="34" xfId="180" applyNumberFormat="1" applyFont="1" applyFill="1" applyBorder="1" applyAlignment="1" applyProtection="1">
      <alignment horizontal="right" vertical="center" wrapText="1"/>
    </xf>
    <xf numFmtId="0" fontId="132" fillId="0" borderId="35" xfId="0" applyFont="1" applyBorder="1" applyAlignment="1">
      <alignment vertical="center" wrapText="1"/>
    </xf>
    <xf numFmtId="0" fontId="132" fillId="0" borderId="36" xfId="0" applyFont="1" applyBorder="1" applyAlignment="1">
      <alignment horizontal="center" vertical="center" wrapText="1"/>
    </xf>
    <xf numFmtId="4" fontId="132" fillId="0" borderId="36" xfId="180" applyNumberFormat="1" applyFont="1" applyFill="1" applyBorder="1" applyAlignment="1" applyProtection="1">
      <alignment vertical="center" wrapText="1"/>
    </xf>
    <xf numFmtId="4" fontId="132" fillId="0" borderId="37" xfId="180" applyNumberFormat="1" applyFont="1" applyFill="1" applyBorder="1" applyAlignment="1" applyProtection="1">
      <alignment vertical="center" wrapText="1"/>
    </xf>
    <xf numFmtId="4" fontId="18" fillId="0" borderId="0" xfId="0" applyNumberFormat="1" applyFont="1" applyAlignment="1">
      <alignment vertical="center" wrapText="1"/>
    </xf>
    <xf numFmtId="0" fontId="18" fillId="0" borderId="0" xfId="0" applyFont="1" applyAlignment="1">
      <alignment vertical="center" wrapText="1"/>
    </xf>
    <xf numFmtId="0" fontId="132" fillId="0" borderId="38" xfId="0" applyFont="1" applyBorder="1" applyAlignment="1">
      <alignment horizontal="center" vertical="center" wrapText="1"/>
    </xf>
    <xf numFmtId="0" fontId="132" fillId="0" borderId="21" xfId="0" applyFont="1" applyBorder="1" applyAlignment="1">
      <alignment vertical="center" wrapText="1"/>
    </xf>
    <xf numFmtId="4" fontId="132" fillId="0" borderId="21" xfId="180" applyNumberFormat="1" applyFont="1" applyFill="1" applyBorder="1" applyAlignment="1" applyProtection="1">
      <alignment vertical="center" wrapText="1"/>
    </xf>
    <xf numFmtId="4" fontId="132" fillId="0" borderId="39" xfId="180" applyNumberFormat="1" applyFont="1" applyFill="1" applyBorder="1" applyAlignment="1" applyProtection="1">
      <alignment vertical="center" wrapText="1"/>
    </xf>
    <xf numFmtId="0" fontId="132" fillId="0" borderId="40" xfId="0" applyFont="1" applyBorder="1" applyAlignment="1">
      <alignment horizontal="center" vertical="center" wrapText="1"/>
    </xf>
    <xf numFmtId="0" fontId="133" fillId="0" borderId="38" xfId="0" applyFont="1" applyBorder="1" applyAlignment="1">
      <alignment horizontal="center"/>
    </xf>
    <xf numFmtId="0" fontId="133" fillId="0" borderId="21" xfId="0" applyFont="1" applyBorder="1"/>
    <xf numFmtId="4" fontId="133" fillId="0" borderId="21" xfId="180" applyNumberFormat="1" applyFont="1" applyFill="1" applyBorder="1" applyAlignment="1" applyProtection="1"/>
    <xf numFmtId="4" fontId="133" fillId="0" borderId="39" xfId="180" applyNumberFormat="1" applyFont="1" applyFill="1" applyBorder="1" applyAlignment="1" applyProtection="1"/>
    <xf numFmtId="0" fontId="133" fillId="0" borderId="40" xfId="0" applyFont="1" applyBorder="1" applyAlignment="1">
      <alignment horizontal="center"/>
    </xf>
    <xf numFmtId="4" fontId="18" fillId="0" borderId="0" xfId="0" applyNumberFormat="1" applyFont="1"/>
    <xf numFmtId="0" fontId="136" fillId="0" borderId="38" xfId="0" applyFont="1" applyBorder="1" applyAlignment="1">
      <alignment horizontal="center"/>
    </xf>
    <xf numFmtId="0" fontId="133" fillId="0" borderId="40" xfId="0" applyFont="1" applyBorder="1" applyAlignment="1">
      <alignment horizontal="center" vertical="center" wrapText="1"/>
    </xf>
    <xf numFmtId="0" fontId="133" fillId="0" borderId="21" xfId="0" applyFont="1" applyBorder="1" applyAlignment="1">
      <alignment vertical="center" wrapText="1"/>
    </xf>
    <xf numFmtId="4" fontId="133" fillId="0" borderId="39" xfId="180" applyNumberFormat="1" applyFont="1" applyFill="1" applyBorder="1" applyAlignment="1" applyProtection="1">
      <alignment vertical="center" wrapText="1"/>
    </xf>
    <xf numFmtId="0" fontId="136" fillId="0" borderId="38" xfId="0" applyFont="1" applyBorder="1" applyAlignment="1">
      <alignment horizontal="center" vertical="center" wrapText="1"/>
    </xf>
    <xf numFmtId="0" fontId="18" fillId="0" borderId="41" xfId="0" applyFont="1" applyBorder="1"/>
    <xf numFmtId="0" fontId="18" fillId="0" borderId="42" xfId="0" applyFont="1" applyBorder="1"/>
    <xf numFmtId="0" fontId="18" fillId="0" borderId="43" xfId="0" applyFont="1" applyBorder="1"/>
    <xf numFmtId="0" fontId="31" fillId="0" borderId="41" xfId="0" applyFont="1" applyBorder="1" applyAlignment="1">
      <alignment horizontal="center"/>
    </xf>
    <xf numFmtId="0" fontId="132" fillId="0" borderId="42" xfId="0" applyFont="1" applyBorder="1" applyAlignment="1">
      <alignment horizontal="center"/>
    </xf>
    <xf numFmtId="4" fontId="132" fillId="0" borderId="21" xfId="180" applyNumberFormat="1" applyFont="1" applyFill="1" applyBorder="1" applyAlignment="1" applyProtection="1"/>
    <xf numFmtId="4" fontId="132" fillId="0" borderId="39" xfId="180" applyNumberFormat="1" applyFont="1" applyFill="1" applyBorder="1" applyAlignment="1" applyProtection="1"/>
    <xf numFmtId="0" fontId="31" fillId="0" borderId="38" xfId="0" applyFont="1" applyBorder="1" applyAlignment="1">
      <alignment horizontal="center"/>
    </xf>
    <xf numFmtId="0" fontId="31" fillId="0" borderId="21" xfId="0" applyFont="1" applyBorder="1"/>
    <xf numFmtId="4" fontId="31" fillId="0" borderId="21" xfId="180" applyNumberFormat="1" applyFont="1" applyFill="1" applyBorder="1" applyAlignment="1" applyProtection="1"/>
    <xf numFmtId="4" fontId="31" fillId="0" borderId="39" xfId="180" applyNumberFormat="1" applyFont="1" applyFill="1" applyBorder="1" applyAlignment="1" applyProtection="1"/>
    <xf numFmtId="0" fontId="31" fillId="0" borderId="44" xfId="0" applyFont="1" applyBorder="1" applyAlignment="1">
      <alignment horizontal="center"/>
    </xf>
    <xf numFmtId="0" fontId="137" fillId="0" borderId="42" xfId="0" applyFont="1" applyBorder="1" applyAlignment="1">
      <alignment horizontal="left"/>
    </xf>
    <xf numFmtId="4" fontId="137" fillId="0" borderId="21" xfId="180" applyNumberFormat="1" applyFont="1" applyFill="1" applyBorder="1" applyAlignment="1" applyProtection="1"/>
    <xf numFmtId="4" fontId="137" fillId="0" borderId="39" xfId="180" applyNumberFormat="1" applyFont="1" applyFill="1" applyBorder="1" applyAlignment="1" applyProtection="1"/>
    <xf numFmtId="0" fontId="138" fillId="0" borderId="44" xfId="0" applyFont="1" applyBorder="1" applyAlignment="1">
      <alignment horizontal="center" vertical="center" wrapText="1"/>
    </xf>
    <xf numFmtId="0" fontId="138" fillId="0" borderId="21" xfId="0" applyFont="1" applyBorder="1" applyAlignment="1">
      <alignment horizontal="left" vertical="center" wrapText="1"/>
    </xf>
    <xf numFmtId="4" fontId="139" fillId="0" borderId="21" xfId="180" applyNumberFormat="1" applyFont="1" applyFill="1" applyBorder="1" applyAlignment="1" applyProtection="1">
      <alignment vertical="center" wrapText="1"/>
    </xf>
    <xf numFmtId="4" fontId="140" fillId="0" borderId="21" xfId="180" applyNumberFormat="1" applyFont="1" applyFill="1" applyBorder="1" applyAlignment="1" applyProtection="1">
      <alignment horizontal="right" vertical="center" wrapText="1"/>
    </xf>
    <xf numFmtId="4" fontId="139" fillId="0" borderId="39" xfId="180" applyNumberFormat="1" applyFont="1" applyFill="1" applyBorder="1" applyAlignment="1" applyProtection="1">
      <alignment vertical="center" wrapText="1"/>
    </xf>
    <xf numFmtId="0" fontId="138" fillId="0" borderId="38" xfId="0" applyFont="1" applyBorder="1" applyAlignment="1">
      <alignment horizontal="center" vertical="center" wrapText="1"/>
    </xf>
    <xf numFmtId="0" fontId="138" fillId="0" borderId="21" xfId="0" applyFont="1" applyBorder="1" applyAlignment="1">
      <alignment vertical="center" wrapText="1"/>
    </xf>
    <xf numFmtId="4" fontId="138" fillId="0" borderId="21" xfId="180" applyNumberFormat="1" applyFont="1" applyFill="1" applyBorder="1" applyAlignment="1" applyProtection="1">
      <alignment vertical="center" wrapText="1"/>
    </xf>
    <xf numFmtId="4" fontId="138" fillId="0" borderId="39" xfId="180" applyNumberFormat="1" applyFont="1" applyFill="1" applyBorder="1" applyAlignment="1" applyProtection="1">
      <alignment vertical="center" wrapText="1"/>
    </xf>
    <xf numFmtId="4" fontId="130" fillId="0" borderId="0" xfId="0" applyNumberFormat="1" applyFont="1" applyAlignment="1">
      <alignment vertical="center" wrapText="1"/>
    </xf>
    <xf numFmtId="0" fontId="130" fillId="0" borderId="0" xfId="0" applyFont="1" applyAlignment="1">
      <alignment vertical="center" wrapText="1"/>
    </xf>
    <xf numFmtId="0" fontId="138" fillId="0" borderId="44" xfId="0" applyFont="1" applyBorder="1" applyAlignment="1">
      <alignment horizontal="center"/>
    </xf>
    <xf numFmtId="4" fontId="139" fillId="0" borderId="45" xfId="180" applyNumberFormat="1" applyFont="1" applyFill="1" applyBorder="1" applyAlignment="1" applyProtection="1"/>
    <xf numFmtId="4" fontId="140" fillId="0" borderId="45" xfId="180" applyNumberFormat="1" applyFont="1" applyFill="1" applyBorder="1" applyAlignment="1" applyProtection="1"/>
    <xf numFmtId="4" fontId="139" fillId="0" borderId="46" xfId="180" applyNumberFormat="1" applyFont="1" applyFill="1" applyBorder="1" applyAlignment="1" applyProtection="1"/>
    <xf numFmtId="0" fontId="138" fillId="0" borderId="47" xfId="0" applyFont="1" applyBorder="1" applyAlignment="1">
      <alignment horizontal="center"/>
    </xf>
    <xf numFmtId="0" fontId="138" fillId="0" borderId="45" xfId="0" applyFont="1" applyBorder="1"/>
    <xf numFmtId="4" fontId="138" fillId="0" borderId="45" xfId="180" applyNumberFormat="1" applyFont="1" applyFill="1" applyBorder="1" applyAlignment="1" applyProtection="1"/>
    <xf numFmtId="4" fontId="138" fillId="0" borderId="46" xfId="180" applyNumberFormat="1" applyFont="1" applyFill="1" applyBorder="1" applyAlignment="1" applyProtection="1"/>
    <xf numFmtId="4" fontId="130" fillId="0" borderId="0" xfId="0" applyNumberFormat="1" applyFont="1"/>
    <xf numFmtId="0" fontId="130" fillId="0" borderId="0" xfId="0" applyFont="1"/>
    <xf numFmtId="0" fontId="132" fillId="0" borderId="48" xfId="0" applyFont="1" applyBorder="1" applyAlignment="1">
      <alignment horizontal="center"/>
    </xf>
    <xf numFmtId="0" fontId="141" fillId="0" borderId="49" xfId="0" applyFont="1" applyBorder="1"/>
    <xf numFmtId="4" fontId="132" fillId="0" borderId="49" xfId="180" applyNumberFormat="1" applyFont="1" applyFill="1" applyBorder="1" applyAlignment="1" applyProtection="1"/>
    <xf numFmtId="4" fontId="132" fillId="0" borderId="50" xfId="180" applyNumberFormat="1" applyFont="1" applyFill="1" applyBorder="1" applyAlignment="1" applyProtection="1"/>
    <xf numFmtId="0" fontId="132" fillId="0" borderId="51" xfId="0" applyFont="1" applyBorder="1" applyAlignment="1">
      <alignment horizontal="center"/>
    </xf>
    <xf numFmtId="0" fontId="141" fillId="0" borderId="49" xfId="0" applyFont="1" applyBorder="1" applyAlignment="1">
      <alignment horizontal="left"/>
    </xf>
    <xf numFmtId="0" fontId="18" fillId="0" borderId="22" xfId="0" applyFont="1" applyBorder="1" applyAlignment="1">
      <alignment horizontal="center"/>
    </xf>
    <xf numFmtId="3" fontId="31" fillId="0" borderId="22" xfId="0" applyNumberFormat="1" applyFont="1" applyBorder="1"/>
    <xf numFmtId="0" fontId="18" fillId="0" borderId="0" xfId="0" applyFont="1" applyBorder="1" applyAlignment="1">
      <alignment horizontal="center"/>
    </xf>
    <xf numFmtId="0" fontId="18" fillId="0" borderId="0" xfId="0" applyFont="1" applyFill="1" applyBorder="1" applyAlignment="1">
      <alignment horizontal="center"/>
    </xf>
    <xf numFmtId="3" fontId="31" fillId="0" borderId="0" xfId="0" applyNumberFormat="1" applyFont="1" applyBorder="1"/>
    <xf numFmtId="3" fontId="18" fillId="0" borderId="0" xfId="0" applyNumberFormat="1" applyFont="1" applyAlignment="1">
      <alignment horizontal="center"/>
    </xf>
    <xf numFmtId="0" fontId="142" fillId="0" borderId="0" xfId="0" applyFont="1" applyFill="1" applyBorder="1" applyAlignment="1">
      <alignment horizontal="center"/>
    </xf>
    <xf numFmtId="0" fontId="130" fillId="0" borderId="0" xfId="0" applyFont="1" applyFill="1" applyBorder="1"/>
    <xf numFmtId="4" fontId="31" fillId="0" borderId="0" xfId="0" applyNumberFormat="1" applyFont="1"/>
    <xf numFmtId="0" fontId="142" fillId="0" borderId="0" xfId="0" applyFont="1" applyAlignment="1">
      <alignment horizontal="center"/>
    </xf>
    <xf numFmtId="3" fontId="142" fillId="0" borderId="0" xfId="0" applyNumberFormat="1" applyFont="1"/>
    <xf numFmtId="0" fontId="142" fillId="0" borderId="0" xfId="0" applyFont="1"/>
    <xf numFmtId="224" fontId="142" fillId="34" borderId="0" xfId="0" applyNumberFormat="1" applyFont="1" applyFill="1" applyAlignment="1">
      <alignment horizontal="center"/>
    </xf>
    <xf numFmtId="224" fontId="143" fillId="0" borderId="0" xfId="0" applyNumberFormat="1" applyFont="1"/>
    <xf numFmtId="4" fontId="142" fillId="0" borderId="0" xfId="0" applyNumberFormat="1" applyFont="1"/>
    <xf numFmtId="3" fontId="18" fillId="34" borderId="0" xfId="0" applyNumberFormat="1" applyFont="1" applyFill="1"/>
    <xf numFmtId="4" fontId="29" fillId="0" borderId="0" xfId="0" applyNumberFormat="1" applyFont="1"/>
    <xf numFmtId="4" fontId="20" fillId="0" borderId="0" xfId="0" applyNumberFormat="1" applyFont="1"/>
    <xf numFmtId="0" fontId="18" fillId="0" borderId="0" xfId="365" applyFont="1"/>
    <xf numFmtId="4" fontId="18" fillId="0" borderId="0" xfId="365" applyNumberFormat="1" applyFont="1"/>
    <xf numFmtId="0" fontId="130" fillId="0" borderId="0" xfId="365" applyFont="1" applyAlignment="1">
      <alignment horizontal="right"/>
    </xf>
    <xf numFmtId="188" fontId="18" fillId="0" borderId="0" xfId="219" applyFont="1" applyFill="1" applyBorder="1" applyAlignment="1" applyProtection="1">
      <alignment horizontal="right"/>
    </xf>
    <xf numFmtId="225" fontId="18" fillId="0" borderId="0" xfId="365" applyNumberFormat="1" applyFont="1" applyAlignment="1"/>
    <xf numFmtId="0" fontId="29" fillId="0" borderId="25" xfId="365" applyFont="1" applyFill="1" applyBorder="1" applyAlignment="1">
      <alignment horizontal="center"/>
    </xf>
    <xf numFmtId="0" fontId="18" fillId="0" borderId="13" xfId="365" applyFont="1" applyBorder="1" applyAlignment="1">
      <alignment horizontal="center"/>
    </xf>
    <xf numFmtId="0" fontId="29" fillId="0" borderId="54" xfId="365" applyFont="1" applyFill="1" applyBorder="1" applyAlignment="1">
      <alignment horizontal="center"/>
    </xf>
    <xf numFmtId="0" fontId="29" fillId="0" borderId="55" xfId="365" applyFont="1" applyFill="1" applyBorder="1" applyAlignment="1">
      <alignment horizontal="center"/>
    </xf>
    <xf numFmtId="0" fontId="29" fillId="0" borderId="56" xfId="365" applyFont="1" applyFill="1" applyBorder="1" applyAlignment="1">
      <alignment horizontal="center"/>
    </xf>
    <xf numFmtId="0" fontId="142" fillId="0" borderId="3" xfId="365" applyFont="1" applyBorder="1" applyAlignment="1">
      <alignment horizontal="center"/>
    </xf>
    <xf numFmtId="0" fontId="142" fillId="0" borderId="3" xfId="365" applyFont="1" applyBorder="1"/>
    <xf numFmtId="225" fontId="142" fillId="0" borderId="3" xfId="219" applyNumberFormat="1" applyFont="1" applyFill="1" applyBorder="1" applyAlignment="1" applyProtection="1">
      <alignment horizontal="right"/>
    </xf>
    <xf numFmtId="183" fontId="18" fillId="0" borderId="0" xfId="365" applyNumberFormat="1" applyFont="1"/>
    <xf numFmtId="225" fontId="18" fillId="0" borderId="0" xfId="365" applyNumberFormat="1" applyFont="1"/>
    <xf numFmtId="0" fontId="18" fillId="0" borderId="0" xfId="365" applyFont="1" applyFill="1"/>
    <xf numFmtId="0" fontId="18" fillId="0" borderId="0" xfId="365" applyFont="1" applyAlignment="1">
      <alignment vertical="center" wrapText="1"/>
    </xf>
    <xf numFmtId="0" fontId="142" fillId="0" borderId="0" xfId="365" applyFont="1"/>
    <xf numFmtId="0" fontId="18" fillId="0" borderId="21" xfId="365" applyFont="1" applyBorder="1" applyAlignment="1">
      <alignment horizontal="center"/>
    </xf>
    <xf numFmtId="0" fontId="18" fillId="0" borderId="21" xfId="365" applyFont="1" applyBorder="1"/>
    <xf numFmtId="225" fontId="18" fillId="0" borderId="21" xfId="219" applyNumberFormat="1" applyFont="1" applyFill="1" applyBorder="1" applyAlignment="1" applyProtection="1">
      <alignment horizontal="right"/>
    </xf>
    <xf numFmtId="4" fontId="18" fillId="0" borderId="21" xfId="180" applyNumberFormat="1" applyFont="1" applyFill="1" applyBorder="1" applyAlignment="1" applyProtection="1">
      <alignment horizontal="right"/>
    </xf>
    <xf numFmtId="4" fontId="142" fillId="0" borderId="3" xfId="219" applyNumberFormat="1" applyFont="1" applyFill="1" applyBorder="1" applyAlignment="1" applyProtection="1">
      <alignment horizontal="right"/>
    </xf>
    <xf numFmtId="227" fontId="18" fillId="0" borderId="0" xfId="180" applyNumberFormat="1" applyFont="1" applyFill="1" applyBorder="1" applyAlignment="1" applyProtection="1"/>
    <xf numFmtId="0" fontId="70" fillId="0" borderId="0" xfId="365" applyFont="1"/>
    <xf numFmtId="0" fontId="18" fillId="0" borderId="0" xfId="365" applyFont="1" applyAlignment="1">
      <alignment horizontal="center"/>
    </xf>
    <xf numFmtId="0" fontId="146" fillId="0" borderId="0" xfId="365" applyFont="1" applyAlignment="1">
      <alignment horizontal="center"/>
    </xf>
    <xf numFmtId="0" fontId="142" fillId="0" borderId="0" xfId="365" applyFont="1" applyAlignment="1">
      <alignment horizontal="center"/>
    </xf>
    <xf numFmtId="3" fontId="142" fillId="0" borderId="0" xfId="365" applyNumberFormat="1" applyFont="1" applyAlignment="1">
      <alignment horizontal="center"/>
    </xf>
    <xf numFmtId="4" fontId="142" fillId="0" borderId="0" xfId="365" applyNumberFormat="1" applyFont="1" applyAlignment="1">
      <alignment horizontal="center"/>
    </xf>
    <xf numFmtId="0" fontId="18" fillId="0" borderId="0" xfId="365" applyFont="1" applyAlignment="1"/>
    <xf numFmtId="0" fontId="18" fillId="0" borderId="25" xfId="365" applyFont="1" applyFill="1" applyBorder="1" applyAlignment="1">
      <alignment horizontal="center"/>
    </xf>
    <xf numFmtId="3" fontId="18" fillId="0" borderId="0" xfId="365" applyNumberFormat="1" applyFont="1"/>
    <xf numFmtId="0" fontId="18" fillId="0" borderId="56" xfId="365" applyFont="1" applyFill="1" applyBorder="1" applyAlignment="1">
      <alignment horizontal="center"/>
    </xf>
    <xf numFmtId="0" fontId="18" fillId="0" borderId="55" xfId="365" applyFont="1" applyFill="1" applyBorder="1" applyAlignment="1">
      <alignment horizontal="center"/>
    </xf>
    <xf numFmtId="0" fontId="18" fillId="0" borderId="13" xfId="365" applyFont="1" applyFill="1" applyBorder="1" applyAlignment="1">
      <alignment horizontal="center"/>
    </xf>
    <xf numFmtId="225" fontId="18" fillId="0" borderId="13" xfId="365" applyNumberFormat="1" applyFont="1" applyFill="1" applyBorder="1" applyAlignment="1">
      <alignment horizontal="center"/>
    </xf>
    <xf numFmtId="49" fontId="31" fillId="0" borderId="3" xfId="365" applyNumberFormat="1" applyFont="1" applyFill="1" applyBorder="1" applyAlignment="1">
      <alignment horizontal="center"/>
    </xf>
    <xf numFmtId="49" fontId="18" fillId="0" borderId="3" xfId="365" applyNumberFormat="1" applyFont="1" applyFill="1" applyBorder="1" applyAlignment="1">
      <alignment horizontal="center"/>
    </xf>
    <xf numFmtId="0" fontId="142" fillId="0" borderId="36" xfId="365" applyFont="1" applyBorder="1" applyAlignment="1">
      <alignment horizontal="center"/>
    </xf>
    <xf numFmtId="0" fontId="142" fillId="0" borderId="36" xfId="365" applyFont="1" applyBorder="1"/>
    <xf numFmtId="3" fontId="18" fillId="0" borderId="21" xfId="219" applyNumberFormat="1" applyFont="1" applyFill="1" applyBorder="1" applyAlignment="1" applyProtection="1">
      <alignment horizontal="right"/>
    </xf>
    <xf numFmtId="228" fontId="18" fillId="34" borderId="0" xfId="365" applyNumberFormat="1" applyFont="1" applyFill="1"/>
    <xf numFmtId="184" fontId="18" fillId="0" borderId="0" xfId="365" applyNumberFormat="1" applyFont="1"/>
    <xf numFmtId="0" fontId="142" fillId="0" borderId="21" xfId="365" applyFont="1" applyBorder="1" applyAlignment="1">
      <alignment horizontal="center"/>
    </xf>
    <xf numFmtId="0" fontId="142" fillId="0" borderId="21" xfId="365" applyFont="1" applyBorder="1"/>
    <xf numFmtId="223" fontId="142" fillId="0" borderId="3" xfId="180" applyFont="1" applyFill="1" applyBorder="1" applyAlignment="1" applyProtection="1">
      <alignment horizontal="right"/>
    </xf>
    <xf numFmtId="225" fontId="142" fillId="0" borderId="36" xfId="219" applyNumberFormat="1" applyFont="1" applyFill="1" applyBorder="1" applyAlignment="1" applyProtection="1">
      <alignment horizontal="right"/>
    </xf>
    <xf numFmtId="0" fontId="145" fillId="0" borderId="0" xfId="365" applyFont="1"/>
    <xf numFmtId="229" fontId="18" fillId="0" borderId="0" xfId="365" applyNumberFormat="1" applyFont="1"/>
    <xf numFmtId="0" fontId="142" fillId="0" borderId="42" xfId="365" applyFont="1" applyBorder="1" applyAlignment="1">
      <alignment horizontal="center"/>
    </xf>
    <xf numFmtId="0" fontId="142" fillId="0" borderId="42" xfId="365" applyFont="1" applyBorder="1"/>
    <xf numFmtId="1" fontId="18" fillId="0" borderId="0" xfId="0" applyNumberFormat="1" applyFont="1" applyFill="1"/>
    <xf numFmtId="0" fontId="18" fillId="0" borderId="0" xfId="0" applyFont="1" applyFill="1"/>
    <xf numFmtId="0" fontId="130" fillId="0" borderId="0" xfId="0" applyFont="1" applyFill="1" applyAlignment="1">
      <alignment horizontal="right"/>
    </xf>
    <xf numFmtId="0" fontId="18" fillId="0" borderId="0" xfId="0" applyFont="1" applyFill="1" applyAlignment="1">
      <alignment horizontal="center"/>
    </xf>
    <xf numFmtId="4" fontId="18" fillId="0" borderId="0" xfId="0" applyNumberFormat="1" applyFont="1" applyFill="1"/>
    <xf numFmtId="1" fontId="18" fillId="0" borderId="25" xfId="0" applyNumberFormat="1" applyFont="1" applyFill="1" applyBorder="1"/>
    <xf numFmtId="1" fontId="29" fillId="0" borderId="54" xfId="0" applyNumberFormat="1" applyFont="1" applyFill="1" applyBorder="1" applyAlignment="1">
      <alignment horizontal="center"/>
    </xf>
    <xf numFmtId="1" fontId="29" fillId="0" borderId="0" xfId="0" applyNumberFormat="1" applyFont="1" applyFill="1" applyBorder="1" applyAlignment="1">
      <alignment horizontal="center"/>
    </xf>
    <xf numFmtId="1" fontId="18" fillId="0" borderId="13" xfId="0" applyNumberFormat="1" applyFont="1" applyFill="1" applyBorder="1" applyAlignment="1">
      <alignment horizontal="center"/>
    </xf>
    <xf numFmtId="1" fontId="29" fillId="0" borderId="13" xfId="0" applyNumberFormat="1" applyFont="1" applyFill="1" applyBorder="1" applyAlignment="1">
      <alignment horizontal="center"/>
    </xf>
    <xf numFmtId="2" fontId="18" fillId="0" borderId="13" xfId="0" applyNumberFormat="1" applyFont="1" applyFill="1" applyBorder="1"/>
    <xf numFmtId="230" fontId="147" fillId="0" borderId="3" xfId="0" applyNumberFormat="1" applyFont="1" applyFill="1" applyBorder="1" applyAlignment="1">
      <alignment horizontal="center"/>
    </xf>
    <xf numFmtId="230" fontId="148" fillId="0" borderId="3" xfId="0" applyNumberFormat="1" applyFont="1" applyFill="1" applyBorder="1" applyAlignment="1">
      <alignment horizontal="center"/>
    </xf>
    <xf numFmtId="1" fontId="147" fillId="0" borderId="3" xfId="0" applyNumberFormat="1" applyFont="1" applyFill="1" applyBorder="1" applyAlignment="1">
      <alignment horizontal="center"/>
    </xf>
    <xf numFmtId="0" fontId="147" fillId="0" borderId="3" xfId="0" applyFont="1" applyFill="1" applyBorder="1" applyAlignment="1">
      <alignment horizontal="center"/>
    </xf>
    <xf numFmtId="0" fontId="147" fillId="0" borderId="0" xfId="0" applyFont="1" applyFill="1" applyBorder="1" applyAlignment="1">
      <alignment horizontal="center"/>
    </xf>
    <xf numFmtId="1" fontId="143" fillId="0" borderId="14" xfId="0" applyNumberFormat="1" applyFont="1" applyFill="1" applyBorder="1" applyAlignment="1">
      <alignment horizontal="center"/>
    </xf>
    <xf numFmtId="4" fontId="143" fillId="0" borderId="14" xfId="180" applyNumberFormat="1" applyFont="1" applyFill="1" applyBorder="1" applyAlignment="1" applyProtection="1"/>
    <xf numFmtId="4" fontId="143" fillId="0" borderId="21" xfId="180" applyNumberFormat="1" applyFont="1" applyFill="1" applyBorder="1" applyAlignment="1" applyProtection="1"/>
    <xf numFmtId="223" fontId="147" fillId="0" borderId="0" xfId="180" applyFont="1" applyFill="1" applyBorder="1" applyAlignment="1" applyProtection="1">
      <alignment horizontal="center"/>
    </xf>
    <xf numFmtId="1" fontId="143" fillId="0" borderId="21" xfId="0" applyNumberFormat="1" applyFont="1" applyFill="1" applyBorder="1"/>
    <xf numFmtId="223" fontId="143" fillId="0" borderId="0" xfId="180" applyFont="1" applyFill="1" applyBorder="1" applyAlignment="1" applyProtection="1"/>
    <xf numFmtId="231" fontId="18" fillId="0" borderId="0" xfId="0" applyNumberFormat="1" applyFont="1" applyFill="1"/>
    <xf numFmtId="0" fontId="142" fillId="0" borderId="0" xfId="0" applyFont="1" applyFill="1"/>
    <xf numFmtId="4" fontId="143" fillId="0" borderId="21" xfId="180" applyNumberFormat="1" applyFont="1" applyFill="1" applyBorder="1" applyAlignment="1" applyProtection="1">
      <alignment horizontal="right"/>
    </xf>
    <xf numFmtId="226" fontId="142" fillId="0" borderId="0" xfId="0" applyNumberFormat="1" applyFont="1" applyFill="1"/>
    <xf numFmtId="4" fontId="142" fillId="0" borderId="0" xfId="0" applyNumberFormat="1" applyFont="1" applyFill="1"/>
    <xf numFmtId="1" fontId="29" fillId="0" borderId="21" xfId="0" applyNumberFormat="1" applyFont="1" applyFill="1" applyBorder="1" applyAlignment="1">
      <alignment wrapText="1"/>
    </xf>
    <xf numFmtId="4" fontId="29" fillId="0" borderId="21" xfId="180" applyNumberFormat="1" applyFont="1" applyFill="1" applyBorder="1" applyAlignment="1" applyProtection="1"/>
    <xf numFmtId="231" fontId="29" fillId="0" borderId="21" xfId="180" applyNumberFormat="1" applyFont="1" applyFill="1" applyBorder="1" applyAlignment="1" applyProtection="1"/>
    <xf numFmtId="223" fontId="29" fillId="0" borderId="0" xfId="180" applyFont="1" applyFill="1" applyBorder="1" applyAlignment="1" applyProtection="1"/>
    <xf numFmtId="232" fontId="18" fillId="0" borderId="0" xfId="0" applyNumberFormat="1" applyFont="1" applyFill="1"/>
    <xf numFmtId="1" fontId="29" fillId="0" borderId="21" xfId="0" applyNumberFormat="1" applyFont="1" applyFill="1" applyBorder="1"/>
    <xf numFmtId="4" fontId="29" fillId="0" borderId="21" xfId="180" applyNumberFormat="1" applyFont="1" applyFill="1" applyBorder="1" applyAlignment="1" applyProtection="1">
      <alignment horizontal="right"/>
    </xf>
    <xf numFmtId="223" fontId="18" fillId="0" borderId="0" xfId="0" applyNumberFormat="1" applyFont="1" applyFill="1"/>
    <xf numFmtId="223" fontId="132" fillId="0" borderId="0" xfId="180" applyFont="1" applyFill="1" applyBorder="1" applyAlignment="1" applyProtection="1"/>
    <xf numFmtId="232" fontId="142" fillId="0" borderId="0" xfId="0" applyNumberFormat="1" applyFont="1" applyFill="1"/>
    <xf numFmtId="223" fontId="31" fillId="0" borderId="0" xfId="180" applyFont="1" applyFill="1" applyBorder="1" applyAlignment="1" applyProtection="1"/>
    <xf numFmtId="1" fontId="143" fillId="0" borderId="21" xfId="0" applyNumberFormat="1" applyFont="1" applyFill="1" applyBorder="1" applyAlignment="1">
      <alignment horizontal="left"/>
    </xf>
    <xf numFmtId="1" fontId="143" fillId="0" borderId="21" xfId="0" applyNumberFormat="1" applyFont="1" applyFill="1" applyBorder="1" applyAlignment="1">
      <alignment wrapText="1"/>
    </xf>
    <xf numFmtId="1" fontId="149" fillId="34" borderId="21" xfId="0" applyNumberFormat="1" applyFont="1" applyFill="1" applyBorder="1"/>
    <xf numFmtId="4" fontId="149" fillId="34" borderId="21" xfId="180" applyNumberFormat="1" applyFont="1" applyFill="1" applyBorder="1" applyAlignment="1" applyProtection="1"/>
    <xf numFmtId="4" fontId="149" fillId="34" borderId="21" xfId="180" applyNumberFormat="1" applyFont="1" applyFill="1" applyBorder="1" applyAlignment="1" applyProtection="1">
      <alignment horizontal="right"/>
    </xf>
    <xf numFmtId="223" fontId="29" fillId="34" borderId="0" xfId="180" applyFont="1" applyFill="1" applyBorder="1" applyAlignment="1" applyProtection="1"/>
    <xf numFmtId="1" fontId="29" fillId="34" borderId="21" xfId="0" applyNumberFormat="1" applyFont="1" applyFill="1" applyBorder="1"/>
    <xf numFmtId="4" fontId="29" fillId="34" borderId="21" xfId="180" applyNumberFormat="1" applyFont="1" applyFill="1" applyBorder="1" applyAlignment="1" applyProtection="1"/>
    <xf numFmtId="4" fontId="29" fillId="34" borderId="21" xfId="180" applyNumberFormat="1" applyFont="1" applyFill="1" applyBorder="1" applyAlignment="1" applyProtection="1">
      <alignment horizontal="right"/>
    </xf>
    <xf numFmtId="1" fontId="143" fillId="0" borderId="42" xfId="0" applyNumberFormat="1" applyFont="1" applyFill="1" applyBorder="1"/>
    <xf numFmtId="4" fontId="143" fillId="0" borderId="42" xfId="180" applyNumberFormat="1" applyFont="1" applyFill="1" applyBorder="1" applyAlignment="1" applyProtection="1"/>
    <xf numFmtId="4" fontId="143" fillId="0" borderId="42" xfId="180" applyNumberFormat="1" applyFont="1" applyFill="1" applyBorder="1" applyAlignment="1" applyProtection="1">
      <alignment horizontal="right"/>
    </xf>
    <xf numFmtId="4" fontId="143" fillId="0" borderId="3" xfId="180" applyNumberFormat="1" applyFont="1" applyFill="1" applyBorder="1" applyAlignment="1" applyProtection="1"/>
    <xf numFmtId="4" fontId="143" fillId="0" borderId="3" xfId="180" applyNumberFormat="1" applyFont="1" applyFill="1" applyBorder="1" applyAlignment="1" applyProtection="1">
      <alignment horizontal="right"/>
    </xf>
    <xf numFmtId="4" fontId="29" fillId="0" borderId="3" xfId="180" applyNumberFormat="1" applyFont="1" applyFill="1" applyBorder="1" applyAlignment="1" applyProtection="1"/>
    <xf numFmtId="1" fontId="150" fillId="34" borderId="3" xfId="0" applyNumberFormat="1" applyFont="1" applyFill="1" applyBorder="1"/>
    <xf numFmtId="4" fontId="143" fillId="34" borderId="3" xfId="180" applyNumberFormat="1" applyFont="1" applyFill="1" applyBorder="1" applyAlignment="1" applyProtection="1"/>
    <xf numFmtId="4" fontId="143" fillId="34" borderId="3" xfId="180" applyNumberFormat="1" applyFont="1" applyFill="1" applyBorder="1" applyAlignment="1" applyProtection="1">
      <alignment horizontal="right"/>
    </xf>
    <xf numFmtId="223" fontId="143" fillId="34" borderId="0" xfId="180" applyFont="1" applyFill="1" applyBorder="1" applyAlignment="1" applyProtection="1"/>
    <xf numFmtId="0" fontId="142" fillId="34" borderId="0" xfId="0" applyFont="1" applyFill="1"/>
    <xf numFmtId="1" fontId="150" fillId="0" borderId="3" xfId="0" applyNumberFormat="1" applyFont="1" applyFill="1" applyBorder="1"/>
    <xf numFmtId="4" fontId="29" fillId="0" borderId="3" xfId="180" applyNumberFormat="1" applyFont="1" applyFill="1" applyBorder="1" applyAlignment="1" applyProtection="1">
      <alignment horizontal="right"/>
    </xf>
    <xf numFmtId="1" fontId="29" fillId="0" borderId="3" xfId="0" applyNumberFormat="1" applyFont="1" applyFill="1" applyBorder="1"/>
    <xf numFmtId="4" fontId="29" fillId="0" borderId="3" xfId="180" applyNumberFormat="1" applyFont="1" applyFill="1" applyBorder="1" applyAlignment="1" applyProtection="1">
      <alignment vertical="center"/>
    </xf>
    <xf numFmtId="206" fontId="29" fillId="0" borderId="3" xfId="180" applyNumberFormat="1" applyFont="1" applyFill="1" applyBorder="1" applyAlignment="1" applyProtection="1"/>
    <xf numFmtId="0" fontId="29" fillId="0" borderId="3" xfId="365" applyFont="1" applyFill="1" applyBorder="1"/>
    <xf numFmtId="4" fontId="29" fillId="23" borderId="3" xfId="180" applyNumberFormat="1" applyFont="1" applyFill="1" applyBorder="1" applyAlignment="1" applyProtection="1"/>
    <xf numFmtId="4" fontId="29" fillId="23" borderId="3" xfId="180" applyNumberFormat="1" applyFont="1" applyFill="1" applyBorder="1" applyAlignment="1" applyProtection="1">
      <alignment horizontal="right"/>
    </xf>
    <xf numFmtId="174" fontId="29" fillId="0" borderId="0" xfId="218" applyFont="1" applyFill="1" applyBorder="1" applyAlignment="1" applyProtection="1"/>
    <xf numFmtId="0" fontId="29" fillId="0" borderId="3" xfId="365" applyFont="1" applyFill="1" applyBorder="1" applyAlignment="1">
      <alignment vertical="center" wrapText="1"/>
    </xf>
    <xf numFmtId="206" fontId="29" fillId="0" borderId="3" xfId="180" applyNumberFormat="1" applyFont="1" applyFill="1" applyBorder="1" applyAlignment="1" applyProtection="1">
      <alignment vertical="center" wrapText="1"/>
    </xf>
    <xf numFmtId="4" fontId="29" fillId="0" borderId="3" xfId="180" applyNumberFormat="1" applyFont="1" applyFill="1" applyBorder="1" applyAlignment="1" applyProtection="1">
      <alignment vertical="center" wrapText="1"/>
    </xf>
    <xf numFmtId="4" fontId="29" fillId="0" borderId="3" xfId="180" applyNumberFormat="1" applyFont="1" applyFill="1" applyBorder="1" applyAlignment="1" applyProtection="1">
      <alignment horizontal="right" vertical="center" wrapText="1"/>
    </xf>
    <xf numFmtId="174" fontId="29" fillId="0" borderId="0" xfId="218" applyFont="1" applyFill="1" applyBorder="1" applyAlignment="1" applyProtection="1">
      <alignment vertical="center" wrapText="1"/>
    </xf>
    <xf numFmtId="0" fontId="18" fillId="0" borderId="0" xfId="0" applyFont="1" applyFill="1" applyAlignment="1">
      <alignment vertical="center" wrapText="1"/>
    </xf>
    <xf numFmtId="4" fontId="18" fillId="0" borderId="0" xfId="0" applyNumberFormat="1" applyFont="1" applyFill="1" applyAlignment="1">
      <alignment vertical="center" wrapText="1"/>
    </xf>
    <xf numFmtId="0" fontId="150" fillId="0" borderId="3" xfId="365" applyFont="1" applyFill="1" applyBorder="1"/>
    <xf numFmtId="206" fontId="143" fillId="0" borderId="3" xfId="180" applyNumberFormat="1" applyFont="1" applyFill="1" applyBorder="1" applyAlignment="1" applyProtection="1"/>
    <xf numFmtId="174" fontId="143" fillId="0" borderId="0" xfId="218" applyFont="1" applyFill="1" applyBorder="1" applyAlignment="1" applyProtection="1"/>
    <xf numFmtId="1" fontId="143" fillId="0" borderId="3" xfId="0" applyNumberFormat="1" applyFont="1" applyFill="1" applyBorder="1" applyAlignment="1">
      <alignment horizontal="center"/>
    </xf>
    <xf numFmtId="1" fontId="143" fillId="0" borderId="3" xfId="0" applyNumberFormat="1" applyFont="1" applyFill="1" applyBorder="1" applyAlignment="1">
      <alignment horizontal="left"/>
    </xf>
    <xf numFmtId="226" fontId="143" fillId="0" borderId="3" xfId="218" applyNumberFormat="1" applyFont="1" applyFill="1" applyBorder="1" applyAlignment="1" applyProtection="1"/>
    <xf numFmtId="227" fontId="143" fillId="0" borderId="3" xfId="180" applyNumberFormat="1" applyFont="1" applyFill="1" applyBorder="1" applyAlignment="1" applyProtection="1"/>
    <xf numFmtId="233" fontId="143" fillId="0" borderId="3" xfId="218" applyNumberFormat="1" applyFont="1" applyFill="1" applyBorder="1" applyAlignment="1" applyProtection="1"/>
    <xf numFmtId="174" fontId="29" fillId="0" borderId="3" xfId="218" applyFont="1" applyFill="1" applyBorder="1" applyAlignment="1" applyProtection="1"/>
    <xf numFmtId="1" fontId="143" fillId="0" borderId="0" xfId="0" applyNumberFormat="1" applyFont="1" applyFill="1" applyBorder="1" applyAlignment="1">
      <alignment horizontal="center"/>
    </xf>
    <xf numFmtId="226" fontId="143" fillId="0" borderId="0" xfId="218" applyNumberFormat="1" applyFont="1" applyFill="1" applyBorder="1" applyAlignment="1" applyProtection="1"/>
    <xf numFmtId="227" fontId="143" fillId="0" borderId="0" xfId="180" applyNumberFormat="1" applyFont="1" applyFill="1" applyBorder="1" applyAlignment="1" applyProtection="1"/>
    <xf numFmtId="233" fontId="143" fillId="0" borderId="0" xfId="218" applyNumberFormat="1" applyFont="1" applyFill="1" applyBorder="1" applyAlignment="1" applyProtection="1"/>
    <xf numFmtId="1" fontId="70" fillId="0" borderId="0" xfId="0" applyNumberFormat="1" applyFont="1" applyFill="1" applyBorder="1" applyAlignment="1">
      <alignment horizontal="center"/>
    </xf>
    <xf numFmtId="233" fontId="70" fillId="0" borderId="0" xfId="218" applyNumberFormat="1" applyFont="1" applyFill="1" applyBorder="1" applyAlignment="1" applyProtection="1">
      <alignment horizontal="center"/>
    </xf>
    <xf numFmtId="1" fontId="151" fillId="0" borderId="0" xfId="0" applyNumberFormat="1" applyFont="1" applyFill="1" applyBorder="1" applyAlignment="1">
      <alignment horizontal="center"/>
    </xf>
    <xf numFmtId="233" fontId="151" fillId="0" borderId="0" xfId="218" applyNumberFormat="1" applyFont="1" applyFill="1" applyBorder="1" applyAlignment="1" applyProtection="1">
      <alignment horizontal="center"/>
    </xf>
    <xf numFmtId="233" fontId="151" fillId="0" borderId="0" xfId="218" applyNumberFormat="1" applyFont="1" applyFill="1" applyBorder="1" applyAlignment="1" applyProtection="1"/>
    <xf numFmtId="1" fontId="18" fillId="0" borderId="0" xfId="0" applyNumberFormat="1" applyFont="1" applyFill="1" applyAlignment="1">
      <alignment horizontal="center"/>
    </xf>
    <xf numFmtId="1" fontId="142" fillId="0" borderId="0" xfId="0" applyNumberFormat="1" applyFont="1" applyFill="1" applyAlignment="1">
      <alignment horizontal="center"/>
    </xf>
    <xf numFmtId="1" fontId="143" fillId="0" borderId="0" xfId="0" applyNumberFormat="1" applyFont="1" applyFill="1" applyAlignment="1">
      <alignment horizontal="center"/>
    </xf>
    <xf numFmtId="3" fontId="142" fillId="0" borderId="0" xfId="0" applyNumberFormat="1" applyFont="1" applyFill="1" applyAlignment="1">
      <alignment horizontal="center"/>
    </xf>
    <xf numFmtId="1" fontId="143" fillId="0" borderId="0" xfId="0" applyNumberFormat="1" applyFont="1" applyFill="1" applyAlignment="1"/>
    <xf numFmtId="0" fontId="143" fillId="0" borderId="0" xfId="0" applyFont="1" applyFill="1"/>
    <xf numFmtId="234" fontId="18" fillId="0" borderId="0" xfId="180" applyNumberFormat="1" applyFont="1" applyFill="1" applyBorder="1" applyAlignment="1" applyProtection="1"/>
    <xf numFmtId="0" fontId="130" fillId="0" borderId="0" xfId="365" applyFont="1" applyFill="1" applyAlignment="1">
      <alignment horizontal="right"/>
    </xf>
    <xf numFmtId="0" fontId="131" fillId="0" borderId="0" xfId="365" applyFont="1" applyAlignment="1">
      <alignment horizontal="center"/>
    </xf>
    <xf numFmtId="3" fontId="29" fillId="0" borderId="0" xfId="365" applyNumberFormat="1" applyFont="1" applyFill="1" applyAlignment="1"/>
    <xf numFmtId="225" fontId="29" fillId="0" borderId="0" xfId="365" applyNumberFormat="1" applyFont="1" applyFill="1" applyAlignment="1"/>
    <xf numFmtId="225" fontId="29" fillId="0" borderId="0" xfId="365" applyNumberFormat="1" applyFont="1" applyFill="1" applyAlignment="1">
      <alignment horizontal="center"/>
    </xf>
    <xf numFmtId="0" fontId="149" fillId="0" borderId="0" xfId="365" applyFont="1" applyFill="1" applyAlignment="1">
      <alignment horizontal="right"/>
    </xf>
    <xf numFmtId="0" fontId="29" fillId="0" borderId="25" xfId="365" applyFont="1" applyBorder="1"/>
    <xf numFmtId="0" fontId="29" fillId="0" borderId="58" xfId="365" applyFont="1" applyFill="1" applyBorder="1" applyAlignment="1">
      <alignment horizontal="center"/>
    </xf>
    <xf numFmtId="0" fontId="143" fillId="0" borderId="13" xfId="365" applyFont="1" applyBorder="1"/>
    <xf numFmtId="0" fontId="143" fillId="0" borderId="59" xfId="365" applyFont="1" applyFill="1" applyBorder="1" applyAlignment="1">
      <alignment horizontal="center"/>
    </xf>
    <xf numFmtId="3" fontId="29" fillId="0" borderId="25" xfId="365" applyNumberFormat="1" applyFont="1" applyFill="1" applyBorder="1" applyAlignment="1">
      <alignment horizontal="center"/>
    </xf>
    <xf numFmtId="0" fontId="152" fillId="0" borderId="3" xfId="365" applyFont="1" applyFill="1" applyBorder="1" applyAlignment="1">
      <alignment horizontal="center"/>
    </xf>
    <xf numFmtId="0" fontId="29" fillId="0" borderId="55" xfId="365" applyFont="1" applyBorder="1"/>
    <xf numFmtId="226" fontId="29" fillId="0" borderId="60" xfId="365" applyNumberFormat="1" applyFont="1" applyFill="1" applyBorder="1" applyAlignment="1">
      <alignment horizontal="center"/>
    </xf>
    <xf numFmtId="3" fontId="29" fillId="0" borderId="55" xfId="365" applyNumberFormat="1" applyFont="1" applyFill="1" applyBorder="1" applyAlignment="1">
      <alignment horizontal="center"/>
    </xf>
    <xf numFmtId="49" fontId="29" fillId="0" borderId="55" xfId="365" applyNumberFormat="1" applyFont="1" applyFill="1" applyBorder="1" applyAlignment="1">
      <alignment horizontal="center"/>
    </xf>
    <xf numFmtId="49" fontId="29" fillId="0" borderId="3" xfId="365" applyNumberFormat="1" applyFont="1" applyFill="1" applyBorder="1" applyAlignment="1">
      <alignment horizontal="center"/>
    </xf>
    <xf numFmtId="0" fontId="143" fillId="23" borderId="3" xfId="365" applyFont="1" applyFill="1" applyBorder="1" applyAlignment="1">
      <alignment horizontal="center"/>
    </xf>
    <xf numFmtId="0" fontId="143" fillId="23" borderId="3" xfId="365" applyFont="1" applyFill="1" applyBorder="1" applyAlignment="1"/>
    <xf numFmtId="3" fontId="143" fillId="23" borderId="3" xfId="218" applyNumberFormat="1" applyFont="1" applyFill="1" applyBorder="1" applyAlignment="1" applyProtection="1"/>
    <xf numFmtId="4" fontId="143" fillId="23" borderId="3" xfId="180" applyNumberFormat="1" applyFont="1" applyFill="1" applyBorder="1" applyAlignment="1" applyProtection="1">
      <alignment horizontal="right"/>
    </xf>
    <xf numFmtId="174" fontId="143" fillId="0" borderId="14" xfId="218" applyFont="1" applyFill="1" applyBorder="1" applyAlignment="1" applyProtection="1">
      <alignment horizontal="center"/>
    </xf>
    <xf numFmtId="0" fontId="143" fillId="23" borderId="3" xfId="365" applyFont="1" applyFill="1" applyBorder="1"/>
    <xf numFmtId="3" fontId="143" fillId="23" borderId="3" xfId="219" applyNumberFormat="1" applyFont="1" applyFill="1" applyBorder="1" applyAlignment="1" applyProtection="1">
      <alignment horizontal="right"/>
    </xf>
    <xf numFmtId="174" fontId="143" fillId="0" borderId="21" xfId="218" applyFont="1" applyFill="1" applyBorder="1" applyAlignment="1" applyProtection="1">
      <alignment horizontal="right"/>
    </xf>
    <xf numFmtId="0" fontId="143" fillId="23" borderId="3" xfId="365" applyFont="1" applyFill="1" applyBorder="1" applyAlignment="1">
      <alignment wrapText="1"/>
    </xf>
    <xf numFmtId="231" fontId="143" fillId="23" borderId="3" xfId="219" applyNumberFormat="1" applyFont="1" applyFill="1" applyBorder="1" applyAlignment="1" applyProtection="1">
      <alignment horizontal="right"/>
    </xf>
    <xf numFmtId="0" fontId="29" fillId="23" borderId="3" xfId="365" applyFont="1" applyFill="1" applyBorder="1" applyAlignment="1">
      <alignment horizontal="center"/>
    </xf>
    <xf numFmtId="0" fontId="29" fillId="23" borderId="3" xfId="365" applyFont="1" applyFill="1" applyBorder="1"/>
    <xf numFmtId="174" fontId="29" fillId="0" borderId="21" xfId="218" applyFont="1" applyFill="1" applyBorder="1" applyAlignment="1" applyProtection="1">
      <alignment horizontal="right"/>
    </xf>
    <xf numFmtId="0" fontId="149" fillId="23" borderId="3" xfId="365" applyFont="1" applyFill="1" applyBorder="1"/>
    <xf numFmtId="3" fontId="149" fillId="23" borderId="3" xfId="219" applyNumberFormat="1" applyFont="1" applyFill="1" applyBorder="1" applyAlignment="1" applyProtection="1">
      <alignment horizontal="right"/>
    </xf>
    <xf numFmtId="4" fontId="149" fillId="23" borderId="3" xfId="180" applyNumberFormat="1" applyFont="1" applyFill="1" applyBorder="1" applyAlignment="1" applyProtection="1">
      <alignment horizontal="right"/>
    </xf>
    <xf numFmtId="4" fontId="149" fillId="0" borderId="3" xfId="180" applyNumberFormat="1" applyFont="1" applyFill="1" applyBorder="1" applyAlignment="1" applyProtection="1">
      <alignment horizontal="right"/>
    </xf>
    <xf numFmtId="174" fontId="149" fillId="0" borderId="21" xfId="218" applyFont="1" applyFill="1" applyBorder="1" applyAlignment="1" applyProtection="1">
      <alignment horizontal="right"/>
    </xf>
    <xf numFmtId="0" fontId="29" fillId="23" borderId="3" xfId="365" applyFont="1" applyFill="1" applyBorder="1" applyAlignment="1">
      <alignment horizontal="right"/>
    </xf>
    <xf numFmtId="3" fontId="29" fillId="23" borderId="3" xfId="219" applyNumberFormat="1" applyFont="1" applyFill="1" applyBorder="1" applyAlignment="1" applyProtection="1">
      <alignment horizontal="right"/>
    </xf>
    <xf numFmtId="3" fontId="18" fillId="0" borderId="0" xfId="365" applyNumberFormat="1" applyFont="1" applyFill="1"/>
    <xf numFmtId="0" fontId="149" fillId="23" borderId="3" xfId="365" applyFont="1" applyFill="1" applyBorder="1" applyAlignment="1">
      <alignment horizontal="right"/>
    </xf>
    <xf numFmtId="3" fontId="130" fillId="0" borderId="0" xfId="365" applyNumberFormat="1" applyFont="1" applyFill="1"/>
    <xf numFmtId="0" fontId="130" fillId="0" borderId="0" xfId="365" applyFont="1" applyFill="1"/>
    <xf numFmtId="4" fontId="130" fillId="0" borderId="0" xfId="365" applyNumberFormat="1" applyFont="1" applyFill="1"/>
    <xf numFmtId="3" fontId="18" fillId="0" borderId="3" xfId="358" applyNumberFormat="1" applyFont="1" applyFill="1" applyBorder="1" applyAlignment="1">
      <alignment vertical="center" wrapText="1"/>
    </xf>
    <xf numFmtId="0" fontId="29" fillId="23" borderId="3" xfId="365" applyFont="1" applyFill="1" applyBorder="1" applyAlignment="1">
      <alignment wrapText="1"/>
    </xf>
    <xf numFmtId="235" fontId="18" fillId="0" borderId="0" xfId="365" applyNumberFormat="1" applyFont="1"/>
    <xf numFmtId="174" fontId="152" fillId="0" borderId="21" xfId="218" applyFont="1" applyFill="1" applyBorder="1" applyAlignment="1" applyProtection="1">
      <alignment horizontal="right"/>
    </xf>
    <xf numFmtId="0" fontId="155" fillId="0" borderId="0" xfId="365" applyFont="1"/>
    <xf numFmtId="3" fontId="155" fillId="0" borderId="0" xfId="365" applyNumberFormat="1" applyFont="1"/>
    <xf numFmtId="4" fontId="155" fillId="0" borderId="0" xfId="365" applyNumberFormat="1" applyFont="1"/>
    <xf numFmtId="0" fontId="155" fillId="0" borderId="0" xfId="365" applyFont="1" applyFill="1"/>
    <xf numFmtId="225" fontId="29" fillId="0" borderId="21" xfId="219" applyNumberFormat="1" applyFont="1" applyFill="1" applyBorder="1" applyAlignment="1" applyProtection="1">
      <alignment horizontal="right"/>
    </xf>
    <xf numFmtId="0" fontId="29" fillId="23" borderId="3" xfId="365" applyFont="1" applyFill="1" applyBorder="1" applyAlignment="1">
      <alignment horizontal="center" vertical="center"/>
    </xf>
    <xf numFmtId="225" fontId="29" fillId="23" borderId="3" xfId="219" applyNumberFormat="1" applyFont="1" applyFill="1" applyBorder="1" applyAlignment="1" applyProtection="1">
      <alignment horizontal="right"/>
    </xf>
    <xf numFmtId="174" fontId="143" fillId="0" borderId="0" xfId="219" applyNumberFormat="1" applyFont="1" applyFill="1" applyBorder="1" applyAlignment="1" applyProtection="1">
      <alignment horizontal="right"/>
    </xf>
    <xf numFmtId="174" fontId="18" fillId="0" borderId="0" xfId="365" applyNumberFormat="1" applyFont="1"/>
    <xf numFmtId="174" fontId="142" fillId="0" borderId="0" xfId="365" applyNumberFormat="1" applyFont="1"/>
    <xf numFmtId="4" fontId="70" fillId="0" borderId="0" xfId="365" applyNumberFormat="1" applyFont="1"/>
    <xf numFmtId="0" fontId="29" fillId="0" borderId="0" xfId="365" applyFont="1" applyBorder="1"/>
    <xf numFmtId="0" fontId="143" fillId="0" borderId="0" xfId="365" applyFont="1" applyBorder="1" applyAlignment="1">
      <alignment horizontal="center"/>
    </xf>
    <xf numFmtId="225" fontId="143" fillId="0" borderId="0" xfId="219" applyNumberFormat="1" applyFont="1" applyFill="1" applyBorder="1" applyAlignment="1" applyProtection="1">
      <alignment horizontal="right"/>
    </xf>
    <xf numFmtId="3" fontId="143" fillId="0" borderId="0" xfId="219" applyNumberFormat="1" applyFont="1" applyFill="1" applyBorder="1" applyAlignment="1" applyProtection="1">
      <alignment horizontal="right"/>
    </xf>
    <xf numFmtId="228" fontId="143" fillId="0" borderId="0" xfId="219" applyNumberFormat="1" applyFont="1" applyFill="1" applyBorder="1" applyAlignment="1" applyProtection="1">
      <alignment horizontal="right"/>
    </xf>
    <xf numFmtId="0" fontId="70" fillId="0" borderId="0" xfId="365" applyFont="1" applyBorder="1"/>
    <xf numFmtId="0" fontId="70" fillId="0" borderId="0" xfId="365" applyFont="1" applyBorder="1" applyAlignment="1">
      <alignment horizontal="center"/>
    </xf>
    <xf numFmtId="228" fontId="151" fillId="0" borderId="0" xfId="219" applyNumberFormat="1" applyFont="1" applyFill="1" applyBorder="1" applyAlignment="1" applyProtection="1">
      <alignment horizontal="right"/>
    </xf>
    <xf numFmtId="0" fontId="151" fillId="0" borderId="0" xfId="365" applyFont="1" applyBorder="1" applyAlignment="1">
      <alignment horizontal="center"/>
    </xf>
    <xf numFmtId="225" fontId="151" fillId="0" borderId="0" xfId="219" applyNumberFormat="1" applyFont="1" applyFill="1" applyBorder="1" applyAlignment="1" applyProtection="1">
      <alignment horizontal="right"/>
    </xf>
    <xf numFmtId="3" fontId="151" fillId="0" borderId="0" xfId="219" applyNumberFormat="1" applyFont="1" applyFill="1" applyBorder="1" applyAlignment="1" applyProtection="1">
      <alignment horizontal="right"/>
    </xf>
    <xf numFmtId="3" fontId="18" fillId="0" borderId="0" xfId="365" applyNumberFormat="1" applyFont="1" applyAlignment="1">
      <alignment horizontal="center"/>
    </xf>
    <xf numFmtId="228" fontId="146" fillId="0" borderId="0" xfId="365" applyNumberFormat="1" applyFont="1" applyFill="1" applyAlignment="1"/>
    <xf numFmtId="0" fontId="146" fillId="0" borderId="0" xfId="365" applyFont="1" applyFill="1" applyAlignment="1"/>
    <xf numFmtId="0" fontId="18" fillId="0" borderId="0" xfId="365" applyFont="1" applyFill="1" applyAlignment="1">
      <alignment horizontal="center"/>
    </xf>
    <xf numFmtId="0" fontId="18" fillId="0" borderId="0" xfId="365" applyFont="1" applyFill="1" applyAlignment="1"/>
    <xf numFmtId="0" fontId="142" fillId="0" borderId="0" xfId="365" applyFont="1" applyFill="1" applyAlignment="1">
      <alignment horizontal="center"/>
    </xf>
    <xf numFmtId="225" fontId="18" fillId="0" borderId="0" xfId="365" applyNumberFormat="1" applyFont="1" applyFill="1"/>
    <xf numFmtId="3" fontId="142" fillId="0" borderId="0" xfId="365" applyNumberFormat="1" applyFont="1" applyFill="1" applyAlignment="1">
      <alignment horizontal="center"/>
    </xf>
    <xf numFmtId="227" fontId="18" fillId="0" borderId="0" xfId="365" applyNumberFormat="1" applyFont="1"/>
    <xf numFmtId="4" fontId="18" fillId="0" borderId="0" xfId="365" applyNumberFormat="1" applyFont="1" applyFill="1"/>
    <xf numFmtId="0" fontId="70" fillId="0" borderId="0" xfId="362" applyFont="1"/>
    <xf numFmtId="0" fontId="18" fillId="0" borderId="0" xfId="363" applyFont="1" applyAlignment="1"/>
    <xf numFmtId="0" fontId="18" fillId="0" borderId="0" xfId="360" applyFont="1" applyAlignment="1"/>
    <xf numFmtId="0" fontId="18" fillId="0" borderId="0" xfId="360" applyFont="1"/>
    <xf numFmtId="3" fontId="18" fillId="0" borderId="0" xfId="360" applyNumberFormat="1" applyFont="1"/>
    <xf numFmtId="0" fontId="18" fillId="0" borderId="0" xfId="362" applyFont="1"/>
    <xf numFmtId="0" fontId="18" fillId="0" borderId="0" xfId="362" applyFont="1" applyFill="1"/>
    <xf numFmtId="0" fontId="142" fillId="0" borderId="0" xfId="362" applyFont="1"/>
    <xf numFmtId="0" fontId="130" fillId="0" borderId="0" xfId="0" applyFont="1" applyBorder="1" applyAlignment="1">
      <alignment horizontal="right"/>
    </xf>
    <xf numFmtId="226" fontId="18" fillId="0" borderId="0" xfId="0" applyNumberFormat="1" applyFont="1"/>
    <xf numFmtId="0" fontId="0" fillId="0" borderId="0" xfId="0" applyAlignment="1">
      <alignment horizontal="center"/>
    </xf>
    <xf numFmtId="0" fontId="18" fillId="0" borderId="0" xfId="0" applyFont="1" applyAlignment="1"/>
    <xf numFmtId="0" fontId="69" fillId="0" borderId="0" xfId="0" applyFont="1" applyAlignment="1">
      <alignment horizontal="center"/>
    </xf>
    <xf numFmtId="0" fontId="69" fillId="0" borderId="0" xfId="0" applyFont="1"/>
    <xf numFmtId="0" fontId="146" fillId="0" borderId="0" xfId="0" applyFont="1" applyAlignment="1">
      <alignment horizontal="right"/>
    </xf>
    <xf numFmtId="0" fontId="156" fillId="0" borderId="0" xfId="0" applyFont="1"/>
    <xf numFmtId="0" fontId="18" fillId="0" borderId="3" xfId="0" applyFont="1" applyBorder="1" applyAlignment="1">
      <alignment horizontal="center" vertical="center"/>
    </xf>
    <xf numFmtId="0" fontId="157" fillId="0" borderId="0" xfId="0" applyFont="1"/>
    <xf numFmtId="0" fontId="68" fillId="0" borderId="0" xfId="0" applyFont="1"/>
    <xf numFmtId="225" fontId="143" fillId="0" borderId="21" xfId="219" applyNumberFormat="1" applyFont="1" applyFill="1" applyBorder="1" applyAlignment="1" applyProtection="1">
      <alignment horizontal="right"/>
    </xf>
    <xf numFmtId="237" fontId="130" fillId="0" borderId="57" xfId="0" applyNumberFormat="1" applyFont="1" applyBorder="1" applyAlignment="1">
      <alignment horizontal="right"/>
    </xf>
    <xf numFmtId="0" fontId="130" fillId="0" borderId="57" xfId="0" applyFont="1" applyBorder="1" applyAlignment="1">
      <alignment horizontal="right"/>
    </xf>
    <xf numFmtId="0" fontId="142" fillId="0" borderId="55" xfId="0" applyFont="1" applyBorder="1" applyAlignment="1">
      <alignment horizontal="center" vertical="center"/>
    </xf>
    <xf numFmtId="0" fontId="18" fillId="0" borderId="3" xfId="0" applyFont="1" applyBorder="1" applyAlignment="1">
      <alignment horizontal="center" wrapText="1"/>
    </xf>
    <xf numFmtId="0" fontId="151" fillId="0" borderId="3" xfId="0" applyFont="1" applyBorder="1" applyAlignment="1">
      <alignment horizontal="left"/>
    </xf>
    <xf numFmtId="237" fontId="18" fillId="0" borderId="3" xfId="0" applyNumberFormat="1" applyFont="1" applyBorder="1"/>
    <xf numFmtId="237" fontId="130" fillId="0" borderId="3" xfId="0" applyNumberFormat="1" applyFont="1" applyBorder="1"/>
    <xf numFmtId="0" fontId="151" fillId="0" borderId="55" xfId="0" applyFont="1" applyBorder="1" applyAlignment="1">
      <alignment horizontal="left"/>
    </xf>
    <xf numFmtId="237" fontId="142" fillId="0" borderId="3" xfId="0" applyNumberFormat="1" applyFont="1" applyBorder="1"/>
    <xf numFmtId="237" fontId="130" fillId="0" borderId="3" xfId="0" applyNumberFormat="1" applyFont="1" applyBorder="1" applyAlignment="1"/>
    <xf numFmtId="0" fontId="142" fillId="0" borderId="3" xfId="0" applyFont="1" applyBorder="1"/>
    <xf numFmtId="237" fontId="18" fillId="0" borderId="3" xfId="0" applyNumberFormat="1" applyFont="1" applyBorder="1" applyAlignment="1"/>
    <xf numFmtId="237" fontId="142" fillId="0" borderId="3" xfId="0" applyNumberFormat="1" applyFont="1" applyFill="1" applyBorder="1"/>
    <xf numFmtId="0" fontId="18" fillId="0" borderId="3" xfId="0" applyFont="1" applyBorder="1"/>
    <xf numFmtId="0" fontId="18" fillId="0" borderId="25" xfId="0" applyFont="1" applyBorder="1"/>
    <xf numFmtId="0" fontId="18" fillId="0" borderId="0" xfId="0" applyFont="1" applyBorder="1"/>
    <xf numFmtId="237" fontId="142" fillId="0" borderId="0" xfId="0" applyNumberFormat="1" applyFont="1" applyBorder="1"/>
    <xf numFmtId="237" fontId="18" fillId="0" borderId="0" xfId="0" applyNumberFormat="1" applyFont="1" applyBorder="1"/>
    <xf numFmtId="237" fontId="130" fillId="0" borderId="0" xfId="0" applyNumberFormat="1" applyFont="1" applyBorder="1"/>
    <xf numFmtId="0" fontId="18" fillId="0" borderId="0" xfId="0" applyFont="1" applyFill="1" applyAlignment="1">
      <alignment horizontal="right"/>
    </xf>
    <xf numFmtId="0" fontId="18" fillId="0" borderId="3" xfId="0" applyFont="1" applyBorder="1" applyAlignment="1">
      <alignment horizontal="center" vertical="center" wrapText="1"/>
    </xf>
    <xf numFmtId="239" fontId="142" fillId="0" borderId="14" xfId="0" applyNumberFormat="1" applyFont="1" applyBorder="1"/>
    <xf numFmtId="226" fontId="142" fillId="0" borderId="14" xfId="218" applyNumberFormat="1" applyFont="1" applyFill="1" applyBorder="1" applyAlignment="1" applyProtection="1"/>
    <xf numFmtId="239" fontId="142" fillId="0" borderId="21" xfId="0" applyNumberFormat="1" applyFont="1" applyBorder="1"/>
    <xf numFmtId="226" fontId="142" fillId="0" borderId="21" xfId="218" applyNumberFormat="1" applyFont="1" applyFill="1" applyBorder="1" applyAlignment="1" applyProtection="1"/>
    <xf numFmtId="0" fontId="130" fillId="0" borderId="21" xfId="0" applyFont="1" applyBorder="1"/>
    <xf numFmtId="0" fontId="155" fillId="0" borderId="0" xfId="0" applyFont="1"/>
    <xf numFmtId="239" fontId="18" fillId="0" borderId="21" xfId="0" applyNumberFormat="1" applyFont="1" applyBorder="1"/>
    <xf numFmtId="226" fontId="18" fillId="0" borderId="21" xfId="218" applyNumberFormat="1" applyFont="1" applyFill="1" applyBorder="1" applyAlignment="1" applyProtection="1"/>
    <xf numFmtId="239" fontId="18" fillId="0" borderId="42" xfId="0" applyNumberFormat="1" applyFont="1" applyBorder="1"/>
    <xf numFmtId="226" fontId="18" fillId="0" borderId="42" xfId="218" applyNumberFormat="1" applyFont="1" applyFill="1" applyBorder="1" applyAlignment="1" applyProtection="1"/>
    <xf numFmtId="0" fontId="130" fillId="0" borderId="42" xfId="0" applyFont="1" applyBorder="1"/>
    <xf numFmtId="239" fontId="142" fillId="0" borderId="42" xfId="0" applyNumberFormat="1" applyFont="1" applyBorder="1"/>
    <xf numFmtId="226" fontId="142" fillId="0" borderId="42" xfId="218" applyNumberFormat="1" applyFont="1" applyFill="1" applyBorder="1" applyAlignment="1" applyProtection="1"/>
    <xf numFmtId="0" fontId="142" fillId="0" borderId="42" xfId="0" applyFont="1" applyBorder="1"/>
    <xf numFmtId="0" fontId="155" fillId="0" borderId="42" xfId="0" applyFont="1" applyBorder="1"/>
    <xf numFmtId="239" fontId="18" fillId="0" borderId="45" xfId="0" applyNumberFormat="1" applyFont="1" applyBorder="1"/>
    <xf numFmtId="226" fontId="18" fillId="0" borderId="45" xfId="218" applyNumberFormat="1" applyFont="1" applyFill="1" applyBorder="1" applyAlignment="1" applyProtection="1"/>
    <xf numFmtId="0" fontId="130" fillId="0" borderId="45" xfId="0" applyFont="1" applyBorder="1"/>
    <xf numFmtId="239" fontId="130" fillId="0" borderId="0" xfId="0" applyNumberFormat="1" applyFont="1" applyBorder="1"/>
    <xf numFmtId="226" fontId="18" fillId="0" borderId="0" xfId="218" applyNumberFormat="1" applyFont="1" applyFill="1" applyBorder="1" applyAlignment="1" applyProtection="1"/>
    <xf numFmtId="0" fontId="130" fillId="0" borderId="0" xfId="0" applyFont="1" applyBorder="1"/>
    <xf numFmtId="0" fontId="142" fillId="0" borderId="25" xfId="0" applyFont="1" applyBorder="1" applyAlignment="1">
      <alignment horizontal="center" vertical="center"/>
    </xf>
    <xf numFmtId="229" fontId="130" fillId="0" borderId="0" xfId="0" applyNumberFormat="1" applyFont="1"/>
    <xf numFmtId="229" fontId="142" fillId="0" borderId="0" xfId="0" applyNumberFormat="1" applyFont="1"/>
    <xf numFmtId="239" fontId="18" fillId="0" borderId="0" xfId="0" applyNumberFormat="1" applyFont="1" applyBorder="1"/>
    <xf numFmtId="239" fontId="18" fillId="0" borderId="0" xfId="218" applyNumberFormat="1" applyFont="1" applyFill="1" applyBorder="1" applyAlignment="1" applyProtection="1"/>
    <xf numFmtId="0" fontId="149" fillId="0" borderId="0" xfId="0" applyFont="1" applyBorder="1"/>
    <xf numFmtId="228" fontId="147" fillId="0" borderId="0" xfId="219" applyNumberFormat="1" applyFont="1" applyFill="1" applyBorder="1" applyAlignment="1" applyProtection="1">
      <alignment horizontal="right"/>
    </xf>
    <xf numFmtId="0" fontId="18" fillId="35" borderId="0" xfId="365" applyFont="1" applyFill="1"/>
    <xf numFmtId="183" fontId="18" fillId="35" borderId="0" xfId="365" applyNumberFormat="1" applyFont="1" applyFill="1"/>
    <xf numFmtId="231" fontId="143" fillId="0" borderId="3" xfId="219" applyNumberFormat="1" applyFont="1" applyFill="1" applyBorder="1" applyAlignment="1" applyProtection="1">
      <alignment horizontal="right"/>
    </xf>
    <xf numFmtId="4" fontId="155" fillId="0" borderId="0" xfId="365" applyNumberFormat="1" applyFont="1" applyFill="1"/>
    <xf numFmtId="0" fontId="149" fillId="0" borderId="3" xfId="365" applyFont="1" applyFill="1" applyBorder="1"/>
    <xf numFmtId="3" fontId="149" fillId="0" borderId="3" xfId="219" applyNumberFormat="1" applyFont="1" applyFill="1" applyBorder="1" applyAlignment="1" applyProtection="1">
      <alignment horizontal="right"/>
    </xf>
    <xf numFmtId="3" fontId="167" fillId="0" borderId="67" xfId="0" applyNumberFormat="1" applyFont="1" applyBorder="1"/>
    <xf numFmtId="231" fontId="18" fillId="0" borderId="3" xfId="0" applyNumberFormat="1" applyFont="1" applyFill="1" applyBorder="1"/>
    <xf numFmtId="231" fontId="18" fillId="0" borderId="3" xfId="0" applyNumberFormat="1" applyFont="1" applyBorder="1"/>
    <xf numFmtId="231" fontId="142" fillId="0" borderId="3" xfId="0" applyNumberFormat="1" applyFont="1" applyBorder="1"/>
    <xf numFmtId="231" fontId="158" fillId="0" borderId="3" xfId="0" applyNumberFormat="1" applyFont="1" applyBorder="1"/>
    <xf numFmtId="231" fontId="145" fillId="0" borderId="3" xfId="0" applyNumberFormat="1" applyFont="1" applyBorder="1"/>
    <xf numFmtId="231" fontId="142" fillId="0" borderId="3" xfId="0" applyNumberFormat="1" applyFont="1" applyFill="1" applyBorder="1"/>
    <xf numFmtId="231" fontId="145" fillId="0" borderId="3" xfId="0" applyNumberFormat="1" applyFont="1" applyFill="1" applyBorder="1"/>
    <xf numFmtId="231" fontId="18" fillId="0" borderId="25" xfId="0" applyNumberFormat="1" applyFont="1" applyBorder="1"/>
    <xf numFmtId="231" fontId="145" fillId="0" borderId="25" xfId="0" applyNumberFormat="1" applyFont="1" applyBorder="1"/>
    <xf numFmtId="231" fontId="130" fillId="0" borderId="3" xfId="0" applyNumberFormat="1" applyFont="1" applyBorder="1"/>
    <xf numFmtId="231" fontId="18" fillId="0" borderId="3" xfId="0" applyNumberFormat="1" applyFont="1" applyBorder="1" applyAlignment="1">
      <alignment horizontal="center" vertical="center"/>
    </xf>
    <xf numFmtId="231" fontId="168" fillId="0" borderId="3" xfId="0" applyNumberFormat="1" applyFont="1" applyBorder="1"/>
    <xf numFmtId="0" fontId="164" fillId="35" borderId="0" xfId="0" applyFont="1" applyFill="1"/>
    <xf numFmtId="0" fontId="18" fillId="0" borderId="3" xfId="0" applyFont="1" applyBorder="1" applyAlignment="1">
      <alignment horizontal="center" vertical="center"/>
    </xf>
    <xf numFmtId="0" fontId="130" fillId="0" borderId="67" xfId="0" applyFont="1" applyBorder="1"/>
    <xf numFmtId="0" fontId="143" fillId="0" borderId="71" xfId="0" applyFont="1" applyBorder="1" applyAlignment="1">
      <alignment horizontal="center"/>
    </xf>
    <xf numFmtId="237" fontId="142" fillId="0" borderId="58" xfId="0" applyNumberFormat="1" applyFont="1" applyBorder="1" applyAlignment="1">
      <alignment horizontal="center"/>
    </xf>
    <xf numFmtId="237" fontId="142" fillId="0" borderId="25" xfId="0" applyNumberFormat="1" applyFont="1" applyBorder="1" applyAlignment="1">
      <alignment horizontal="center"/>
    </xf>
    <xf numFmtId="0" fontId="142" fillId="0" borderId="25" xfId="0" applyFont="1" applyBorder="1" applyAlignment="1">
      <alignment horizontal="center"/>
    </xf>
    <xf numFmtId="0" fontId="162" fillId="0" borderId="67" xfId="0" applyFont="1" applyBorder="1" applyAlignment="1">
      <alignment horizontal="center"/>
    </xf>
    <xf numFmtId="239" fontId="142" fillId="0" borderId="67" xfId="0" applyNumberFormat="1" applyFont="1" applyBorder="1"/>
    <xf numFmtId="239" fontId="142" fillId="0" borderId="67" xfId="218" applyNumberFormat="1" applyFont="1" applyFill="1" applyBorder="1" applyAlignment="1" applyProtection="1"/>
    <xf numFmtId="239" fontId="18" fillId="0" borderId="67" xfId="0" applyNumberFormat="1" applyFont="1" applyBorder="1"/>
    <xf numFmtId="239" fontId="18" fillId="0" borderId="67" xfId="218" applyNumberFormat="1" applyFont="1" applyFill="1" applyBorder="1" applyAlignment="1" applyProtection="1"/>
    <xf numFmtId="239" fontId="130" fillId="0" borderId="67" xfId="0" applyNumberFormat="1" applyFont="1" applyBorder="1"/>
    <xf numFmtId="239" fontId="130" fillId="0" borderId="67" xfId="218" applyNumberFormat="1" applyFont="1" applyFill="1" applyBorder="1" applyAlignment="1" applyProtection="1"/>
    <xf numFmtId="239" fontId="130" fillId="0" borderId="67" xfId="0" applyNumberFormat="1" applyFont="1" applyBorder="1" applyAlignment="1">
      <alignment wrapText="1"/>
    </xf>
    <xf numFmtId="239" fontId="18" fillId="0" borderId="67" xfId="0" applyNumberFormat="1" applyFont="1" applyBorder="1" applyAlignment="1">
      <alignment wrapText="1"/>
    </xf>
    <xf numFmtId="184" fontId="18" fillId="0" borderId="67" xfId="218" applyNumberFormat="1" applyFont="1" applyFill="1" applyBorder="1" applyAlignment="1" applyProtection="1"/>
    <xf numFmtId="239" fontId="149" fillId="0" borderId="67" xfId="0" applyNumberFormat="1" applyFont="1" applyBorder="1"/>
    <xf numFmtId="0" fontId="149" fillId="0" borderId="67" xfId="0" applyFont="1" applyBorder="1"/>
    <xf numFmtId="0" fontId="142" fillId="0" borderId="71" xfId="0" applyFont="1" applyBorder="1" applyAlignment="1">
      <alignment horizontal="center" vertical="center"/>
    </xf>
    <xf numFmtId="0" fontId="155" fillId="0" borderId="25" xfId="0" applyFont="1" applyBorder="1" applyAlignment="1">
      <alignment horizontal="center" vertical="center"/>
    </xf>
    <xf numFmtId="0" fontId="18" fillId="0" borderId="55" xfId="0" applyFont="1" applyBorder="1" applyAlignment="1">
      <alignment horizontal="center" wrapText="1"/>
    </xf>
    <xf numFmtId="0" fontId="18" fillId="35" borderId="0" xfId="0" applyFont="1" applyFill="1"/>
    <xf numFmtId="4" fontId="18" fillId="35" borderId="0" xfId="365" applyNumberFormat="1" applyFont="1" applyFill="1"/>
    <xf numFmtId="0" fontId="162" fillId="0" borderId="0" xfId="0" applyFont="1" applyAlignment="1">
      <alignment horizontal="right"/>
    </xf>
    <xf numFmtId="4" fontId="18" fillId="0" borderId="0" xfId="0" applyNumberFormat="1" applyFont="1" applyBorder="1" applyAlignment="1">
      <alignment horizontal="center"/>
    </xf>
    <xf numFmtId="4" fontId="142" fillId="0" borderId="0" xfId="0" applyNumberFormat="1" applyFont="1" applyAlignment="1">
      <alignment horizontal="center"/>
    </xf>
    <xf numFmtId="4" fontId="18" fillId="35" borderId="0" xfId="0" applyNumberFormat="1" applyFont="1" applyFill="1"/>
    <xf numFmtId="4" fontId="159" fillId="0" borderId="0" xfId="0" applyNumberFormat="1" applyFont="1" applyAlignment="1">
      <alignment horizontal="center"/>
    </xf>
    <xf numFmtId="43" fontId="18" fillId="0" borderId="0" xfId="365" applyNumberFormat="1" applyFont="1" applyAlignment="1">
      <alignment horizontal="center"/>
    </xf>
    <xf numFmtId="0" fontId="133" fillId="0" borderId="70" xfId="0" applyFont="1" applyBorder="1" applyAlignment="1">
      <alignment horizontal="center" vertical="center" wrapText="1"/>
    </xf>
    <xf numFmtId="0" fontId="133" fillId="0" borderId="42" xfId="0" applyFont="1" applyBorder="1" applyAlignment="1">
      <alignment vertical="center" wrapText="1"/>
    </xf>
    <xf numFmtId="4" fontId="133" fillId="0" borderId="42" xfId="180" applyNumberFormat="1" applyFont="1" applyFill="1" applyBorder="1" applyAlignment="1" applyProtection="1">
      <alignment vertical="center" wrapText="1"/>
    </xf>
    <xf numFmtId="4" fontId="133" fillId="0" borderId="43" xfId="180" applyNumberFormat="1" applyFont="1" applyFill="1" applyBorder="1" applyAlignment="1" applyProtection="1">
      <alignment vertical="center" wrapText="1"/>
    </xf>
    <xf numFmtId="0" fontId="133" fillId="0" borderId="21" xfId="0" quotePrefix="1" applyFont="1" applyBorder="1"/>
    <xf numFmtId="0" fontId="176" fillId="0" borderId="0" xfId="0" applyFont="1"/>
    <xf numFmtId="0" fontId="176" fillId="0" borderId="67" xfId="0" applyFont="1" applyBorder="1" applyAlignment="1">
      <alignment horizontal="center" vertical="center"/>
    </xf>
    <xf numFmtId="0" fontId="176" fillId="0" borderId="67" xfId="0" applyFont="1" applyBorder="1" applyAlignment="1">
      <alignment horizontal="center"/>
    </xf>
    <xf numFmtId="0" fontId="176" fillId="0" borderId="67" xfId="0" applyFont="1" applyBorder="1"/>
    <xf numFmtId="0" fontId="176" fillId="0" borderId="67" xfId="0" quotePrefix="1" applyFont="1" applyBorder="1"/>
    <xf numFmtId="0" fontId="182" fillId="0" borderId="0" xfId="0" applyFont="1" applyAlignment="1">
      <alignment horizontal="center"/>
    </xf>
    <xf numFmtId="3" fontId="176" fillId="0" borderId="67" xfId="0" applyNumberFormat="1" applyFont="1" applyBorder="1"/>
    <xf numFmtId="0" fontId="176" fillId="0" borderId="67" xfId="0" applyFont="1" applyBorder="1" applyAlignment="1">
      <alignment vertical="center" wrapText="1"/>
    </xf>
    <xf numFmtId="3" fontId="130" fillId="0" borderId="0" xfId="0" applyNumberFormat="1" applyFont="1" applyFill="1" applyBorder="1"/>
    <xf numFmtId="0" fontId="29" fillId="0" borderId="3" xfId="365" applyFont="1" applyFill="1" applyBorder="1" applyAlignment="1">
      <alignment horizontal="center"/>
    </xf>
    <xf numFmtId="0" fontId="18" fillId="0" borderId="0" xfId="365" applyFont="1" applyAlignment="1">
      <alignment horizontal="right"/>
    </xf>
    <xf numFmtId="3" fontId="143" fillId="0" borderId="3" xfId="219" applyNumberFormat="1" applyFont="1" applyFill="1" applyBorder="1" applyAlignment="1" applyProtection="1">
      <alignment horizontal="right"/>
    </xf>
    <xf numFmtId="3" fontId="143" fillId="23" borderId="3" xfId="180" applyNumberFormat="1" applyFont="1" applyFill="1" applyBorder="1" applyAlignment="1" applyProtection="1">
      <alignment horizontal="right"/>
    </xf>
    <xf numFmtId="3" fontId="29" fillId="23" borderId="3" xfId="180" applyNumberFormat="1" applyFont="1" applyFill="1" applyBorder="1" applyAlignment="1" applyProtection="1">
      <alignment horizontal="right"/>
    </xf>
    <xf numFmtId="4" fontId="149" fillId="34" borderId="3" xfId="180" applyNumberFormat="1" applyFont="1" applyFill="1" applyBorder="1" applyAlignment="1" applyProtection="1">
      <alignment horizontal="right"/>
    </xf>
    <xf numFmtId="4" fontId="138" fillId="23" borderId="3" xfId="180" applyNumberFormat="1" applyFont="1" applyFill="1" applyBorder="1" applyAlignment="1" applyProtection="1">
      <alignment horizontal="right"/>
    </xf>
    <xf numFmtId="3" fontId="143" fillId="23" borderId="3" xfId="365" applyNumberFormat="1" applyFont="1" applyFill="1" applyBorder="1"/>
    <xf numFmtId="3" fontId="29" fillId="0" borderId="3" xfId="219" applyNumberFormat="1" applyFont="1" applyFill="1" applyBorder="1" applyAlignment="1" applyProtection="1">
      <alignment horizontal="right"/>
    </xf>
    <xf numFmtId="4" fontId="143" fillId="0" borderId="0" xfId="180" applyNumberFormat="1" applyFont="1" applyFill="1" applyBorder="1" applyAlignment="1" applyProtection="1">
      <alignment horizontal="right"/>
    </xf>
    <xf numFmtId="1" fontId="18" fillId="0" borderId="0" xfId="0" applyNumberFormat="1" applyFont="1" applyFill="1" applyAlignment="1">
      <alignment horizontal="right"/>
    </xf>
    <xf numFmtId="0" fontId="162" fillId="0" borderId="0" xfId="0" applyFont="1" applyAlignment="1">
      <alignment horizontal="center"/>
    </xf>
    <xf numFmtId="0" fontId="161" fillId="0" borderId="0" xfId="0" applyFont="1"/>
    <xf numFmtId="0" fontId="168" fillId="0" borderId="0" xfId="523" applyFont="1"/>
    <xf numFmtId="0" fontId="185" fillId="0" borderId="0" xfId="523" applyFont="1" applyAlignment="1">
      <alignment horizontal="right"/>
    </xf>
    <xf numFmtId="0" fontId="174" fillId="0" borderId="0" xfId="523" applyFont="1" applyAlignment="1">
      <alignment horizontal="center"/>
    </xf>
    <xf numFmtId="3" fontId="168" fillId="0" borderId="0" xfId="523" applyNumberFormat="1" applyFont="1"/>
    <xf numFmtId="0" fontId="187" fillId="0" borderId="0" xfId="523" applyFont="1" applyAlignment="1">
      <alignment horizontal="right"/>
    </xf>
    <xf numFmtId="0" fontId="189" fillId="0" borderId="67" xfId="523" applyFont="1" applyBorder="1" applyAlignment="1">
      <alignment horizontal="center" vertical="center" wrapText="1"/>
    </xf>
    <xf numFmtId="0" fontId="188" fillId="0" borderId="67" xfId="523" applyFont="1" applyFill="1" applyBorder="1" applyAlignment="1">
      <alignment horizontal="center" vertical="center" wrapText="1"/>
    </xf>
    <xf numFmtId="0" fontId="189" fillId="0" borderId="67" xfId="523" quotePrefix="1" applyFont="1" applyBorder="1" applyAlignment="1">
      <alignment horizontal="center" vertical="center" wrapText="1"/>
    </xf>
    <xf numFmtId="0" fontId="189" fillId="0" borderId="67" xfId="523" applyFont="1" applyFill="1" applyBorder="1" applyAlignment="1">
      <alignment horizontal="left" vertical="center" wrapText="1"/>
    </xf>
    <xf numFmtId="2" fontId="189" fillId="0" borderId="67" xfId="523" applyNumberFormat="1" applyFont="1" applyBorder="1" applyAlignment="1">
      <alignment vertical="center" wrapText="1"/>
    </xf>
    <xf numFmtId="0" fontId="189" fillId="0" borderId="67" xfId="523" applyFont="1" applyBorder="1" applyAlignment="1">
      <alignment horizontal="left" vertical="center" wrapText="1"/>
    </xf>
    <xf numFmtId="0" fontId="189" fillId="0" borderId="67" xfId="523" quotePrefix="1" applyFont="1" applyFill="1" applyBorder="1" applyAlignment="1">
      <alignment horizontal="center" vertical="center" wrapText="1"/>
    </xf>
    <xf numFmtId="0" fontId="185" fillId="0" borderId="0" xfId="523" applyFont="1" applyFill="1" applyBorder="1" applyAlignment="1">
      <alignment horizontal="center" vertical="center" wrapText="1"/>
    </xf>
    <xf numFmtId="1" fontId="143" fillId="35" borderId="21" xfId="0" applyNumberFormat="1" applyFont="1" applyFill="1" applyBorder="1"/>
    <xf numFmtId="4" fontId="143" fillId="35" borderId="21" xfId="180" applyNumberFormat="1" applyFont="1" applyFill="1" applyBorder="1" applyAlignment="1" applyProtection="1"/>
    <xf numFmtId="4" fontId="143" fillId="35" borderId="21" xfId="180" applyNumberFormat="1" applyFont="1" applyFill="1" applyBorder="1" applyAlignment="1" applyProtection="1">
      <alignment horizontal="right"/>
    </xf>
    <xf numFmtId="4" fontId="29" fillId="35" borderId="21" xfId="180" applyNumberFormat="1" applyFont="1" applyFill="1" applyBorder="1" applyAlignment="1" applyProtection="1"/>
    <xf numFmtId="223" fontId="143" fillId="35" borderId="0" xfId="180" applyFont="1" applyFill="1" applyBorder="1" applyAlignment="1" applyProtection="1"/>
    <xf numFmtId="0" fontId="142" fillId="35" borderId="0" xfId="0" applyFont="1" applyFill="1"/>
    <xf numFmtId="1" fontId="29" fillId="35" borderId="21" xfId="0" applyNumberFormat="1" applyFont="1" applyFill="1" applyBorder="1"/>
    <xf numFmtId="231" fontId="29" fillId="35" borderId="21" xfId="180" applyNumberFormat="1" applyFont="1" applyFill="1" applyBorder="1" applyAlignment="1" applyProtection="1"/>
    <xf numFmtId="223" fontId="29" fillId="35" borderId="0" xfId="180" applyFont="1" applyFill="1" applyBorder="1" applyAlignment="1" applyProtection="1"/>
    <xf numFmtId="1" fontId="149" fillId="35" borderId="21" xfId="0" applyNumberFormat="1" applyFont="1" applyFill="1" applyBorder="1"/>
    <xf numFmtId="4" fontId="149" fillId="35" borderId="21" xfId="180" applyNumberFormat="1" applyFont="1" applyFill="1" applyBorder="1" applyAlignment="1" applyProtection="1"/>
    <xf numFmtId="4" fontId="29" fillId="35" borderId="21" xfId="180" applyNumberFormat="1" applyFont="1" applyFill="1" applyBorder="1" applyAlignment="1" applyProtection="1">
      <alignment horizontal="right"/>
    </xf>
    <xf numFmtId="39" fontId="29" fillId="0" borderId="21" xfId="180" applyNumberFormat="1" applyFont="1" applyFill="1" applyBorder="1" applyAlignment="1" applyProtection="1"/>
    <xf numFmtId="231" fontId="143" fillId="0" borderId="21" xfId="180" applyNumberFormat="1" applyFont="1" applyFill="1" applyBorder="1" applyAlignment="1" applyProtection="1"/>
    <xf numFmtId="4" fontId="191" fillId="0" borderId="3" xfId="180" applyNumberFormat="1" applyFont="1" applyFill="1" applyBorder="1" applyAlignment="1" applyProtection="1">
      <alignment horizontal="right"/>
    </xf>
    <xf numFmtId="4" fontId="191" fillId="23" borderId="3" xfId="180" applyNumberFormat="1" applyFont="1" applyFill="1" applyBorder="1" applyAlignment="1" applyProtection="1">
      <alignment horizontal="right"/>
    </xf>
    <xf numFmtId="4" fontId="192" fillId="0" borderId="3" xfId="180" applyNumberFormat="1" applyFont="1" applyFill="1" applyBorder="1" applyAlignment="1" applyProtection="1">
      <alignment horizontal="right"/>
    </xf>
    <xf numFmtId="43" fontId="18" fillId="0" borderId="0" xfId="365" applyNumberFormat="1" applyFont="1"/>
    <xf numFmtId="188" fontId="29" fillId="0" borderId="0" xfId="365" applyNumberFormat="1" applyFont="1" applyFill="1" applyAlignment="1">
      <alignment horizontal="center"/>
    </xf>
    <xf numFmtId="0" fontId="29" fillId="0" borderId="61" xfId="365" applyFont="1" applyFill="1" applyBorder="1" applyAlignment="1">
      <alignment horizontal="center"/>
    </xf>
    <xf numFmtId="225" fontId="18" fillId="0" borderId="0" xfId="365" applyNumberFormat="1" applyFont="1" applyFill="1" applyAlignment="1"/>
    <xf numFmtId="0" fontId="142" fillId="0" borderId="0" xfId="0" applyFont="1" applyAlignment="1">
      <alignment horizontal="center"/>
    </xf>
    <xf numFmtId="3" fontId="142" fillId="0" borderId="0" xfId="0" applyNumberFormat="1" applyFont="1" applyAlignment="1">
      <alignment horizontal="center"/>
    </xf>
    <xf numFmtId="0" fontId="18" fillId="0" borderId="38" xfId="0" applyFont="1" applyBorder="1"/>
    <xf numFmtId="0" fontId="18" fillId="0" borderId="21" xfId="0" applyFont="1" applyBorder="1"/>
    <xf numFmtId="0" fontId="18" fillId="0" borderId="39" xfId="0" applyFont="1" applyBorder="1"/>
    <xf numFmtId="225" fontId="18" fillId="0" borderId="0" xfId="365" applyNumberFormat="1" applyFont="1" applyAlignment="1">
      <alignment horizontal="center"/>
    </xf>
    <xf numFmtId="225" fontId="29" fillId="0" borderId="0" xfId="219" applyNumberFormat="1" applyFont="1" applyFill="1" applyBorder="1" applyAlignment="1" applyProtection="1">
      <alignment horizontal="right"/>
    </xf>
    <xf numFmtId="225" fontId="143" fillId="0" borderId="3" xfId="219" applyNumberFormat="1" applyFont="1" applyFill="1" applyBorder="1" applyAlignment="1" applyProtection="1">
      <alignment horizontal="right"/>
    </xf>
    <xf numFmtId="225" fontId="29" fillId="0" borderId="3" xfId="219" applyNumberFormat="1" applyFont="1" applyFill="1" applyBorder="1" applyAlignment="1" applyProtection="1">
      <alignment horizontal="right"/>
    </xf>
    <xf numFmtId="225" fontId="149" fillId="0" borderId="3" xfId="219" applyNumberFormat="1" applyFont="1" applyFill="1" applyBorder="1" applyAlignment="1" applyProtection="1">
      <alignment horizontal="right"/>
    </xf>
    <xf numFmtId="3" fontId="142" fillId="0" borderId="3" xfId="358" applyNumberFormat="1" applyFont="1" applyFill="1" applyBorder="1" applyAlignment="1">
      <alignment vertical="center" wrapText="1"/>
    </xf>
    <xf numFmtId="3" fontId="143" fillId="0" borderId="3" xfId="365" applyNumberFormat="1" applyFont="1" applyFill="1" applyBorder="1"/>
    <xf numFmtId="3" fontId="29" fillId="0" borderId="3" xfId="180" applyNumberFormat="1" applyFont="1" applyFill="1" applyBorder="1" applyAlignment="1" applyProtection="1">
      <alignment horizontal="right"/>
    </xf>
    <xf numFmtId="3" fontId="29" fillId="0" borderId="3" xfId="365" applyNumberFormat="1" applyFont="1" applyFill="1" applyBorder="1"/>
    <xf numFmtId="4" fontId="142" fillId="35" borderId="0" xfId="0" applyNumberFormat="1" applyFont="1" applyFill="1"/>
    <xf numFmtId="3" fontId="142" fillId="35" borderId="0" xfId="0" applyNumberFormat="1" applyFont="1" applyFill="1" applyAlignment="1">
      <alignment horizontal="center"/>
    </xf>
    <xf numFmtId="3" fontId="18" fillId="0" borderId="0" xfId="0" applyNumberFormat="1" applyFont="1" applyFill="1"/>
    <xf numFmtId="39" fontId="18" fillId="0" borderId="0" xfId="0" applyNumberFormat="1" applyFont="1" applyFill="1"/>
    <xf numFmtId="4" fontId="143" fillId="0" borderId="89" xfId="180" applyNumberFormat="1" applyFont="1" applyFill="1" applyBorder="1" applyAlignment="1" applyProtection="1"/>
    <xf numFmtId="0" fontId="18" fillId="0" borderId="0" xfId="0" applyFont="1" applyFill="1" applyBorder="1"/>
    <xf numFmtId="0" fontId="18" fillId="35" borderId="0" xfId="0" applyFont="1" applyFill="1" applyBorder="1"/>
    <xf numFmtId="0" fontId="143" fillId="0" borderId="3" xfId="365" applyFont="1" applyFill="1" applyBorder="1" applyAlignment="1">
      <alignment horizontal="center"/>
    </xf>
    <xf numFmtId="231" fontId="29" fillId="23" borderId="3" xfId="219" applyNumberFormat="1" applyFont="1" applyFill="1" applyBorder="1" applyAlignment="1" applyProtection="1">
      <alignment horizontal="right"/>
    </xf>
    <xf numFmtId="231" fontId="29" fillId="0" borderId="3" xfId="219" applyNumberFormat="1" applyFont="1" applyFill="1" applyBorder="1" applyAlignment="1" applyProtection="1">
      <alignment horizontal="right"/>
    </xf>
    <xf numFmtId="4" fontId="159" fillId="0" borderId="0" xfId="180" applyNumberFormat="1" applyFont="1" applyFill="1" applyBorder="1" applyAlignment="1" applyProtection="1">
      <alignment horizontal="right"/>
    </xf>
    <xf numFmtId="242" fontId="20" fillId="0" borderId="0" xfId="365" applyNumberFormat="1" applyFont="1"/>
    <xf numFmtId="231" fontId="189" fillId="0" borderId="3" xfId="219" applyNumberFormat="1" applyFont="1" applyFill="1" applyBorder="1" applyAlignment="1" applyProtection="1">
      <alignment horizontal="right"/>
    </xf>
    <xf numFmtId="231" fontId="189" fillId="23" borderId="3" xfId="219" applyNumberFormat="1" applyFont="1" applyFill="1" applyBorder="1" applyAlignment="1" applyProtection="1">
      <alignment horizontal="right"/>
    </xf>
    <xf numFmtId="4" fontId="191" fillId="35" borderId="3" xfId="180" applyNumberFormat="1" applyFont="1" applyFill="1" applyBorder="1" applyAlignment="1" applyProtection="1">
      <alignment horizontal="right"/>
    </xf>
    <xf numFmtId="4" fontId="189" fillId="23" borderId="3" xfId="180" applyNumberFormat="1" applyFont="1" applyFill="1" applyBorder="1" applyAlignment="1" applyProtection="1">
      <alignment horizontal="right"/>
    </xf>
    <xf numFmtId="0" fontId="143" fillId="0" borderId="3" xfId="365" applyFont="1" applyFill="1" applyBorder="1" applyAlignment="1">
      <alignment horizontal="center"/>
    </xf>
    <xf numFmtId="0" fontId="146" fillId="0" borderId="0" xfId="365" applyFont="1" applyAlignment="1">
      <alignment horizontal="center"/>
    </xf>
    <xf numFmtId="0" fontId="18" fillId="0" borderId="0" xfId="365" applyFont="1" applyAlignment="1">
      <alignment vertical="center"/>
    </xf>
    <xf numFmtId="0" fontId="143" fillId="0" borderId="3" xfId="365" applyFont="1" applyFill="1" applyBorder="1"/>
    <xf numFmtId="4" fontId="18" fillId="0" borderId="0" xfId="365" applyNumberFormat="1" applyFont="1" applyAlignment="1"/>
    <xf numFmtId="0" fontId="161" fillId="0" borderId="0" xfId="365" applyFont="1"/>
    <xf numFmtId="4" fontId="161" fillId="0" borderId="0" xfId="365" applyNumberFormat="1" applyFont="1"/>
    <xf numFmtId="4" fontId="161" fillId="35" borderId="0" xfId="365" applyNumberFormat="1" applyFont="1" applyFill="1"/>
    <xf numFmtId="0" fontId="143" fillId="0" borderId="3" xfId="365" applyFont="1" applyFill="1" applyBorder="1" applyAlignment="1">
      <alignment horizontal="center"/>
    </xf>
    <xf numFmtId="0" fontId="18" fillId="0" borderId="0" xfId="0" applyFont="1" applyAlignment="1">
      <alignment horizontal="center" vertical="center"/>
    </xf>
    <xf numFmtId="3" fontId="161" fillId="0" borderId="0" xfId="365" applyNumberFormat="1" applyFont="1"/>
    <xf numFmtId="0" fontId="18" fillId="0" borderId="0" xfId="365" applyFont="1" applyAlignment="1">
      <alignment horizontal="center"/>
    </xf>
    <xf numFmtId="0" fontId="142" fillId="0" borderId="0" xfId="0" applyFont="1" applyAlignment="1">
      <alignment horizontal="center"/>
    </xf>
    <xf numFmtId="3" fontId="142" fillId="0" borderId="0" xfId="0" applyNumberFormat="1" applyFont="1" applyAlignment="1">
      <alignment horizontal="center"/>
    </xf>
    <xf numFmtId="0" fontId="18" fillId="0" borderId="0" xfId="0" applyFont="1" applyAlignment="1">
      <alignment horizontal="center" vertical="center"/>
    </xf>
    <xf numFmtId="0" fontId="18" fillId="0" borderId="0" xfId="0" applyFont="1" applyAlignment="1">
      <alignment vertical="center"/>
    </xf>
    <xf numFmtId="225" fontId="188" fillId="0" borderId="3" xfId="219" applyNumberFormat="1" applyFont="1" applyFill="1" applyBorder="1" applyAlignment="1" applyProtection="1">
      <alignment horizontal="right"/>
    </xf>
    <xf numFmtId="225" fontId="188" fillId="23" borderId="3" xfId="219" applyNumberFormat="1" applyFont="1" applyFill="1" applyBorder="1" applyAlignment="1" applyProtection="1">
      <alignment horizontal="right"/>
    </xf>
    <xf numFmtId="0" fontId="143" fillId="35" borderId="0" xfId="365" applyFont="1" applyFill="1" applyBorder="1" applyAlignment="1">
      <alignment horizontal="center"/>
    </xf>
    <xf numFmtId="225" fontId="18" fillId="35" borderId="0" xfId="365" applyNumberFormat="1" applyFont="1" applyFill="1" applyAlignment="1">
      <alignment horizontal="center"/>
    </xf>
    <xf numFmtId="3" fontId="29" fillId="0" borderId="55" xfId="365" quotePrefix="1" applyNumberFormat="1" applyFont="1" applyFill="1" applyBorder="1" applyAlignment="1">
      <alignment horizontal="center"/>
    </xf>
    <xf numFmtId="0" fontId="187" fillId="23" borderId="3" xfId="365" applyFont="1" applyFill="1" applyBorder="1" applyAlignment="1">
      <alignment horizontal="center" vertical="center"/>
    </xf>
    <xf numFmtId="0" fontId="187" fillId="23" borderId="3" xfId="365" applyFont="1" applyFill="1" applyBorder="1"/>
    <xf numFmtId="4" fontId="187" fillId="0" borderId="3" xfId="180" applyNumberFormat="1" applyFont="1" applyFill="1" applyBorder="1" applyAlignment="1" applyProtection="1">
      <alignment horizontal="right"/>
    </xf>
    <xf numFmtId="4" fontId="187" fillId="23" borderId="3" xfId="180" applyNumberFormat="1" applyFont="1" applyFill="1" applyBorder="1" applyAlignment="1" applyProtection="1">
      <alignment horizontal="right"/>
    </xf>
    <xf numFmtId="225" fontId="187" fillId="0" borderId="3" xfId="219" applyNumberFormat="1" applyFont="1" applyFill="1" applyBorder="1" applyAlignment="1" applyProtection="1">
      <alignment horizontal="right"/>
    </xf>
    <xf numFmtId="231" fontId="193" fillId="23" borderId="3" xfId="219" applyNumberFormat="1" applyFont="1" applyFill="1" applyBorder="1" applyAlignment="1" applyProtection="1">
      <alignment horizontal="right"/>
    </xf>
    <xf numFmtId="174" fontId="193" fillId="0" borderId="0" xfId="219" applyNumberFormat="1" applyFont="1" applyFill="1" applyBorder="1" applyAlignment="1" applyProtection="1">
      <alignment horizontal="right"/>
    </xf>
    <xf numFmtId="0" fontId="163" fillId="0" borderId="0" xfId="365" applyFont="1"/>
    <xf numFmtId="225" fontId="187" fillId="23" borderId="3" xfId="219" applyNumberFormat="1" applyFont="1" applyFill="1" applyBorder="1" applyAlignment="1" applyProtection="1">
      <alignment horizontal="right"/>
    </xf>
    <xf numFmtId="174" fontId="163" fillId="0" borderId="0" xfId="365" applyNumberFormat="1" applyFont="1"/>
    <xf numFmtId="4" fontId="163" fillId="0" borderId="0" xfId="365" applyNumberFormat="1" applyFont="1"/>
    <xf numFmtId="242" fontId="20" fillId="35" borderId="0" xfId="365" applyNumberFormat="1" applyFont="1" applyFill="1"/>
    <xf numFmtId="0" fontId="168" fillId="0" borderId="0" xfId="0" applyFont="1"/>
    <xf numFmtId="0" fontId="185" fillId="0" borderId="0" xfId="0" applyFont="1"/>
    <xf numFmtId="4" fontId="168" fillId="0" borderId="0" xfId="0" applyNumberFormat="1" applyFont="1"/>
    <xf numFmtId="4" fontId="143" fillId="23" borderId="3" xfId="219" applyNumberFormat="1" applyFont="1" applyFill="1" applyBorder="1" applyAlignment="1" applyProtection="1">
      <alignment horizontal="right"/>
    </xf>
    <xf numFmtId="228" fontId="146" fillId="35" borderId="0" xfId="365" applyNumberFormat="1" applyFont="1" applyFill="1" applyAlignment="1"/>
    <xf numFmtId="0" fontId="146" fillId="35" borderId="0" xfId="365" applyFont="1" applyFill="1" applyAlignment="1"/>
    <xf numFmtId="0" fontId="186" fillId="0" borderId="22" xfId="0" applyFont="1" applyFill="1" applyBorder="1" applyAlignment="1">
      <alignment vertical="top"/>
    </xf>
    <xf numFmtId="4" fontId="133" fillId="0" borderId="21" xfId="180" applyNumberFormat="1" applyFont="1" applyFill="1" applyBorder="1" applyAlignment="1" applyProtection="1">
      <alignment vertical="center" wrapText="1"/>
    </xf>
    <xf numFmtId="4" fontId="133" fillId="23" borderId="21" xfId="180" applyNumberFormat="1" applyFont="1" applyFill="1" applyBorder="1" applyAlignment="1" applyProtection="1"/>
    <xf numFmtId="4" fontId="143" fillId="0" borderId="3" xfId="219" applyNumberFormat="1" applyFont="1" applyFill="1" applyBorder="1" applyAlignment="1" applyProtection="1">
      <alignment horizontal="right"/>
    </xf>
    <xf numFmtId="4" fontId="29" fillId="35" borderId="3" xfId="180" applyNumberFormat="1" applyFont="1" applyFill="1" applyBorder="1" applyAlignment="1" applyProtection="1">
      <alignment horizontal="right"/>
    </xf>
    <xf numFmtId="4" fontId="149" fillId="23" borderId="3" xfId="180" applyNumberFormat="1" applyFont="1" applyFill="1" applyBorder="1" applyAlignment="1" applyProtection="1"/>
    <xf numFmtId="225" fontId="149" fillId="23" borderId="3" xfId="219" applyNumberFormat="1" applyFont="1" applyFill="1" applyBorder="1" applyAlignment="1" applyProtection="1">
      <alignment horizontal="right"/>
    </xf>
    <xf numFmtId="49" fontId="20" fillId="0" borderId="3" xfId="365" applyNumberFormat="1" applyFont="1" applyFill="1" applyBorder="1" applyAlignment="1">
      <alignment horizontal="center"/>
    </xf>
    <xf numFmtId="0" fontId="20" fillId="0" borderId="3" xfId="365" applyFont="1" applyFill="1" applyBorder="1" applyAlignment="1">
      <alignment horizontal="center"/>
    </xf>
    <xf numFmtId="0" fontId="174" fillId="0" borderId="0" xfId="523" applyFont="1" applyAlignment="1">
      <alignment horizontal="center"/>
    </xf>
    <xf numFmtId="37" fontId="189" fillId="0" borderId="67" xfId="523" applyNumberFormat="1" applyFont="1" applyBorder="1" applyAlignment="1">
      <alignment vertical="center" wrapText="1"/>
    </xf>
    <xf numFmtId="239" fontId="194" fillId="0" borderId="67" xfId="218" applyNumberFormat="1" applyFont="1" applyFill="1" applyBorder="1" applyAlignment="1" applyProtection="1"/>
    <xf numFmtId="229" fontId="130" fillId="35" borderId="0" xfId="0" applyNumberFormat="1" applyFont="1" applyFill="1"/>
    <xf numFmtId="226" fontId="162" fillId="0" borderId="42" xfId="218" applyNumberFormat="1" applyFont="1" applyFill="1" applyBorder="1" applyAlignment="1" applyProtection="1"/>
    <xf numFmtId="0" fontId="186" fillId="0" borderId="22" xfId="0" applyFont="1" applyFill="1" applyBorder="1" applyAlignment="1">
      <alignment vertical="center"/>
    </xf>
    <xf numFmtId="4" fontId="143" fillId="35" borderId="3" xfId="180" applyNumberFormat="1" applyFont="1" applyFill="1" applyBorder="1" applyAlignment="1" applyProtection="1">
      <alignment horizontal="right"/>
    </xf>
    <xf numFmtId="4" fontId="192" fillId="35" borderId="3" xfId="180" applyNumberFormat="1" applyFont="1" applyFill="1" applyBorder="1" applyAlignment="1" applyProtection="1">
      <alignment horizontal="right"/>
    </xf>
    <xf numFmtId="4" fontId="132" fillId="35" borderId="21" xfId="180" applyNumberFormat="1" applyFont="1" applyFill="1" applyBorder="1" applyAlignment="1" applyProtection="1"/>
    <xf numFmtId="0" fontId="163" fillId="0" borderId="21" xfId="365" applyFont="1" applyBorder="1" applyAlignment="1">
      <alignment horizontal="center"/>
    </xf>
    <xf numFmtId="225" fontId="163" fillId="0" borderId="0" xfId="365" applyNumberFormat="1" applyFont="1"/>
    <xf numFmtId="4" fontId="130" fillId="0" borderId="21" xfId="180" applyNumberFormat="1" applyFont="1" applyFill="1" applyBorder="1" applyAlignment="1" applyProtection="1">
      <alignment horizontal="right"/>
    </xf>
    <xf numFmtId="4" fontId="195" fillId="0" borderId="0" xfId="365" applyNumberFormat="1" applyFont="1"/>
    <xf numFmtId="0" fontId="162" fillId="0" borderId="21" xfId="365" applyFont="1" applyBorder="1" applyAlignment="1">
      <alignment horizontal="center"/>
    </xf>
    <xf numFmtId="225" fontId="162" fillId="0" borderId="21" xfId="219" applyNumberFormat="1" applyFont="1" applyFill="1" applyBorder="1" applyAlignment="1" applyProtection="1">
      <alignment horizontal="right"/>
    </xf>
    <xf numFmtId="4" fontId="162" fillId="0" borderId="0" xfId="365" applyNumberFormat="1" applyFont="1"/>
    <xf numFmtId="0" fontId="162" fillId="0" borderId="0" xfId="365" applyFont="1"/>
    <xf numFmtId="225" fontId="161" fillId="0" borderId="21" xfId="219" applyNumberFormat="1" applyFont="1" applyFill="1" applyBorder="1" applyAlignment="1" applyProtection="1">
      <alignment horizontal="right"/>
    </xf>
    <xf numFmtId="0" fontId="161" fillId="0" borderId="42" xfId="365" applyFont="1" applyBorder="1" applyAlignment="1">
      <alignment horizontal="center"/>
    </xf>
    <xf numFmtId="39" fontId="142" fillId="0" borderId="36" xfId="180" applyNumberFormat="1" applyFont="1" applyFill="1" applyBorder="1" applyAlignment="1" applyProtection="1">
      <alignment horizontal="right"/>
    </xf>
    <xf numFmtId="39" fontId="162" fillId="0" borderId="36" xfId="180" applyNumberFormat="1" applyFont="1" applyFill="1" applyBorder="1" applyAlignment="1" applyProtection="1">
      <alignment horizontal="right"/>
    </xf>
    <xf numFmtId="0" fontId="161" fillId="0" borderId="21" xfId="365" applyFont="1" applyBorder="1" applyAlignment="1">
      <alignment horizontal="center" vertical="center"/>
    </xf>
    <xf numFmtId="0" fontId="162" fillId="0" borderId="42" xfId="365" applyFont="1" applyBorder="1" applyAlignment="1">
      <alignment horizontal="center"/>
    </xf>
    <xf numFmtId="229" fontId="162" fillId="0" borderId="0" xfId="365" applyNumberFormat="1" applyFont="1"/>
    <xf numFmtId="0" fontId="161" fillId="0" borderId="45" xfId="365" applyFont="1" applyBorder="1" applyAlignment="1">
      <alignment horizontal="center"/>
    </xf>
    <xf numFmtId="225" fontId="161" fillId="0" borderId="45" xfId="219" applyNumberFormat="1" applyFont="1" applyFill="1" applyBorder="1" applyAlignment="1" applyProtection="1">
      <alignment horizontal="right"/>
    </xf>
    <xf numFmtId="4" fontId="142" fillId="0" borderId="36" xfId="219" applyNumberFormat="1" applyFont="1" applyFill="1" applyBorder="1" applyAlignment="1" applyProtection="1">
      <alignment horizontal="right"/>
    </xf>
    <xf numFmtId="39" fontId="163" fillId="0" borderId="36" xfId="180" applyNumberFormat="1" applyFont="1" applyFill="1" applyBorder="1" applyAlignment="1" applyProtection="1">
      <alignment horizontal="right"/>
    </xf>
    <xf numFmtId="225" fontId="162" fillId="0" borderId="80" xfId="219" applyNumberFormat="1" applyFont="1" applyFill="1" applyBorder="1" applyAlignment="1" applyProtection="1">
      <alignment horizontal="right"/>
    </xf>
    <xf numFmtId="3" fontId="194" fillId="0" borderId="0" xfId="0" applyNumberFormat="1" applyFont="1"/>
    <xf numFmtId="3" fontId="164" fillId="0" borderId="0" xfId="0" applyNumberFormat="1" applyFont="1"/>
    <xf numFmtId="4" fontId="168" fillId="0" borderId="0" xfId="523" applyNumberFormat="1" applyFont="1"/>
    <xf numFmtId="0" fontId="197" fillId="0" borderId="0" xfId="526" applyFont="1"/>
    <xf numFmtId="0" fontId="198" fillId="0" borderId="0" xfId="526" applyFont="1" applyAlignment="1">
      <alignment vertical="top" wrapText="1"/>
    </xf>
    <xf numFmtId="0" fontId="197" fillId="0" borderId="0" xfId="526" applyFont="1" applyAlignment="1">
      <alignment horizontal="left" vertical="top" wrapText="1"/>
    </xf>
    <xf numFmtId="0" fontId="199" fillId="0" borderId="0" xfId="526" applyFont="1" applyAlignment="1">
      <alignment vertical="top" wrapText="1"/>
    </xf>
    <xf numFmtId="3" fontId="201" fillId="0" borderId="0" xfId="526" applyNumberFormat="1" applyFont="1" applyAlignment="1">
      <alignment horizontal="left" vertical="top" wrapText="1"/>
    </xf>
    <xf numFmtId="3" fontId="202" fillId="0" borderId="0" xfId="526" applyNumberFormat="1" applyFont="1" applyAlignment="1">
      <alignment horizontal="left" vertical="top" wrapText="1"/>
    </xf>
    <xf numFmtId="3" fontId="197" fillId="0" borderId="0" xfId="526" applyNumberFormat="1" applyFont="1" applyAlignment="1">
      <alignment horizontal="left" vertical="top" wrapText="1"/>
    </xf>
    <xf numFmtId="0" fontId="203" fillId="0" borderId="98" xfId="526" applyFont="1" applyBorder="1" applyAlignment="1">
      <alignment vertical="center" wrapText="1"/>
    </xf>
    <xf numFmtId="0" fontId="203" fillId="0" borderId="111" xfId="526" applyFont="1" applyBorder="1" applyAlignment="1">
      <alignment horizontal="center" vertical="center" wrapText="1"/>
    </xf>
    <xf numFmtId="0" fontId="204" fillId="0" borderId="111" xfId="526" applyFont="1" applyBorder="1" applyAlignment="1">
      <alignment horizontal="center" vertical="center" wrapText="1"/>
    </xf>
    <xf numFmtId="0" fontId="204" fillId="0" borderId="108" xfId="526" applyFont="1" applyBorder="1" applyAlignment="1">
      <alignment horizontal="center" vertical="center" wrapText="1"/>
    </xf>
    <xf numFmtId="0" fontId="197" fillId="0" borderId="111" xfId="526" applyFont="1" applyBorder="1" applyAlignment="1">
      <alignment vertical="center" wrapText="1"/>
    </xf>
    <xf numFmtId="3" fontId="205" fillId="0" borderId="111" xfId="526" applyNumberFormat="1" applyFont="1" applyBorder="1" applyAlignment="1">
      <alignment horizontal="right" vertical="center" wrapText="1"/>
    </xf>
    <xf numFmtId="3" fontId="197" fillId="0" borderId="0" xfId="526" applyNumberFormat="1" applyFont="1"/>
    <xf numFmtId="0" fontId="197" fillId="37" borderId="0" xfId="526" applyFont="1" applyFill="1" applyAlignment="1">
      <alignment horizontal="left" vertical="center" wrapText="1"/>
    </xf>
    <xf numFmtId="0" fontId="207" fillId="37" borderId="0" xfId="526" applyFont="1" applyFill="1" applyAlignment="1">
      <alignment vertical="center" wrapText="1"/>
    </xf>
    <xf numFmtId="0" fontId="178" fillId="37" borderId="0" xfId="526" applyFont="1" applyFill="1" applyAlignment="1"/>
    <xf numFmtId="0" fontId="209" fillId="0" borderId="0" xfId="526" applyFont="1" applyAlignment="1">
      <alignment horizontal="left" indent="1"/>
    </xf>
    <xf numFmtId="0" fontId="209" fillId="0" borderId="0" xfId="526" applyFont="1" applyAlignment="1">
      <alignment horizontal="left" vertical="top" wrapText="1"/>
    </xf>
    <xf numFmtId="0" fontId="209" fillId="37" borderId="0" xfId="526" applyFont="1" applyFill="1" applyAlignment="1">
      <alignment horizontal="left" vertical="center" wrapText="1"/>
    </xf>
    <xf numFmtId="0" fontId="209" fillId="37" borderId="0" xfId="526" applyFont="1" applyFill="1" applyAlignment="1">
      <alignment vertical="center" wrapText="1"/>
    </xf>
    <xf numFmtId="0" fontId="209" fillId="0" borderId="0" xfId="526" applyFont="1"/>
    <xf numFmtId="0" fontId="211" fillId="0" borderId="111" xfId="526" applyFont="1" applyBorder="1" applyAlignment="1">
      <alignment vertical="center" wrapText="1"/>
    </xf>
    <xf numFmtId="0" fontId="211" fillId="0" borderId="111" xfId="526" applyFont="1" applyBorder="1" applyAlignment="1">
      <alignment horizontal="left" vertical="center" wrapText="1"/>
    </xf>
    <xf numFmtId="3" fontId="211" fillId="0" borderId="111" xfId="526" applyNumberFormat="1" applyFont="1" applyBorder="1" applyAlignment="1">
      <alignment horizontal="right" vertical="center" wrapText="1"/>
    </xf>
    <xf numFmtId="0" fontId="211" fillId="0" borderId="111" xfId="526" applyFont="1" applyBorder="1" applyAlignment="1">
      <alignment horizontal="center" vertical="center" wrapText="1"/>
    </xf>
    <xf numFmtId="1" fontId="170" fillId="0" borderId="0" xfId="527" applyNumberFormat="1" applyFont="1" applyFill="1" applyAlignment="1">
      <alignment horizontal="center"/>
    </xf>
    <xf numFmtId="3" fontId="170" fillId="0" borderId="0" xfId="527" applyNumberFormat="1" applyFont="1" applyFill="1" applyAlignment="1"/>
    <xf numFmtId="0" fontId="170" fillId="0" borderId="0" xfId="527" applyFont="1" applyFill="1"/>
    <xf numFmtId="3" fontId="169" fillId="0" borderId="0" xfId="527" applyNumberFormat="1" applyFont="1" applyFill="1" applyAlignment="1">
      <alignment vertical="center" wrapText="1"/>
    </xf>
    <xf numFmtId="0" fontId="213" fillId="0" borderId="0" xfId="527" applyFont="1" applyFill="1"/>
    <xf numFmtId="49" fontId="172" fillId="0" borderId="0" xfId="527" applyNumberFormat="1" applyFont="1" applyFill="1" applyAlignment="1">
      <alignment horizontal="left" vertical="center"/>
    </xf>
    <xf numFmtId="49" fontId="170" fillId="0" borderId="0" xfId="527" applyNumberFormat="1" applyFont="1" applyFill="1" applyAlignment="1">
      <alignment horizontal="justify" wrapText="1"/>
    </xf>
    <xf numFmtId="3" fontId="170" fillId="0" borderId="0" xfId="527" applyNumberFormat="1" applyFont="1" applyFill="1"/>
    <xf numFmtId="0" fontId="170" fillId="0" borderId="0" xfId="527" applyFont="1" applyFill="1" applyAlignment="1">
      <alignment horizontal="center"/>
    </xf>
    <xf numFmtId="3" fontId="169" fillId="0" borderId="0" xfId="527" applyNumberFormat="1" applyFont="1" applyFill="1" applyAlignment="1">
      <alignment horizontal="center"/>
    </xf>
    <xf numFmtId="0" fontId="169" fillId="0" borderId="0" xfId="527" applyFont="1" applyFill="1" applyAlignment="1">
      <alignment horizontal="center"/>
    </xf>
    <xf numFmtId="241" fontId="170" fillId="0" borderId="0" xfId="527" applyNumberFormat="1" applyFont="1" applyFill="1" applyAlignment="1">
      <alignment horizontal="center"/>
    </xf>
    <xf numFmtId="0" fontId="170" fillId="0" borderId="0" xfId="527" applyFont="1" applyFill="1" applyAlignment="1">
      <alignment wrapText="1"/>
    </xf>
    <xf numFmtId="0" fontId="169" fillId="38" borderId="0" xfId="527" applyFont="1" applyFill="1" applyAlignment="1">
      <alignment wrapText="1"/>
    </xf>
    <xf numFmtId="0" fontId="169" fillId="0" borderId="0" xfId="527" applyFont="1" applyFill="1" applyAlignment="1">
      <alignment wrapText="1"/>
    </xf>
    <xf numFmtId="0" fontId="173" fillId="0" borderId="84" xfId="361" applyFont="1" applyFill="1" applyBorder="1" applyAlignment="1">
      <alignment vertical="center" wrapText="1"/>
    </xf>
    <xf numFmtId="0" fontId="169" fillId="0" borderId="84" xfId="361" applyFont="1" applyFill="1" applyBorder="1" applyAlignment="1">
      <alignment vertical="center" wrapText="1"/>
    </xf>
    <xf numFmtId="0" fontId="215" fillId="0" borderId="0" xfId="527" applyFont="1" applyFill="1" applyAlignment="1">
      <alignment wrapText="1"/>
    </xf>
    <xf numFmtId="0" fontId="215" fillId="0" borderId="84" xfId="361" applyFont="1" applyFill="1" applyBorder="1" applyAlignment="1">
      <alignment vertical="center" wrapText="1"/>
    </xf>
    <xf numFmtId="0" fontId="172" fillId="0" borderId="0" xfId="527" applyFont="1" applyFill="1" applyAlignment="1">
      <alignment wrapText="1"/>
    </xf>
    <xf numFmtId="1" fontId="169" fillId="0" borderId="84" xfId="361" applyNumberFormat="1" applyFont="1" applyFill="1" applyBorder="1"/>
    <xf numFmtId="1" fontId="169" fillId="0" borderId="84" xfId="361" applyNumberFormat="1" applyFont="1" applyFill="1" applyBorder="1" applyAlignment="1">
      <alignment horizontal="right" vertical="center" wrapText="1"/>
    </xf>
    <xf numFmtId="1" fontId="215" fillId="0" borderId="84" xfId="361" applyNumberFormat="1" applyFont="1" applyFill="1" applyBorder="1" applyAlignment="1">
      <alignment horizontal="right" vertical="center" wrapText="1"/>
    </xf>
    <xf numFmtId="1" fontId="173" fillId="0" borderId="84" xfId="361" applyNumberFormat="1" applyFont="1" applyFill="1" applyBorder="1" applyAlignment="1">
      <alignment horizontal="left" vertical="center" wrapText="1"/>
    </xf>
    <xf numFmtId="0" fontId="173" fillId="0" borderId="84" xfId="527" applyFont="1" applyFill="1" applyBorder="1" applyAlignment="1">
      <alignment vertical="center" wrapText="1"/>
    </xf>
    <xf numFmtId="0" fontId="173" fillId="0" borderId="88" xfId="361" applyFont="1" applyFill="1" applyBorder="1" applyAlignment="1">
      <alignment vertical="center" wrapText="1"/>
    </xf>
    <xf numFmtId="0" fontId="169" fillId="0" borderId="84" xfId="527" applyFont="1" applyFill="1" applyBorder="1" applyAlignment="1">
      <alignment vertical="center" wrapText="1"/>
    </xf>
    <xf numFmtId="0" fontId="215" fillId="0" borderId="84" xfId="527" applyFont="1" applyFill="1" applyBorder="1" applyAlignment="1">
      <alignment vertical="center" wrapText="1"/>
    </xf>
    <xf numFmtId="0" fontId="170" fillId="0" borderId="84" xfId="527" applyFont="1" applyFill="1" applyBorder="1" applyAlignment="1">
      <alignment vertical="center" wrapText="1"/>
    </xf>
    <xf numFmtId="1" fontId="169" fillId="0" borderId="84" xfId="361" applyNumberFormat="1" applyFont="1" applyFill="1" applyBorder="1" applyAlignment="1">
      <alignment horizontal="right" vertical="center"/>
    </xf>
    <xf numFmtId="1" fontId="173" fillId="0" borderId="84" xfId="527" applyNumberFormat="1" applyFont="1" applyFill="1" applyBorder="1" applyAlignment="1">
      <alignment vertical="center" wrapText="1"/>
    </xf>
    <xf numFmtId="1" fontId="169" fillId="0" borderId="84" xfId="361" applyNumberFormat="1" applyFont="1" applyFill="1" applyBorder="1" applyAlignment="1">
      <alignment vertical="center" wrapText="1"/>
    </xf>
    <xf numFmtId="0" fontId="172" fillId="0" borderId="84" xfId="361" applyFont="1" applyFill="1" applyBorder="1" applyAlignment="1">
      <alignment vertical="center" wrapText="1"/>
    </xf>
    <xf numFmtId="1" fontId="169" fillId="0" borderId="84" xfId="361" applyNumberFormat="1" applyFont="1" applyFill="1" applyBorder="1" applyAlignment="1"/>
    <xf numFmtId="0" fontId="169" fillId="0" borderId="84" xfId="361" applyFont="1" applyFill="1" applyBorder="1" applyAlignment="1">
      <alignment horizontal="left" vertical="center" wrapText="1"/>
    </xf>
    <xf numFmtId="0" fontId="173" fillId="0" borderId="84" xfId="361" applyFont="1" applyFill="1" applyBorder="1" applyAlignment="1">
      <alignment horizontal="left" vertical="center" wrapText="1"/>
    </xf>
    <xf numFmtId="0" fontId="170" fillId="0" borderId="84" xfId="361" applyFont="1" applyFill="1" applyBorder="1" applyAlignment="1">
      <alignment horizontal="left" vertical="center" wrapText="1"/>
    </xf>
    <xf numFmtId="0" fontId="173" fillId="0" borderId="88" xfId="361" applyFont="1" applyFill="1" applyBorder="1" applyAlignment="1">
      <alignment horizontal="left" vertical="center" wrapText="1"/>
    </xf>
    <xf numFmtId="0" fontId="169" fillId="0" borderId="88" xfId="361" applyFont="1" applyFill="1" applyBorder="1" applyAlignment="1">
      <alignment horizontal="left" vertical="center" wrapText="1"/>
    </xf>
    <xf numFmtId="0" fontId="173" fillId="0" borderId="88" xfId="527" applyFont="1" applyFill="1" applyBorder="1" applyAlignment="1">
      <alignment vertical="center" wrapText="1"/>
    </xf>
    <xf numFmtId="0" fontId="173" fillId="0" borderId="88" xfId="527" applyFont="1" applyFill="1" applyBorder="1" applyAlignment="1">
      <alignment vertical="center"/>
    </xf>
    <xf numFmtId="0" fontId="169" fillId="0" borderId="0" xfId="361" applyFont="1" applyFill="1" applyBorder="1" applyAlignment="1">
      <alignment horizontal="left" vertical="center" wrapText="1"/>
    </xf>
    <xf numFmtId="0" fontId="173" fillId="0" borderId="0" xfId="527" applyFont="1" applyFill="1" applyAlignment="1">
      <alignment wrapText="1"/>
    </xf>
    <xf numFmtId="3" fontId="173" fillId="0" borderId="0" xfId="527" applyNumberFormat="1" applyFont="1" applyFill="1" applyAlignment="1">
      <alignment wrapText="1"/>
    </xf>
    <xf numFmtId="0" fontId="173" fillId="0" borderId="0" xfId="527" quotePrefix="1" applyFont="1" applyFill="1" applyAlignment="1">
      <alignment wrapText="1"/>
    </xf>
    <xf numFmtId="0" fontId="219" fillId="0" borderId="0" xfId="527" applyFont="1" applyFill="1" applyAlignment="1">
      <alignment wrapText="1"/>
    </xf>
    <xf numFmtId="0" fontId="177" fillId="0" borderId="0" xfId="527" applyFont="1" applyFill="1" applyAlignment="1">
      <alignment wrapText="1"/>
    </xf>
    <xf numFmtId="0" fontId="170" fillId="38" borderId="0" xfId="527" applyFont="1" applyFill="1" applyAlignment="1">
      <alignment wrapText="1"/>
    </xf>
    <xf numFmtId="0" fontId="170" fillId="0" borderId="0" xfId="527" applyFont="1" applyFill="1" applyAlignment="1">
      <alignment horizontal="center" wrapText="1"/>
    </xf>
    <xf numFmtId="0" fontId="170" fillId="0" borderId="0" xfId="527" applyFont="1" applyFill="1" applyAlignment="1">
      <alignment vertical="center" wrapText="1"/>
    </xf>
    <xf numFmtId="0" fontId="172" fillId="38" borderId="0" xfId="527" applyFont="1" applyFill="1" applyAlignment="1">
      <alignment wrapText="1"/>
    </xf>
    <xf numFmtId="3" fontId="180" fillId="0" borderId="84" xfId="527" applyNumberFormat="1" applyFont="1" applyFill="1" applyBorder="1" applyAlignment="1">
      <alignment vertical="center"/>
    </xf>
    <xf numFmtId="0" fontId="170" fillId="38" borderId="114" xfId="527" applyFont="1" applyFill="1" applyBorder="1" applyAlignment="1">
      <alignment wrapText="1"/>
    </xf>
    <xf numFmtId="243" fontId="197" fillId="0" borderId="84" xfId="528" applyNumberFormat="1" applyFont="1" applyFill="1" applyBorder="1" applyAlignment="1">
      <alignment horizontal="right" vertical="center"/>
    </xf>
    <xf numFmtId="49" fontId="173" fillId="0" borderId="0" xfId="533" applyNumberFormat="1" applyFont="1" applyFill="1" applyBorder="1" applyAlignment="1">
      <alignment horizontal="center" vertical="center" wrapText="1"/>
    </xf>
    <xf numFmtId="0" fontId="173" fillId="0" borderId="0" xfId="529" quotePrefix="1" applyNumberFormat="1" applyFont="1" applyFill="1" applyBorder="1" applyAlignment="1">
      <alignment horizontal="justify" vertical="center" wrapText="1"/>
    </xf>
    <xf numFmtId="49" fontId="173" fillId="0" borderId="0" xfId="530" quotePrefix="1" applyNumberFormat="1" applyFont="1" applyFill="1" applyBorder="1" applyAlignment="1">
      <alignment horizontal="center" vertical="center"/>
    </xf>
    <xf numFmtId="243" fontId="173" fillId="0" borderId="0" xfId="528" applyNumberFormat="1" applyFont="1" applyFill="1" applyBorder="1" applyAlignment="1">
      <alignment horizontal="right" vertical="center"/>
    </xf>
    <xf numFmtId="3" fontId="173" fillId="0" borderId="0" xfId="527" applyNumberFormat="1" applyFont="1" applyFill="1" applyBorder="1" applyAlignment="1">
      <alignment vertical="center" wrapText="1"/>
    </xf>
    <xf numFmtId="3" fontId="170" fillId="0" borderId="0" xfId="527" applyNumberFormat="1" applyFont="1" applyFill="1" applyBorder="1" applyAlignment="1">
      <alignment vertical="center" wrapText="1"/>
    </xf>
    <xf numFmtId="49" fontId="213" fillId="0" borderId="0" xfId="527" applyNumberFormat="1" applyFont="1" applyFill="1" applyAlignment="1">
      <alignment horizontal="justify" wrapText="1"/>
    </xf>
    <xf numFmtId="3" fontId="213" fillId="0" borderId="0" xfId="527" applyNumberFormat="1" applyFont="1" applyFill="1"/>
    <xf numFmtId="1" fontId="213" fillId="0" borderId="0" xfId="527" applyNumberFormat="1" applyFont="1" applyFill="1" applyAlignment="1">
      <alignment horizontal="center"/>
    </xf>
    <xf numFmtId="3" fontId="213" fillId="0" borderId="0" xfId="527" applyNumberFormat="1" applyFont="1" applyFill="1" applyAlignment="1"/>
    <xf numFmtId="3" fontId="212" fillId="0" borderId="0" xfId="534" applyNumberFormat="1" applyFont="1" applyFill="1" applyBorder="1" applyAlignment="1">
      <alignment vertical="top" wrapText="1"/>
    </xf>
    <xf numFmtId="49" fontId="213" fillId="0" borderId="0" xfId="527" applyNumberFormat="1" applyFont="1" applyFill="1" applyAlignment="1">
      <alignment horizontal="center" vertical="center" wrapText="1"/>
    </xf>
    <xf numFmtId="49" fontId="212" fillId="0" borderId="0" xfId="527" applyNumberFormat="1" applyFont="1" applyFill="1" applyAlignment="1">
      <alignment horizontal="justify" vertical="center" wrapText="1"/>
    </xf>
    <xf numFmtId="3" fontId="212" fillId="0" borderId="0" xfId="527" applyNumberFormat="1" applyFont="1" applyFill="1" applyAlignment="1">
      <alignment vertical="center" wrapText="1"/>
    </xf>
    <xf numFmtId="3" fontId="213" fillId="0" borderId="0" xfId="527" applyNumberFormat="1" applyFont="1" applyFill="1" applyAlignment="1">
      <alignment vertical="center" wrapText="1"/>
    </xf>
    <xf numFmtId="3" fontId="214" fillId="0" borderId="0" xfId="527" applyNumberFormat="1" applyFont="1" applyFill="1" applyAlignment="1">
      <alignment vertical="center" wrapText="1"/>
    </xf>
    <xf numFmtId="49" fontId="213" fillId="0" borderId="0" xfId="527" applyNumberFormat="1" applyFont="1" applyFill="1"/>
    <xf numFmtId="3" fontId="169" fillId="0" borderId="0" xfId="527" applyNumberFormat="1" applyFont="1" applyFill="1" applyAlignment="1"/>
    <xf numFmtId="49" fontId="170" fillId="0" borderId="0" xfId="527" applyNumberFormat="1" applyFont="1" applyFill="1"/>
    <xf numFmtId="49" fontId="235" fillId="0" borderId="71" xfId="527" applyNumberFormat="1" applyFont="1" applyFill="1" applyBorder="1" applyAlignment="1">
      <alignment horizontal="center" vertical="center" wrapText="1"/>
    </xf>
    <xf numFmtId="3" fontId="235" fillId="0" borderId="71" xfId="527" applyNumberFormat="1" applyFont="1" applyFill="1" applyBorder="1" applyAlignment="1">
      <alignment horizontal="center" vertical="center" wrapText="1"/>
    </xf>
    <xf numFmtId="1" fontId="235" fillId="0" borderId="71" xfId="527" applyNumberFormat="1" applyFont="1" applyFill="1" applyBorder="1" applyAlignment="1">
      <alignment horizontal="center" vertical="center" wrapText="1"/>
    </xf>
    <xf numFmtId="49" fontId="235" fillId="0" borderId="81" xfId="527" applyNumberFormat="1" applyFont="1" applyFill="1" applyBorder="1" applyAlignment="1">
      <alignment horizontal="center" vertical="center" wrapText="1"/>
    </xf>
    <xf numFmtId="49" fontId="235" fillId="0" borderId="81" xfId="527" applyNumberFormat="1" applyFont="1" applyFill="1" applyBorder="1" applyAlignment="1">
      <alignment horizontal="justify" vertical="center" wrapText="1"/>
    </xf>
    <xf numFmtId="3" fontId="235" fillId="0" borderId="81" xfId="527" applyNumberFormat="1" applyFont="1" applyFill="1" applyBorder="1" applyAlignment="1">
      <alignment horizontal="center" vertical="center" wrapText="1"/>
    </xf>
    <xf numFmtId="1" fontId="235" fillId="0" borderId="81" xfId="527" applyNumberFormat="1" applyFont="1" applyFill="1" applyBorder="1" applyAlignment="1">
      <alignment horizontal="center" vertical="center" wrapText="1"/>
    </xf>
    <xf numFmtId="3" fontId="235" fillId="0" borderId="81" xfId="527" applyNumberFormat="1" applyFont="1" applyFill="1" applyBorder="1" applyAlignment="1">
      <alignment vertical="center" wrapText="1"/>
    </xf>
    <xf numFmtId="49" fontId="235" fillId="0" borderId="84" xfId="527" applyNumberFormat="1" applyFont="1" applyFill="1" applyBorder="1" applyAlignment="1">
      <alignment horizontal="center" vertical="center" wrapText="1"/>
    </xf>
    <xf numFmtId="49" fontId="235" fillId="0" borderId="84" xfId="527" applyNumberFormat="1" applyFont="1" applyFill="1" applyBorder="1" applyAlignment="1">
      <alignment horizontal="justify" vertical="center" wrapText="1"/>
    </xf>
    <xf numFmtId="3" fontId="235" fillId="0" borderId="84" xfId="527" applyNumberFormat="1" applyFont="1" applyFill="1" applyBorder="1" applyAlignment="1">
      <alignment horizontal="center" vertical="center" wrapText="1"/>
    </xf>
    <xf numFmtId="1" fontId="235" fillId="0" borderId="84" xfId="527" applyNumberFormat="1" applyFont="1" applyFill="1" applyBorder="1" applyAlignment="1">
      <alignment horizontal="center" vertical="center" wrapText="1"/>
    </xf>
    <xf numFmtId="3" fontId="235" fillId="0" borderId="84" xfId="527" applyNumberFormat="1" applyFont="1" applyFill="1" applyBorder="1" applyAlignment="1">
      <alignment vertical="center" wrapText="1"/>
    </xf>
    <xf numFmtId="49" fontId="235" fillId="38" borderId="84" xfId="527" applyNumberFormat="1" applyFont="1" applyFill="1" applyBorder="1" applyAlignment="1">
      <alignment horizontal="center" vertical="center" wrapText="1"/>
    </xf>
    <xf numFmtId="3" fontId="235" fillId="38" borderId="84" xfId="527" applyNumberFormat="1" applyFont="1" applyFill="1" applyBorder="1" applyAlignment="1">
      <alignment horizontal="center" vertical="center" wrapText="1"/>
    </xf>
    <xf numFmtId="1" fontId="235" fillId="38" borderId="84" xfId="527" applyNumberFormat="1" applyFont="1" applyFill="1" applyBorder="1" applyAlignment="1">
      <alignment horizontal="center" vertical="center" wrapText="1"/>
    </xf>
    <xf numFmtId="3" fontId="235" fillId="38" borderId="84" xfId="527" applyNumberFormat="1" applyFont="1" applyFill="1" applyBorder="1" applyAlignment="1">
      <alignment vertical="center" wrapText="1"/>
    </xf>
    <xf numFmtId="49" fontId="235" fillId="0" borderId="84" xfId="361" applyNumberFormat="1" applyFont="1" applyFill="1" applyBorder="1" applyAlignment="1">
      <alignment horizontal="center" vertical="center" wrapText="1"/>
    </xf>
    <xf numFmtId="49" fontId="235" fillId="0" borderId="84" xfId="361" applyNumberFormat="1" applyFont="1" applyFill="1" applyBorder="1" applyAlignment="1">
      <alignment horizontal="justify" vertical="center" wrapText="1"/>
    </xf>
    <xf numFmtId="3" fontId="234" fillId="0" borderId="84" xfId="527" applyNumberFormat="1" applyFont="1" applyFill="1" applyBorder="1" applyAlignment="1">
      <alignment horizontal="center" vertical="center" wrapText="1"/>
    </xf>
    <xf numFmtId="1" fontId="235" fillId="0" borderId="84" xfId="361" applyNumberFormat="1" applyFont="1" applyFill="1" applyBorder="1" applyAlignment="1">
      <alignment horizontal="center" vertical="center" wrapText="1"/>
    </xf>
    <xf numFmtId="49" fontId="236" fillId="0" borderId="84" xfId="361" applyNumberFormat="1" applyFont="1" applyFill="1" applyBorder="1" applyAlignment="1">
      <alignment horizontal="center" vertical="center" wrapText="1"/>
    </xf>
    <xf numFmtId="49" fontId="236" fillId="0" borderId="84" xfId="361" applyNumberFormat="1" applyFont="1" applyFill="1" applyBorder="1" applyAlignment="1">
      <alignment horizontal="justify" vertical="center" wrapText="1"/>
    </xf>
    <xf numFmtId="1" fontId="236" fillId="0" borderId="84" xfId="361" applyNumberFormat="1" applyFont="1" applyFill="1" applyBorder="1" applyAlignment="1">
      <alignment horizontal="center" vertical="center" wrapText="1"/>
    </xf>
    <xf numFmtId="3" fontId="236" fillId="0" borderId="84" xfId="527" applyNumberFormat="1" applyFont="1" applyFill="1" applyBorder="1" applyAlignment="1">
      <alignment vertical="center" wrapText="1"/>
    </xf>
    <xf numFmtId="0" fontId="234" fillId="0" borderId="84" xfId="361" applyFont="1" applyFill="1" applyBorder="1" applyAlignment="1">
      <alignment horizontal="center" vertical="center"/>
    </xf>
    <xf numFmtId="0" fontId="234" fillId="0" borderId="84" xfId="361" applyFont="1" applyFill="1" applyBorder="1" applyAlignment="1">
      <alignment horizontal="justify" vertical="center" wrapText="1"/>
    </xf>
    <xf numFmtId="1" fontId="234" fillId="0" borderId="84" xfId="361" applyNumberFormat="1" applyFont="1" applyFill="1" applyBorder="1" applyAlignment="1">
      <alignment horizontal="center" vertical="center" wrapText="1"/>
    </xf>
    <xf numFmtId="3" fontId="234" fillId="0" borderId="84" xfId="527" applyNumberFormat="1" applyFont="1" applyFill="1" applyBorder="1" applyAlignment="1">
      <alignment vertical="center" wrapText="1"/>
    </xf>
    <xf numFmtId="243" fontId="237" fillId="0" borderId="84" xfId="528" applyNumberFormat="1" applyFont="1" applyFill="1" applyBorder="1" applyAlignment="1">
      <alignment vertical="center"/>
    </xf>
    <xf numFmtId="243" fontId="237" fillId="39" borderId="84" xfId="528" applyNumberFormat="1" applyFont="1" applyFill="1" applyBorder="1" applyAlignment="1">
      <alignment vertical="center"/>
    </xf>
    <xf numFmtId="3" fontId="236" fillId="0" borderId="84" xfId="527" applyNumberFormat="1" applyFont="1" applyFill="1" applyBorder="1" applyAlignment="1">
      <alignment horizontal="center" vertical="center" wrapText="1"/>
    </xf>
    <xf numFmtId="243" fontId="234" fillId="39" borderId="84" xfId="528" applyNumberFormat="1" applyFont="1" applyFill="1" applyBorder="1" applyAlignment="1">
      <alignment vertical="center"/>
    </xf>
    <xf numFmtId="49" fontId="234" fillId="0" borderId="84" xfId="361" applyNumberFormat="1" applyFont="1" applyFill="1" applyBorder="1" applyAlignment="1">
      <alignment horizontal="center" vertical="center" wrapText="1"/>
    </xf>
    <xf numFmtId="49" fontId="234" fillId="0" borderId="84" xfId="361" applyNumberFormat="1" applyFont="1" applyFill="1" applyBorder="1" applyAlignment="1">
      <alignment horizontal="justify" vertical="center" wrapText="1"/>
    </xf>
    <xf numFmtId="3" fontId="238" fillId="0" borderId="84" xfId="527" applyNumberFormat="1" applyFont="1" applyFill="1" applyBorder="1" applyAlignment="1">
      <alignment vertical="center" wrapText="1"/>
    </xf>
    <xf numFmtId="243" fontId="237" fillId="36" borderId="84" xfId="528" applyNumberFormat="1" applyFont="1" applyFill="1" applyBorder="1" applyAlignment="1">
      <alignment vertical="center"/>
    </xf>
    <xf numFmtId="1" fontId="236" fillId="0" borderId="84" xfId="527" applyNumberFormat="1" applyFont="1" applyFill="1" applyBorder="1" applyAlignment="1">
      <alignment horizontal="center" vertical="center" wrapText="1"/>
    </xf>
    <xf numFmtId="0" fontId="234" fillId="0" borderId="88" xfId="527" applyFont="1" applyFill="1" applyBorder="1" applyAlignment="1">
      <alignment horizontal="justify" vertical="center" wrapText="1"/>
    </xf>
    <xf numFmtId="1" fontId="234" fillId="0" borderId="84" xfId="527" applyNumberFormat="1" applyFont="1" applyFill="1" applyBorder="1" applyAlignment="1">
      <alignment horizontal="center" vertical="center" wrapText="1"/>
    </xf>
    <xf numFmtId="0" fontId="235" fillId="0" borderId="84" xfId="361" applyFont="1" applyFill="1" applyBorder="1" applyAlignment="1">
      <alignment horizontal="center" vertical="center"/>
    </xf>
    <xf numFmtId="0" fontId="235" fillId="0" borderId="84" xfId="361" applyFont="1" applyFill="1" applyBorder="1" applyAlignment="1">
      <alignment horizontal="justify" vertical="center" wrapText="1"/>
    </xf>
    <xf numFmtId="0" fontId="236" fillId="0" borderId="84" xfId="361" applyFont="1" applyFill="1" applyBorder="1" applyAlignment="1">
      <alignment horizontal="center" vertical="center"/>
    </xf>
    <xf numFmtId="0" fontId="236" fillId="0" borderId="84" xfId="361" applyFont="1" applyFill="1" applyBorder="1" applyAlignment="1">
      <alignment horizontal="justify" vertical="center" wrapText="1"/>
    </xf>
    <xf numFmtId="0" fontId="234" fillId="0" borderId="84" xfId="527" applyFont="1" applyFill="1" applyBorder="1" applyAlignment="1">
      <alignment horizontal="center" vertical="center" wrapText="1"/>
    </xf>
    <xf numFmtId="0" fontId="234" fillId="0" borderId="84" xfId="527" applyFont="1" applyFill="1" applyBorder="1" applyAlignment="1">
      <alignment horizontal="justify" vertical="center" wrapText="1"/>
    </xf>
    <xf numFmtId="0" fontId="235" fillId="0" borderId="84" xfId="527" applyFont="1" applyFill="1" applyBorder="1" applyAlignment="1">
      <alignment horizontal="justify" vertical="center" wrapText="1"/>
    </xf>
    <xf numFmtId="0" fontId="235" fillId="0" borderId="84" xfId="361" applyFont="1" applyFill="1" applyBorder="1" applyAlignment="1">
      <alignment horizontal="center" vertical="center" wrapText="1"/>
    </xf>
    <xf numFmtId="0" fontId="238" fillId="0" borderId="84" xfId="361" applyFont="1" applyFill="1" applyBorder="1" applyAlignment="1">
      <alignment horizontal="center" vertical="center"/>
    </xf>
    <xf numFmtId="0" fontId="238" fillId="0" borderId="84" xfId="529" quotePrefix="1" applyNumberFormat="1" applyFont="1" applyFill="1" applyBorder="1" applyAlignment="1">
      <alignment horizontal="justify" vertical="center" wrapText="1"/>
    </xf>
    <xf numFmtId="3" fontId="238" fillId="0" borderId="84" xfId="530" quotePrefix="1" applyNumberFormat="1" applyFont="1" applyFill="1" applyBorder="1" applyAlignment="1">
      <alignment horizontal="center" vertical="center"/>
    </xf>
    <xf numFmtId="1" fontId="238" fillId="0" borderId="84" xfId="530" quotePrefix="1" applyNumberFormat="1" applyFont="1" applyFill="1" applyBorder="1" applyAlignment="1">
      <alignment horizontal="center" vertical="center"/>
    </xf>
    <xf numFmtId="0" fontId="234" fillId="0" borderId="88" xfId="361" applyFont="1" applyFill="1" applyBorder="1" applyAlignment="1">
      <alignment horizontal="justify" vertical="center" wrapText="1"/>
    </xf>
    <xf numFmtId="0" fontId="237" fillId="39" borderId="84" xfId="530" quotePrefix="1" applyFont="1" applyFill="1" applyBorder="1" applyAlignment="1">
      <alignment horizontal="center" vertical="center"/>
    </xf>
    <xf numFmtId="0" fontId="235" fillId="0" borderId="88" xfId="361" applyFont="1" applyFill="1" applyBorder="1" applyAlignment="1">
      <alignment horizontal="justify" vertical="center" wrapText="1"/>
    </xf>
    <xf numFmtId="3" fontId="234" fillId="0" borderId="88" xfId="527" applyNumberFormat="1" applyFont="1" applyFill="1" applyBorder="1" applyAlignment="1">
      <alignment horizontal="justify" vertical="center" wrapText="1"/>
    </xf>
    <xf numFmtId="49" fontId="235" fillId="0" borderId="84" xfId="530" applyNumberFormat="1" applyFont="1" applyFill="1" applyBorder="1" applyAlignment="1">
      <alignment horizontal="justify" vertical="center" wrapText="1"/>
    </xf>
    <xf numFmtId="3" fontId="234" fillId="0" borderId="84" xfId="530" applyNumberFormat="1" applyFont="1" applyFill="1" applyBorder="1" applyAlignment="1">
      <alignment horizontal="center" vertical="center"/>
    </xf>
    <xf numFmtId="1" fontId="234" fillId="0" borderId="84" xfId="530" applyNumberFormat="1" applyFont="1" applyFill="1" applyBorder="1" applyAlignment="1">
      <alignment horizontal="center" vertical="center" wrapText="1"/>
    </xf>
    <xf numFmtId="0" fontId="234" fillId="0" borderId="84" xfId="361" applyFont="1" applyFill="1" applyBorder="1" applyAlignment="1">
      <alignment horizontal="center" vertical="center" wrapText="1"/>
    </xf>
    <xf numFmtId="3" fontId="234" fillId="0" borderId="84" xfId="530" quotePrefix="1" applyNumberFormat="1" applyFont="1" applyFill="1" applyBorder="1" applyAlignment="1">
      <alignment horizontal="center" vertical="center"/>
    </xf>
    <xf numFmtId="1" fontId="234" fillId="0" borderId="84" xfId="530" quotePrefix="1" applyNumberFormat="1" applyFont="1" applyFill="1" applyBorder="1" applyAlignment="1">
      <alignment horizontal="center" vertical="center"/>
    </xf>
    <xf numFmtId="3" fontId="235" fillId="0" borderId="84" xfId="530" applyNumberFormat="1" applyFont="1" applyFill="1" applyBorder="1" applyAlignment="1">
      <alignment horizontal="center" vertical="center"/>
    </xf>
    <xf numFmtId="1" fontId="235" fillId="0" borderId="84" xfId="530" applyNumberFormat="1" applyFont="1" applyFill="1" applyBorder="1" applyAlignment="1">
      <alignment horizontal="center" vertical="center" wrapText="1"/>
    </xf>
    <xf numFmtId="43" fontId="234" fillId="0" borderId="88" xfId="531" applyFont="1" applyFill="1" applyBorder="1" applyAlignment="1">
      <alignment horizontal="justify" vertical="center" wrapText="1"/>
    </xf>
    <xf numFmtId="244" fontId="234" fillId="0" borderId="84" xfId="531" applyNumberFormat="1" applyFont="1" applyFill="1" applyBorder="1" applyAlignment="1">
      <alignment horizontal="justify" vertical="center" wrapText="1"/>
    </xf>
    <xf numFmtId="0" fontId="234" fillId="0" borderId="84" xfId="529" quotePrefix="1" applyNumberFormat="1" applyFont="1" applyFill="1" applyBorder="1" applyAlignment="1">
      <alignment horizontal="justify" vertical="center" wrapText="1"/>
    </xf>
    <xf numFmtId="0" fontId="234" fillId="0" borderId="112" xfId="531" applyNumberFormat="1" applyFont="1" applyFill="1" applyBorder="1" applyAlignment="1">
      <alignment horizontal="justify" wrapText="1"/>
    </xf>
    <xf numFmtId="0" fontId="235" fillId="0" borderId="84" xfId="529" quotePrefix="1" applyNumberFormat="1" applyFont="1" applyFill="1" applyBorder="1" applyAlignment="1">
      <alignment horizontal="justify" vertical="center" wrapText="1"/>
    </xf>
    <xf numFmtId="3" fontId="235" fillId="0" borderId="84" xfId="530" quotePrefix="1" applyNumberFormat="1" applyFont="1" applyFill="1" applyBorder="1" applyAlignment="1">
      <alignment horizontal="center" vertical="center"/>
    </xf>
    <xf numFmtId="1" fontId="235" fillId="0" borderId="84" xfId="530" quotePrefix="1" applyNumberFormat="1" applyFont="1" applyFill="1" applyBorder="1" applyAlignment="1">
      <alignment horizontal="center" vertical="center"/>
    </xf>
    <xf numFmtId="43" fontId="234" fillId="0" borderId="84" xfId="531" applyFont="1" applyFill="1" applyBorder="1" applyAlignment="1">
      <alignment horizontal="justify" vertical="center" wrapText="1"/>
    </xf>
    <xf numFmtId="0" fontId="235" fillId="0" borderId="84" xfId="530" applyFont="1" applyFill="1" applyBorder="1" applyAlignment="1">
      <alignment horizontal="justify" vertical="center" wrapText="1"/>
    </xf>
    <xf numFmtId="49" fontId="234" fillId="0" borderId="84" xfId="530" applyNumberFormat="1" applyFont="1" applyFill="1" applyBorder="1" applyAlignment="1">
      <alignment horizontal="justify" vertical="center" wrapText="1"/>
    </xf>
    <xf numFmtId="0" fontId="234" fillId="0" borderId="84" xfId="530" applyFont="1" applyFill="1" applyBorder="1" applyAlignment="1">
      <alignment horizontal="justify" vertical="center" wrapText="1"/>
    </xf>
    <xf numFmtId="49" fontId="234" fillId="0" borderId="84" xfId="532" applyNumberFormat="1" applyFont="1" applyFill="1" applyBorder="1" applyAlignment="1">
      <alignment horizontal="justify" vertical="center" wrapText="1"/>
    </xf>
    <xf numFmtId="49" fontId="234" fillId="0" borderId="84" xfId="527" applyNumberFormat="1" applyFont="1" applyFill="1" applyBorder="1" applyAlignment="1">
      <alignment horizontal="justify" vertical="center" wrapText="1"/>
    </xf>
    <xf numFmtId="0" fontId="235" fillId="38" borderId="84" xfId="527" applyFont="1" applyFill="1" applyBorder="1" applyAlignment="1">
      <alignment horizontal="center" vertical="center" wrapText="1"/>
    </xf>
    <xf numFmtId="0" fontId="235" fillId="38" borderId="84" xfId="527" applyFont="1" applyFill="1" applyBorder="1" applyAlignment="1">
      <alignment horizontal="justify" vertical="center" wrapText="1"/>
    </xf>
    <xf numFmtId="3" fontId="235" fillId="38" borderId="84" xfId="528" applyNumberFormat="1" applyFont="1" applyFill="1" applyBorder="1" applyAlignment="1">
      <alignment vertical="center"/>
    </xf>
    <xf numFmtId="3" fontId="235" fillId="0" borderId="84" xfId="528" applyNumberFormat="1" applyFont="1" applyFill="1" applyBorder="1" applyAlignment="1">
      <alignment vertical="center"/>
    </xf>
    <xf numFmtId="1" fontId="235" fillId="0" borderId="84" xfId="361" applyNumberFormat="1" applyFont="1" applyFill="1" applyBorder="1" applyAlignment="1">
      <alignment vertical="center" wrapText="1"/>
    </xf>
    <xf numFmtId="1" fontId="236" fillId="0" borderId="84" xfId="361" applyNumberFormat="1" applyFont="1" applyFill="1" applyBorder="1" applyAlignment="1">
      <alignment vertical="center" wrapText="1"/>
    </xf>
    <xf numFmtId="3" fontId="236" fillId="0" borderId="84" xfId="528" applyNumberFormat="1" applyFont="1" applyFill="1" applyBorder="1" applyAlignment="1">
      <alignment vertical="center"/>
    </xf>
    <xf numFmtId="49" fontId="234" fillId="0" borderId="84" xfId="533" applyNumberFormat="1" applyFont="1" applyFill="1" applyBorder="1" applyAlignment="1">
      <alignment horizontal="center" vertical="center" wrapText="1"/>
    </xf>
    <xf numFmtId="3" fontId="234" fillId="0" borderId="84" xfId="528" applyNumberFormat="1" applyFont="1" applyFill="1" applyBorder="1" applyAlignment="1">
      <alignment vertical="center"/>
    </xf>
    <xf numFmtId="1" fontId="235" fillId="0" borderId="84" xfId="361" applyNumberFormat="1" applyFont="1" applyFill="1" applyBorder="1" applyAlignment="1">
      <alignment horizontal="left" vertical="center" wrapText="1"/>
    </xf>
    <xf numFmtId="3" fontId="236" fillId="0" borderId="84" xfId="530" quotePrefix="1" applyNumberFormat="1" applyFont="1" applyFill="1" applyBorder="1" applyAlignment="1">
      <alignment horizontal="center" vertical="center"/>
    </xf>
    <xf numFmtId="3" fontId="235" fillId="0" borderId="84" xfId="528" applyNumberFormat="1" applyFont="1" applyFill="1" applyBorder="1" applyAlignment="1">
      <alignment vertical="center" wrapText="1"/>
    </xf>
    <xf numFmtId="49" fontId="236" fillId="0" borderId="84" xfId="533" applyNumberFormat="1" applyFont="1" applyFill="1" applyBorder="1" applyAlignment="1">
      <alignment horizontal="center" vertical="center" wrapText="1"/>
    </xf>
    <xf numFmtId="49" fontId="238" fillId="0" borderId="84" xfId="533" applyNumberFormat="1" applyFont="1" applyFill="1" applyBorder="1" applyAlignment="1">
      <alignment horizontal="center" vertical="center" wrapText="1"/>
    </xf>
    <xf numFmtId="3" fontId="238" fillId="0" borderId="84" xfId="528" applyNumberFormat="1" applyFont="1" applyFill="1" applyBorder="1" applyAlignment="1">
      <alignment vertical="center"/>
    </xf>
    <xf numFmtId="3" fontId="234" fillId="0" borderId="84" xfId="527" applyNumberFormat="1" applyFont="1" applyFill="1" applyBorder="1" applyAlignment="1">
      <alignment wrapText="1"/>
    </xf>
    <xf numFmtId="0" fontId="238" fillId="0" borderId="84" xfId="361" applyFont="1" applyFill="1" applyBorder="1" applyAlignment="1">
      <alignment horizontal="center" vertical="center" wrapText="1"/>
    </xf>
    <xf numFmtId="1" fontId="238" fillId="0" borderId="84" xfId="361" applyNumberFormat="1" applyFont="1" applyFill="1" applyBorder="1" applyAlignment="1">
      <alignment horizontal="center" vertical="center" wrapText="1"/>
    </xf>
    <xf numFmtId="0" fontId="238" fillId="0" borderId="84" xfId="361" applyFont="1" applyFill="1" applyBorder="1" applyAlignment="1">
      <alignment horizontal="justify" vertical="center" wrapText="1"/>
    </xf>
    <xf numFmtId="1" fontId="238" fillId="0" borderId="84" xfId="361" applyNumberFormat="1" applyFont="1" applyFill="1" applyBorder="1" applyAlignment="1">
      <alignment vertical="center" wrapText="1"/>
    </xf>
    <xf numFmtId="49" fontId="234" fillId="0" borderId="84" xfId="361" quotePrefix="1" applyNumberFormat="1" applyFont="1" applyFill="1" applyBorder="1" applyAlignment="1">
      <alignment horizontal="justify" vertical="center" wrapText="1"/>
    </xf>
    <xf numFmtId="3" fontId="238" fillId="0" borderId="84" xfId="530" applyNumberFormat="1" applyFont="1" applyFill="1" applyBorder="1" applyAlignment="1">
      <alignment horizontal="center" vertical="center"/>
    </xf>
    <xf numFmtId="3" fontId="238" fillId="0" borderId="84" xfId="528" applyNumberFormat="1" applyFont="1" applyFill="1" applyBorder="1" applyAlignment="1">
      <alignment vertical="center" wrapText="1"/>
    </xf>
    <xf numFmtId="1" fontId="238" fillId="0" borderId="84" xfId="527" applyNumberFormat="1" applyFont="1" applyFill="1" applyBorder="1" applyAlignment="1">
      <alignment horizontal="center" vertical="center" wrapText="1"/>
    </xf>
    <xf numFmtId="0" fontId="234" fillId="0" borderId="84" xfId="527" quotePrefix="1" applyFont="1" applyFill="1" applyBorder="1" applyAlignment="1">
      <alignment horizontal="justify" vertical="center" wrapText="1"/>
    </xf>
    <xf numFmtId="1" fontId="234" fillId="0" borderId="84" xfId="361" applyNumberFormat="1" applyFont="1" applyFill="1" applyBorder="1" applyAlignment="1">
      <alignment vertical="center" wrapText="1"/>
    </xf>
    <xf numFmtId="49" fontId="238" fillId="0" borderId="84" xfId="527" applyNumberFormat="1" applyFont="1" applyFill="1" applyBorder="1" applyAlignment="1">
      <alignment horizontal="justify" vertical="center" wrapText="1"/>
    </xf>
    <xf numFmtId="49" fontId="238" fillId="0" borderId="84" xfId="361" applyNumberFormat="1" applyFont="1" applyFill="1" applyBorder="1" applyAlignment="1">
      <alignment horizontal="justify" vertical="center" wrapText="1"/>
    </xf>
    <xf numFmtId="1" fontId="236" fillId="0" borderId="84" xfId="361" applyNumberFormat="1" applyFont="1" applyFill="1" applyBorder="1" applyAlignment="1">
      <alignment horizontal="left" vertical="center" wrapText="1"/>
    </xf>
    <xf numFmtId="0" fontId="236" fillId="0" borderId="84" xfId="527" applyFont="1" applyFill="1" applyBorder="1" applyAlignment="1">
      <alignment horizontal="center" vertical="center" wrapText="1"/>
    </xf>
    <xf numFmtId="0" fontId="236" fillId="0" borderId="84" xfId="527" applyFont="1" applyFill="1" applyBorder="1" applyAlignment="1">
      <alignment horizontal="justify" vertical="center" wrapText="1"/>
    </xf>
    <xf numFmtId="0" fontId="235" fillId="0" borderId="84" xfId="527" applyFont="1" applyFill="1" applyBorder="1" applyAlignment="1">
      <alignment horizontal="center" vertical="center" wrapText="1"/>
    </xf>
    <xf numFmtId="3" fontId="235" fillId="0" borderId="84" xfId="527" applyNumberFormat="1" applyFont="1" applyFill="1" applyBorder="1" applyAlignment="1">
      <alignment horizontal="justify" vertical="center" wrapText="1"/>
    </xf>
    <xf numFmtId="3" fontId="236" fillId="0" borderId="84" xfId="527" applyNumberFormat="1" applyFont="1" applyFill="1" applyBorder="1" applyAlignment="1">
      <alignment horizontal="justify" vertical="center" wrapText="1"/>
    </xf>
    <xf numFmtId="0" fontId="234" fillId="0" borderId="87" xfId="529" quotePrefix="1" applyNumberFormat="1" applyFont="1" applyFill="1" applyBorder="1" applyAlignment="1">
      <alignment horizontal="justify" vertical="center" wrapText="1"/>
    </xf>
    <xf numFmtId="0" fontId="235" fillId="0" borderId="84" xfId="527" applyFont="1" applyFill="1" applyBorder="1"/>
    <xf numFmtId="0" fontId="235" fillId="0" borderId="84" xfId="527" applyFont="1" applyFill="1" applyBorder="1" applyAlignment="1">
      <alignment horizontal="justify"/>
    </xf>
    <xf numFmtId="1" fontId="235" fillId="0" borderId="84" xfId="527" applyNumberFormat="1" applyFont="1" applyFill="1" applyBorder="1"/>
    <xf numFmtId="49" fontId="234" fillId="0" borderId="84" xfId="530" applyNumberFormat="1" applyFont="1" applyFill="1" applyBorder="1" applyAlignment="1">
      <alignment horizontal="center" vertical="center" wrapText="1"/>
    </xf>
    <xf numFmtId="3" fontId="234" fillId="0" borderId="84" xfId="528" applyNumberFormat="1" applyFont="1" applyFill="1" applyBorder="1" applyAlignment="1">
      <alignment vertical="center" wrapText="1"/>
    </xf>
    <xf numFmtId="49" fontId="235" fillId="0" borderId="84" xfId="530" applyNumberFormat="1" applyFont="1" applyFill="1" applyBorder="1" applyAlignment="1">
      <alignment horizontal="center" vertical="center" wrapText="1"/>
    </xf>
    <xf numFmtId="3" fontId="234" fillId="38" borderId="84" xfId="527" applyNumberFormat="1" applyFont="1" applyFill="1" applyBorder="1" applyAlignment="1">
      <alignment horizontal="center" vertical="center" wrapText="1"/>
    </xf>
    <xf numFmtId="1" fontId="234" fillId="38" borderId="84" xfId="527" applyNumberFormat="1" applyFont="1" applyFill="1" applyBorder="1" applyAlignment="1">
      <alignment horizontal="center" vertical="center" wrapText="1"/>
    </xf>
    <xf numFmtId="1" fontId="234" fillId="0" borderId="84" xfId="527" applyNumberFormat="1" applyFont="1" applyFill="1" applyBorder="1" applyAlignment="1">
      <alignment horizontal="center"/>
    </xf>
    <xf numFmtId="0" fontId="234" fillId="0" borderId="112" xfId="361" applyNumberFormat="1" applyFont="1" applyFill="1" applyBorder="1" applyAlignment="1">
      <alignment horizontal="justify" wrapText="1"/>
    </xf>
    <xf numFmtId="0" fontId="236" fillId="0" borderId="84" xfId="529" quotePrefix="1" applyNumberFormat="1" applyFont="1" applyFill="1" applyBorder="1" applyAlignment="1">
      <alignment horizontal="justify" vertical="center" wrapText="1"/>
    </xf>
    <xf numFmtId="49" fontId="235" fillId="38" borderId="84" xfId="530" applyNumberFormat="1" applyFont="1" applyFill="1" applyBorder="1" applyAlignment="1">
      <alignment horizontal="center" vertical="center" wrapText="1"/>
    </xf>
    <xf numFmtId="49" fontId="235" fillId="38" borderId="84" xfId="530" applyNumberFormat="1" applyFont="1" applyFill="1" applyBorder="1" applyAlignment="1">
      <alignment horizontal="justify" vertical="center" wrapText="1"/>
    </xf>
    <xf numFmtId="3" fontId="235" fillId="38" borderId="84" xfId="530" applyNumberFormat="1" applyFont="1" applyFill="1" applyBorder="1" applyAlignment="1">
      <alignment horizontal="center" vertical="center"/>
    </xf>
    <xf numFmtId="1" fontId="235" fillId="38" borderId="84" xfId="530" applyNumberFormat="1" applyFont="1" applyFill="1" applyBorder="1" applyAlignment="1">
      <alignment horizontal="center" vertical="center" wrapText="1"/>
    </xf>
    <xf numFmtId="3" fontId="235" fillId="38" borderId="84" xfId="528" applyNumberFormat="1" applyFont="1" applyFill="1" applyBorder="1" applyAlignment="1">
      <alignment vertical="center" wrapText="1"/>
    </xf>
    <xf numFmtId="243" fontId="235" fillId="0" borderId="84" xfId="528" applyNumberFormat="1" applyFont="1" applyFill="1" applyBorder="1" applyAlignment="1">
      <alignment vertical="center" wrapText="1"/>
    </xf>
    <xf numFmtId="49" fontId="235" fillId="0" borderId="84" xfId="533" applyNumberFormat="1" applyFont="1" applyFill="1" applyBorder="1" applyAlignment="1">
      <alignment horizontal="center" vertical="center" wrapText="1"/>
    </xf>
    <xf numFmtId="49" fontId="235" fillId="0" borderId="84" xfId="529" quotePrefix="1" applyNumberFormat="1" applyFont="1" applyFill="1" applyBorder="1" applyAlignment="1">
      <alignment horizontal="justify" vertical="center" wrapText="1"/>
    </xf>
    <xf numFmtId="1" fontId="235" fillId="0" borderId="84" xfId="527" applyNumberFormat="1" applyFont="1" applyFill="1" applyBorder="1" applyAlignment="1">
      <alignment horizontal="center"/>
    </xf>
    <xf numFmtId="49" fontId="236" fillId="0" borderId="84" xfId="529" quotePrefix="1" applyNumberFormat="1" applyFont="1" applyFill="1" applyBorder="1" applyAlignment="1">
      <alignment horizontal="justify" vertical="center" wrapText="1"/>
    </xf>
    <xf numFmtId="1" fontId="236" fillId="0" borderId="84" xfId="530" quotePrefix="1" applyNumberFormat="1" applyFont="1" applyFill="1" applyBorder="1" applyAlignment="1">
      <alignment horizontal="center" vertical="center"/>
    </xf>
    <xf numFmtId="49" fontId="234" fillId="0" borderId="84" xfId="529" quotePrefix="1" applyNumberFormat="1" applyFont="1" applyFill="1" applyBorder="1" applyAlignment="1">
      <alignment horizontal="justify" vertical="center" wrapText="1"/>
    </xf>
    <xf numFmtId="49" fontId="234" fillId="0" borderId="84" xfId="361" applyNumberFormat="1" applyFont="1" applyFill="1" applyBorder="1" applyAlignment="1">
      <alignment horizontal="center" vertical="center"/>
    </xf>
    <xf numFmtId="0" fontId="234" fillId="0" borderId="84" xfId="527" applyFont="1" applyFill="1" applyBorder="1" applyAlignment="1">
      <alignment horizontal="justify" vertical="center"/>
    </xf>
    <xf numFmtId="0" fontId="234" fillId="0" borderId="84" xfId="527" applyNumberFormat="1" applyFont="1" applyFill="1" applyBorder="1" applyAlignment="1">
      <alignment horizontal="justify" wrapText="1"/>
    </xf>
    <xf numFmtId="49" fontId="235" fillId="38" borderId="87" xfId="530" applyNumberFormat="1" applyFont="1" applyFill="1" applyBorder="1" applyAlignment="1">
      <alignment horizontal="center" vertical="center" wrapText="1"/>
    </xf>
    <xf numFmtId="49" fontId="235" fillId="38" borderId="87" xfId="530" applyNumberFormat="1" applyFont="1" applyFill="1" applyBorder="1" applyAlignment="1">
      <alignment horizontal="justify" vertical="center" wrapText="1"/>
    </xf>
    <xf numFmtId="3" fontId="235" fillId="38" borderId="87" xfId="530" applyNumberFormat="1" applyFont="1" applyFill="1" applyBorder="1" applyAlignment="1">
      <alignment horizontal="center" vertical="center"/>
    </xf>
    <xf numFmtId="1" fontId="235" fillId="38" borderId="87" xfId="530" applyNumberFormat="1" applyFont="1" applyFill="1" applyBorder="1" applyAlignment="1">
      <alignment horizontal="center" vertical="center" wrapText="1"/>
    </xf>
    <xf numFmtId="3" fontId="235" fillId="38" borderId="87" xfId="528" applyNumberFormat="1" applyFont="1" applyFill="1" applyBorder="1" applyAlignment="1">
      <alignment vertical="center" wrapText="1"/>
    </xf>
    <xf numFmtId="49" fontId="235" fillId="38" borderId="84" xfId="533" applyNumberFormat="1" applyFont="1" applyFill="1" applyBorder="1" applyAlignment="1">
      <alignment horizontal="center" vertical="center" wrapText="1"/>
    </xf>
    <xf numFmtId="0" fontId="235" fillId="38" borderId="84" xfId="529" quotePrefix="1" applyNumberFormat="1" applyFont="1" applyFill="1" applyBorder="1" applyAlignment="1">
      <alignment horizontal="justify" vertical="center" wrapText="1"/>
    </xf>
    <xf numFmtId="3" fontId="235" fillId="38" borderId="84" xfId="530" quotePrefix="1" applyNumberFormat="1" applyFont="1" applyFill="1" applyBorder="1" applyAlignment="1">
      <alignment horizontal="center" vertical="center"/>
    </xf>
    <xf numFmtId="1" fontId="235" fillId="38" borderId="84" xfId="530" quotePrefix="1" applyNumberFormat="1" applyFont="1" applyFill="1" applyBorder="1" applyAlignment="1">
      <alignment horizontal="center" vertical="center"/>
    </xf>
    <xf numFmtId="0" fontId="234" fillId="0" borderId="113" xfId="527" applyNumberFormat="1" applyFont="1" applyFill="1" applyBorder="1" applyAlignment="1">
      <alignment horizontal="justify" wrapText="1"/>
    </xf>
    <xf numFmtId="0" fontId="234" fillId="0" borderId="88" xfId="527" applyNumberFormat="1" applyFont="1" applyFill="1" applyBorder="1" applyAlignment="1">
      <alignment horizontal="justify" wrapText="1"/>
    </xf>
    <xf numFmtId="0" fontId="240" fillId="40" borderId="88" xfId="527" applyFont="1" applyFill="1" applyBorder="1" applyAlignment="1">
      <alignment horizontal="center" vertical="center"/>
    </xf>
    <xf numFmtId="1" fontId="235" fillId="38" borderId="84" xfId="361" applyNumberFormat="1" applyFont="1" applyFill="1" applyBorder="1" applyAlignment="1">
      <alignment horizontal="center" vertical="center" wrapText="1"/>
    </xf>
    <xf numFmtId="49" fontId="235" fillId="0" borderId="84" xfId="530" applyNumberFormat="1" applyFont="1" applyFill="1" applyBorder="1" applyAlignment="1">
      <alignment horizontal="center" vertical="center"/>
    </xf>
    <xf numFmtId="243" fontId="235" fillId="0" borderId="84" xfId="528" applyNumberFormat="1" applyFont="1" applyFill="1" applyBorder="1" applyAlignment="1">
      <alignment horizontal="right" vertical="center" wrapText="1"/>
    </xf>
    <xf numFmtId="49" fontId="236" fillId="0" borderId="84" xfId="530" applyNumberFormat="1" applyFont="1" applyFill="1" applyBorder="1" applyAlignment="1">
      <alignment horizontal="center" vertical="center" wrapText="1"/>
    </xf>
    <xf numFmtId="49" fontId="236" fillId="0" borderId="84" xfId="530" applyNumberFormat="1" applyFont="1" applyFill="1" applyBorder="1" applyAlignment="1">
      <alignment horizontal="justify" vertical="center" wrapText="1"/>
    </xf>
    <xf numFmtId="49" fontId="236" fillId="0" borderId="84" xfId="530" applyNumberFormat="1" applyFont="1" applyFill="1" applyBorder="1" applyAlignment="1">
      <alignment horizontal="center" vertical="center"/>
    </xf>
    <xf numFmtId="1" fontId="236" fillId="0" borderId="84" xfId="530" applyNumberFormat="1" applyFont="1" applyFill="1" applyBorder="1" applyAlignment="1">
      <alignment horizontal="center" vertical="center" wrapText="1"/>
    </xf>
    <xf numFmtId="243" fontId="236" fillId="0" borderId="84" xfId="528" applyNumberFormat="1" applyFont="1" applyFill="1" applyBorder="1" applyAlignment="1">
      <alignment horizontal="right" vertical="center" wrapText="1"/>
    </xf>
    <xf numFmtId="49" fontId="234" fillId="0" borderId="84" xfId="530" quotePrefix="1" applyNumberFormat="1" applyFont="1" applyFill="1" applyBorder="1" applyAlignment="1">
      <alignment horizontal="center" vertical="center"/>
    </xf>
    <xf numFmtId="243" fontId="234" fillId="0" borderId="84" xfId="528" applyNumberFormat="1" applyFont="1" applyFill="1" applyBorder="1" applyAlignment="1">
      <alignment horizontal="right" vertical="center"/>
    </xf>
    <xf numFmtId="49" fontId="236" fillId="0" borderId="84" xfId="529" quotePrefix="1" applyNumberFormat="1" applyFont="1" applyFill="1" applyBorder="1" applyAlignment="1">
      <alignment horizontal="center" vertical="center" wrapText="1"/>
    </xf>
    <xf numFmtId="49" fontId="236" fillId="0" borderId="84" xfId="533" applyNumberFormat="1" applyFont="1" applyFill="1" applyBorder="1" applyAlignment="1">
      <alignment horizontal="justify" vertical="center" wrapText="1"/>
    </xf>
    <xf numFmtId="49" fontId="238" fillId="0" borderId="84" xfId="529" applyNumberFormat="1" applyFont="1" applyFill="1" applyBorder="1" applyAlignment="1">
      <alignment horizontal="center" vertical="center" wrapText="1"/>
    </xf>
    <xf numFmtId="49" fontId="238" fillId="0" borderId="84" xfId="533" quotePrefix="1" applyNumberFormat="1" applyFont="1" applyFill="1" applyBorder="1" applyAlignment="1">
      <alignment horizontal="justify" vertical="center" wrapText="1"/>
    </xf>
    <xf numFmtId="49" fontId="238" fillId="0" borderId="84" xfId="530" applyNumberFormat="1" applyFont="1" applyFill="1" applyBorder="1" applyAlignment="1">
      <alignment horizontal="center" vertical="center"/>
    </xf>
    <xf numFmtId="1" fontId="238" fillId="0" borderId="84" xfId="530" applyNumberFormat="1" applyFont="1" applyFill="1" applyBorder="1" applyAlignment="1">
      <alignment horizontal="center" vertical="center" wrapText="1"/>
    </xf>
    <xf numFmtId="243" fontId="238" fillId="0" borderId="84" xfId="528" applyNumberFormat="1" applyFont="1" applyFill="1" applyBorder="1" applyAlignment="1">
      <alignment horizontal="right" vertical="center" wrapText="1"/>
    </xf>
    <xf numFmtId="49" fontId="234" fillId="0" borderId="84" xfId="530" applyNumberFormat="1" applyFont="1" applyFill="1" applyBorder="1" applyAlignment="1">
      <alignment horizontal="center" vertical="center"/>
    </xf>
    <xf numFmtId="1" fontId="234" fillId="0" borderId="84" xfId="530" applyNumberFormat="1" applyFont="1" applyFill="1" applyBorder="1" applyAlignment="1">
      <alignment horizontal="center" vertical="center"/>
    </xf>
    <xf numFmtId="49" fontId="234" fillId="0" borderId="88" xfId="530" quotePrefix="1" applyNumberFormat="1" applyFont="1" applyFill="1" applyBorder="1" applyAlignment="1">
      <alignment horizontal="center" vertical="center"/>
    </xf>
    <xf numFmtId="243" fontId="234" fillId="0" borderId="88" xfId="528" applyNumberFormat="1" applyFont="1" applyFill="1" applyBorder="1" applyAlignment="1">
      <alignment horizontal="right" vertical="center"/>
    </xf>
    <xf numFmtId="49" fontId="234" fillId="0" borderId="88" xfId="533" applyNumberFormat="1" applyFont="1" applyFill="1" applyBorder="1" applyAlignment="1">
      <alignment horizontal="center" vertical="center" wrapText="1"/>
    </xf>
    <xf numFmtId="0" fontId="234" fillId="0" borderId="88" xfId="529" quotePrefix="1" applyNumberFormat="1" applyFont="1" applyFill="1" applyBorder="1" applyAlignment="1">
      <alignment horizontal="justify" vertical="center" wrapText="1"/>
    </xf>
    <xf numFmtId="3" fontId="234" fillId="0" borderId="88" xfId="527" applyNumberFormat="1" applyFont="1" applyFill="1" applyBorder="1" applyAlignment="1">
      <alignment vertical="center" wrapText="1"/>
    </xf>
    <xf numFmtId="49" fontId="237" fillId="39" borderId="88" xfId="529" quotePrefix="1" applyNumberFormat="1" applyFont="1" applyFill="1" applyBorder="1" applyAlignment="1">
      <alignment horizontal="left" vertical="center" wrapText="1"/>
    </xf>
    <xf numFmtId="49" fontId="237" fillId="39" borderId="88" xfId="530" quotePrefix="1" applyNumberFormat="1" applyFont="1" applyFill="1" applyBorder="1" applyAlignment="1">
      <alignment horizontal="center" vertical="center"/>
    </xf>
    <xf numFmtId="243" fontId="237" fillId="39" borderId="88" xfId="528" applyNumberFormat="1" applyFont="1" applyFill="1" applyBorder="1" applyAlignment="1">
      <alignment horizontal="right" vertical="center"/>
    </xf>
    <xf numFmtId="49" fontId="234" fillId="0" borderId="86" xfId="533" applyNumberFormat="1" applyFont="1" applyFill="1" applyBorder="1" applyAlignment="1">
      <alignment horizontal="center" vertical="center" wrapText="1"/>
    </xf>
    <xf numFmtId="0" fontId="237" fillId="39" borderId="86" xfId="529" quotePrefix="1" applyNumberFormat="1" applyFont="1" applyFill="1" applyBorder="1" applyAlignment="1">
      <alignment horizontal="left" vertical="center" wrapText="1"/>
    </xf>
    <xf numFmtId="49" fontId="234" fillId="0" borderId="86" xfId="530" quotePrefix="1" applyNumberFormat="1" applyFont="1" applyFill="1" applyBorder="1" applyAlignment="1">
      <alignment horizontal="center" vertical="center"/>
    </xf>
    <xf numFmtId="0" fontId="234" fillId="0" borderId="86" xfId="527" applyFont="1" applyFill="1" applyBorder="1" applyAlignment="1">
      <alignment wrapText="1"/>
    </xf>
    <xf numFmtId="243" fontId="234" fillId="0" borderId="86" xfId="528" applyNumberFormat="1" applyFont="1" applyFill="1" applyBorder="1" applyAlignment="1">
      <alignment horizontal="right" vertical="center"/>
    </xf>
    <xf numFmtId="3" fontId="234" fillId="0" borderId="86" xfId="527" applyNumberFormat="1" applyFont="1" applyFill="1" applyBorder="1" applyAlignment="1">
      <alignment vertical="center" wrapText="1"/>
    </xf>
    <xf numFmtId="3" fontId="171" fillId="0" borderId="73" xfId="527" applyNumberFormat="1" applyFont="1" applyFill="1" applyBorder="1" applyAlignment="1">
      <alignment horizontal="center" vertical="center" wrapText="1"/>
    </xf>
    <xf numFmtId="3" fontId="214" fillId="0" borderId="0" xfId="527" applyNumberFormat="1" applyFont="1" applyFill="1" applyAlignment="1">
      <alignment vertical="center" wrapText="1"/>
    </xf>
    <xf numFmtId="49" fontId="170" fillId="0" borderId="0" xfId="527" applyNumberFormat="1" applyFont="1" applyFill="1" applyAlignment="1">
      <alignment vertical="center" wrapText="1"/>
    </xf>
    <xf numFmtId="49" fontId="169" fillId="0" borderId="0" xfId="527" applyNumberFormat="1" applyFont="1" applyFill="1" applyAlignment="1">
      <alignment vertical="center" wrapText="1"/>
    </xf>
    <xf numFmtId="0" fontId="178" fillId="0" borderId="0" xfId="529" quotePrefix="1" applyNumberFormat="1" applyFont="1" applyFill="1" applyBorder="1" applyAlignment="1">
      <alignment horizontal="justify" vertical="center" wrapText="1"/>
    </xf>
    <xf numFmtId="49" fontId="178" fillId="0" borderId="0" xfId="530" quotePrefix="1" applyNumberFormat="1" applyFont="1" applyFill="1" applyBorder="1" applyAlignment="1">
      <alignment horizontal="center" vertical="center"/>
    </xf>
    <xf numFmtId="243" fontId="178" fillId="0" borderId="0" xfId="528" applyNumberFormat="1" applyFont="1" applyFill="1" applyBorder="1" applyAlignment="1">
      <alignment horizontal="right" vertical="center"/>
    </xf>
    <xf numFmtId="3" fontId="178" fillId="0" borderId="0" xfId="527" applyNumberFormat="1" applyFont="1" applyFill="1" applyBorder="1" applyAlignment="1">
      <alignment vertical="center" wrapText="1"/>
    </xf>
    <xf numFmtId="3" fontId="178" fillId="0" borderId="0" xfId="527" applyNumberFormat="1" applyFont="1" applyFill="1" applyBorder="1" applyAlignment="1">
      <alignment wrapText="1"/>
    </xf>
    <xf numFmtId="3" fontId="208" fillId="0" borderId="0" xfId="527" applyNumberFormat="1" applyFont="1" applyFill="1" applyBorder="1" applyAlignment="1">
      <alignment vertical="center" wrapText="1"/>
    </xf>
    <xf numFmtId="0" fontId="178" fillId="0" borderId="0" xfId="529" quotePrefix="1" applyNumberFormat="1" applyFont="1" applyFill="1" applyBorder="1" applyAlignment="1">
      <alignment wrapText="1"/>
    </xf>
    <xf numFmtId="0" fontId="130" fillId="0" borderId="14" xfId="0" applyFont="1" applyBorder="1"/>
    <xf numFmtId="184" fontId="142" fillId="0" borderId="67" xfId="218" applyNumberFormat="1" applyFont="1" applyFill="1" applyBorder="1" applyAlignment="1" applyProtection="1"/>
    <xf numFmtId="4" fontId="188" fillId="0" borderId="67" xfId="523" applyNumberFormat="1" applyFont="1" applyFill="1" applyBorder="1" applyAlignment="1">
      <alignment horizontal="right" vertical="center" wrapText="1"/>
    </xf>
    <xf numFmtId="4" fontId="189" fillId="0" borderId="67" xfId="523" applyNumberFormat="1" applyFont="1" applyBorder="1" applyAlignment="1">
      <alignment vertical="center" wrapText="1"/>
    </xf>
    <xf numFmtId="4" fontId="189" fillId="0" borderId="67" xfId="523" applyNumberFormat="1" applyFont="1" applyFill="1" applyBorder="1" applyAlignment="1">
      <alignment vertical="center" wrapText="1"/>
    </xf>
    <xf numFmtId="4" fontId="188" fillId="0" borderId="21" xfId="180" applyNumberFormat="1" applyFont="1" applyFill="1" applyBorder="1" applyAlignment="1" applyProtection="1"/>
    <xf numFmtId="1" fontId="143" fillId="0" borderId="18" xfId="0" applyNumberFormat="1" applyFont="1" applyFill="1" applyBorder="1"/>
    <xf numFmtId="4" fontId="143" fillId="0" borderId="61" xfId="180" applyNumberFormat="1" applyFont="1" applyFill="1" applyBorder="1" applyAlignment="1" applyProtection="1"/>
    <xf numFmtId="231" fontId="143" fillId="0" borderId="42" xfId="180" applyNumberFormat="1" applyFont="1" applyFill="1" applyBorder="1" applyAlignment="1" applyProtection="1"/>
    <xf numFmtId="4" fontId="143" fillId="34" borderId="55" xfId="180" applyNumberFormat="1" applyFont="1" applyFill="1" applyBorder="1" applyAlignment="1" applyProtection="1"/>
    <xf numFmtId="231" fontId="143" fillId="0" borderId="67" xfId="180" applyNumberFormat="1" applyFont="1" applyFill="1" applyBorder="1" applyAlignment="1" applyProtection="1"/>
    <xf numFmtId="4" fontId="143" fillId="0" borderId="18" xfId="180" applyNumberFormat="1" applyFont="1" applyFill="1" applyBorder="1" applyAlignment="1" applyProtection="1"/>
    <xf numFmtId="4" fontId="29" fillId="0" borderId="55" xfId="180" applyNumberFormat="1" applyFont="1" applyFill="1" applyBorder="1" applyAlignment="1" applyProtection="1"/>
    <xf numFmtId="4" fontId="70" fillId="35" borderId="0" xfId="365" applyNumberFormat="1" applyFont="1" applyFill="1"/>
    <xf numFmtId="0" fontId="70" fillId="35" borderId="0" xfId="365" applyFont="1" applyFill="1"/>
    <xf numFmtId="225" fontId="161" fillId="0" borderId="39" xfId="219" applyNumberFormat="1" applyFont="1" applyFill="1" applyBorder="1" applyAlignment="1" applyProtection="1">
      <alignment horizontal="right"/>
    </xf>
    <xf numFmtId="225" fontId="161" fillId="0" borderId="46" xfId="219" applyNumberFormat="1" applyFont="1" applyFill="1" applyBorder="1" applyAlignment="1" applyProtection="1">
      <alignment horizontal="right"/>
    </xf>
    <xf numFmtId="39" fontId="162" fillId="0" borderId="0" xfId="0" applyNumberFormat="1" applyFont="1" applyFill="1"/>
    <xf numFmtId="231" fontId="18" fillId="0" borderId="0" xfId="365" applyNumberFormat="1" applyFont="1"/>
    <xf numFmtId="0" fontId="163" fillId="0" borderId="0" xfId="0" applyFont="1"/>
    <xf numFmtId="0" fontId="170" fillId="0" borderId="0" xfId="574" applyFont="1"/>
    <xf numFmtId="0" fontId="171" fillId="0" borderId="0" xfId="574" applyFont="1"/>
    <xf numFmtId="3" fontId="170" fillId="0" borderId="0" xfId="574" applyNumberFormat="1" applyFont="1"/>
    <xf numFmtId="0" fontId="169" fillId="0" borderId="67" xfId="574" applyFont="1" applyBorder="1" applyAlignment="1">
      <alignment horizontal="center" vertical="center"/>
    </xf>
    <xf numFmtId="0" fontId="169" fillId="0" borderId="67" xfId="574" applyFont="1" applyBorder="1" applyAlignment="1">
      <alignment wrapText="1"/>
    </xf>
    <xf numFmtId="3" fontId="170" fillId="0" borderId="67" xfId="574" applyNumberFormat="1" applyFont="1" applyBorder="1"/>
    <xf numFmtId="3" fontId="169" fillId="0" borderId="67" xfId="574" applyNumberFormat="1" applyFont="1" applyBorder="1"/>
    <xf numFmtId="0" fontId="170" fillId="0" borderId="67" xfId="574" applyFont="1" applyBorder="1"/>
    <xf numFmtId="3" fontId="171" fillId="0" borderId="0" xfId="574" applyNumberFormat="1" applyFont="1"/>
    <xf numFmtId="0" fontId="169" fillId="0" borderId="67" xfId="574" applyFont="1" applyBorder="1"/>
    <xf numFmtId="0" fontId="170" fillId="0" borderId="67" xfId="574" applyFont="1" applyBorder="1" applyAlignment="1">
      <alignment horizontal="center" vertical="center"/>
    </xf>
    <xf numFmtId="0" fontId="170" fillId="0" borderId="67" xfId="574" quotePrefix="1" applyFont="1" applyBorder="1"/>
    <xf numFmtId="0" fontId="170" fillId="0" borderId="67" xfId="574" applyFont="1" applyFill="1" applyBorder="1" applyAlignment="1">
      <alignment horizontal="center" vertical="center"/>
    </xf>
    <xf numFmtId="0" fontId="170" fillId="0" borderId="67" xfId="574" applyFont="1" applyFill="1" applyBorder="1"/>
    <xf numFmtId="3" fontId="170" fillId="0" borderId="67" xfId="574" applyNumberFormat="1" applyFont="1" applyFill="1" applyBorder="1"/>
    <xf numFmtId="3" fontId="169" fillId="0" borderId="67" xfId="574" applyNumberFormat="1" applyFont="1" applyFill="1" applyBorder="1"/>
    <xf numFmtId="0" fontId="169" fillId="0" borderId="67" xfId="574" applyFont="1" applyFill="1" applyBorder="1"/>
    <xf numFmtId="0" fontId="171" fillId="0" borderId="0" xfId="574" applyFont="1" applyFill="1"/>
    <xf numFmtId="0" fontId="169" fillId="0" borderId="67" xfId="574" applyFont="1" applyFill="1" applyBorder="1" applyAlignment="1">
      <alignment horizontal="center" vertical="center"/>
    </xf>
    <xf numFmtId="3" fontId="171" fillId="0" borderId="0" xfId="574" applyNumberFormat="1" applyFont="1" applyFill="1"/>
    <xf numFmtId="0" fontId="169" fillId="0" borderId="67" xfId="574" applyFont="1" applyFill="1" applyBorder="1" applyAlignment="1">
      <alignment horizontal="left" vertical="center"/>
    </xf>
    <xf numFmtId="43" fontId="142" fillId="0" borderId="67" xfId="218" applyNumberFormat="1" applyFont="1" applyFill="1" applyBorder="1" applyAlignment="1" applyProtection="1"/>
    <xf numFmtId="43" fontId="18" fillId="0" borderId="67" xfId="218" applyNumberFormat="1" applyFont="1" applyFill="1" applyBorder="1" applyAlignment="1" applyProtection="1"/>
    <xf numFmtId="43" fontId="130" fillId="0" borderId="67" xfId="218" applyNumberFormat="1" applyFont="1" applyFill="1" applyBorder="1" applyAlignment="1" applyProtection="1"/>
    <xf numFmtId="3" fontId="177" fillId="0" borderId="67" xfId="574" applyNumberFormat="1" applyFont="1" applyBorder="1"/>
    <xf numFmtId="253" fontId="18" fillId="0" borderId="0" xfId="0" applyNumberFormat="1" applyFont="1"/>
    <xf numFmtId="3" fontId="70" fillId="0" borderId="0" xfId="365" applyNumberFormat="1" applyFont="1"/>
    <xf numFmtId="0" fontId="168" fillId="0" borderId="0" xfId="0" applyFont="1" applyFill="1"/>
    <xf numFmtId="3" fontId="168" fillId="0" borderId="0" xfId="0" applyNumberFormat="1" applyFont="1" applyFill="1"/>
    <xf numFmtId="0" fontId="168" fillId="0" borderId="0" xfId="0" applyFont="1" applyFill="1" applyAlignment="1">
      <alignment horizontal="center"/>
    </xf>
    <xf numFmtId="0" fontId="168" fillId="0" borderId="67" xfId="0" applyFont="1" applyFill="1" applyBorder="1"/>
    <xf numFmtId="4" fontId="168" fillId="0" borderId="0" xfId="0" applyNumberFormat="1" applyFont="1" applyFill="1"/>
    <xf numFmtId="0" fontId="185" fillId="0" borderId="67" xfId="0" applyFont="1" applyFill="1" applyBorder="1"/>
    <xf numFmtId="0" fontId="185" fillId="0" borderId="0" xfId="0" applyFont="1" applyFill="1"/>
    <xf numFmtId="4" fontId="185" fillId="0" borderId="0" xfId="0" applyNumberFormat="1" applyFont="1" applyFill="1"/>
    <xf numFmtId="2" fontId="185" fillId="0" borderId="74" xfId="0" applyNumberFormat="1" applyFont="1" applyFill="1" applyBorder="1"/>
    <xf numFmtId="2" fontId="168" fillId="0" borderId="75" xfId="0" applyNumberFormat="1" applyFont="1" applyFill="1" applyBorder="1"/>
    <xf numFmtId="2" fontId="168" fillId="0" borderId="76" xfId="0" applyNumberFormat="1" applyFont="1" applyFill="1" applyBorder="1"/>
    <xf numFmtId="2" fontId="168" fillId="0" borderId="77" xfId="0" applyNumberFormat="1" applyFont="1" applyFill="1" applyBorder="1"/>
    <xf numFmtId="2" fontId="168" fillId="0" borderId="78" xfId="0" applyNumberFormat="1" applyFont="1" applyFill="1" applyBorder="1"/>
    <xf numFmtId="0" fontId="168" fillId="0" borderId="79" xfId="0" applyFont="1" applyFill="1" applyBorder="1"/>
    <xf numFmtId="0" fontId="185" fillId="0" borderId="79" xfId="0" applyFont="1" applyFill="1" applyBorder="1"/>
    <xf numFmtId="4" fontId="18" fillId="0" borderId="0" xfId="0" applyNumberFormat="1" applyFont="1" applyFill="1" applyBorder="1"/>
    <xf numFmtId="236" fontId="18" fillId="0" borderId="0" xfId="0" applyNumberFormat="1" applyFont="1" applyFill="1" applyBorder="1"/>
    <xf numFmtId="4" fontId="20" fillId="0" borderId="0" xfId="0" applyNumberFormat="1" applyFont="1" applyFill="1" applyBorder="1"/>
    <xf numFmtId="3" fontId="20" fillId="0" borderId="67" xfId="0" applyNumberFormat="1" applyFont="1" applyFill="1" applyBorder="1" applyAlignment="1">
      <alignment vertical="center"/>
    </xf>
    <xf numFmtId="0" fontId="18" fillId="0" borderId="0" xfId="0" applyFont="1" applyFill="1" applyAlignment="1">
      <alignment vertical="center"/>
    </xf>
    <xf numFmtId="236" fontId="159" fillId="0" borderId="55" xfId="0" applyNumberFormat="1" applyFont="1" applyFill="1" applyBorder="1"/>
    <xf numFmtId="236" fontId="20" fillId="0" borderId="63" xfId="0" applyNumberFormat="1" applyFont="1" applyFill="1" applyBorder="1"/>
    <xf numFmtId="236" fontId="20" fillId="0" borderId="62" xfId="0" applyNumberFormat="1" applyFont="1" applyFill="1" applyBorder="1"/>
    <xf numFmtId="236" fontId="159" fillId="0" borderId="63" xfId="0" applyNumberFormat="1" applyFont="1" applyFill="1" applyBorder="1"/>
    <xf numFmtId="236" fontId="20" fillId="0" borderId="64" xfId="0" applyNumberFormat="1" applyFont="1" applyFill="1" applyBorder="1"/>
    <xf numFmtId="0" fontId="142" fillId="0" borderId="0" xfId="0" applyFont="1" applyFill="1" applyAlignment="1">
      <alignment horizontal="center"/>
    </xf>
    <xf numFmtId="240" fontId="18" fillId="0" borderId="0" xfId="0" applyNumberFormat="1" applyFont="1" applyFill="1"/>
    <xf numFmtId="0" fontId="18" fillId="0" borderId="0" xfId="0" applyFont="1" applyFill="1" applyAlignment="1">
      <alignment horizontal="left"/>
    </xf>
    <xf numFmtId="240" fontId="18" fillId="0" borderId="0" xfId="0" applyNumberFormat="1" applyFont="1" applyFill="1" applyBorder="1"/>
    <xf numFmtId="240" fontId="142" fillId="0" borderId="0" xfId="0" applyNumberFormat="1" applyFont="1" applyFill="1"/>
    <xf numFmtId="0" fontId="148" fillId="0" borderId="25" xfId="0" applyFont="1" applyFill="1" applyBorder="1" applyAlignment="1">
      <alignment horizontal="center" vertical="center" wrapText="1"/>
    </xf>
    <xf numFmtId="0" fontId="148" fillId="0" borderId="25" xfId="0" applyFont="1" applyFill="1" applyBorder="1" applyAlignment="1">
      <alignment horizontal="center" vertical="center"/>
    </xf>
    <xf numFmtId="0" fontId="142" fillId="0" borderId="67" xfId="0" applyFont="1" applyFill="1" applyBorder="1"/>
    <xf numFmtId="0" fontId="148" fillId="0" borderId="83" xfId="0" applyFont="1" applyFill="1" applyBorder="1" applyAlignment="1">
      <alignment vertical="center"/>
    </xf>
    <xf numFmtId="0" fontId="148" fillId="0" borderId="79" xfId="0" applyFont="1" applyFill="1" applyBorder="1" applyAlignment="1">
      <alignment vertical="center"/>
    </xf>
    <xf numFmtId="236" fontId="159" fillId="0" borderId="60" xfId="0" applyNumberFormat="1" applyFont="1" applyFill="1" applyBorder="1"/>
    <xf numFmtId="4" fontId="18" fillId="0" borderId="0" xfId="362" applyNumberFormat="1" applyFont="1"/>
    <xf numFmtId="0" fontId="18" fillId="0" borderId="0" xfId="365" applyFont="1" applyAlignment="1">
      <alignment horizontal="center"/>
    </xf>
    <xf numFmtId="3" fontId="142" fillId="0" borderId="0" xfId="365" applyNumberFormat="1" applyFont="1" applyAlignment="1">
      <alignment horizontal="center"/>
    </xf>
    <xf numFmtId="0" fontId="142" fillId="0" borderId="0" xfId="365" applyFont="1" applyAlignment="1">
      <alignment horizontal="center"/>
    </xf>
    <xf numFmtId="0" fontId="18" fillId="0" borderId="54" xfId="365" applyFont="1" applyFill="1" applyBorder="1" applyAlignment="1">
      <alignment horizontal="center"/>
    </xf>
    <xf numFmtId="3" fontId="142" fillId="0" borderId="36" xfId="180" applyNumberFormat="1" applyFont="1" applyFill="1" applyBorder="1" applyAlignment="1" applyProtection="1">
      <alignment horizontal="right"/>
    </xf>
    <xf numFmtId="4" fontId="142" fillId="0" borderId="36" xfId="180" applyNumberFormat="1" applyFont="1" applyFill="1" applyBorder="1" applyAlignment="1" applyProtection="1">
      <alignment horizontal="right"/>
    </xf>
    <xf numFmtId="0" fontId="18" fillId="0" borderId="21" xfId="365" applyFont="1" applyFill="1" applyBorder="1"/>
    <xf numFmtId="0" fontId="130" fillId="0" borderId="21" xfId="365" applyFont="1" applyFill="1" applyBorder="1"/>
    <xf numFmtId="3" fontId="130" fillId="0" borderId="21" xfId="219" applyNumberFormat="1" applyFont="1" applyFill="1" applyBorder="1" applyAlignment="1" applyProtection="1">
      <alignment horizontal="right"/>
    </xf>
    <xf numFmtId="0" fontId="130" fillId="0" borderId="21" xfId="365" applyFont="1" applyBorder="1"/>
    <xf numFmtId="225" fontId="142" fillId="0" borderId="21" xfId="219" applyNumberFormat="1" applyFont="1" applyFill="1" applyBorder="1" applyAlignment="1" applyProtection="1">
      <alignment horizontal="right"/>
    </xf>
    <xf numFmtId="4" fontId="142" fillId="0" borderId="21" xfId="180" applyNumberFormat="1" applyFont="1" applyFill="1" applyBorder="1" applyAlignment="1" applyProtection="1">
      <alignment horizontal="right"/>
    </xf>
    <xf numFmtId="225" fontId="130" fillId="0" borderId="21" xfId="219" applyNumberFormat="1" applyFont="1" applyFill="1" applyBorder="1" applyAlignment="1" applyProtection="1">
      <alignment horizontal="right"/>
    </xf>
    <xf numFmtId="0" fontId="142" fillId="0" borderId="21" xfId="365" applyFont="1" applyBorder="1" applyAlignment="1">
      <alignment wrapText="1"/>
    </xf>
    <xf numFmtId="225" fontId="142" fillId="0" borderId="42" xfId="219" applyNumberFormat="1" applyFont="1" applyFill="1" applyBorder="1" applyAlignment="1" applyProtection="1">
      <alignment horizontal="right"/>
    </xf>
    <xf numFmtId="4" fontId="142" fillId="0" borderId="42" xfId="180" applyNumberFormat="1" applyFont="1" applyFill="1" applyBorder="1" applyAlignment="1" applyProtection="1">
      <alignment horizontal="right"/>
    </xf>
    <xf numFmtId="0" fontId="18" fillId="0" borderId="42" xfId="365" applyFont="1" applyBorder="1"/>
    <xf numFmtId="225" fontId="18" fillId="0" borderId="42" xfId="219" applyNumberFormat="1" applyFont="1" applyFill="1" applyBorder="1" applyAlignment="1" applyProtection="1">
      <alignment horizontal="right"/>
    </xf>
    <xf numFmtId="4" fontId="18" fillId="0" borderId="42" xfId="180" applyNumberFormat="1" applyFont="1" applyFill="1" applyBorder="1" applyAlignment="1" applyProtection="1">
      <alignment horizontal="right"/>
    </xf>
    <xf numFmtId="0" fontId="142" fillId="0" borderId="45" xfId="365" applyFont="1" applyBorder="1"/>
    <xf numFmtId="225" fontId="142" fillId="0" borderId="45" xfId="219" applyNumberFormat="1" applyFont="1" applyFill="1" applyBorder="1" applyAlignment="1" applyProtection="1">
      <alignment horizontal="right"/>
    </xf>
    <xf numFmtId="4" fontId="142" fillId="0" borderId="45" xfId="180" applyNumberFormat="1" applyFont="1" applyFill="1" applyBorder="1" applyAlignment="1" applyProtection="1">
      <alignment horizontal="right"/>
    </xf>
    <xf numFmtId="4" fontId="143" fillId="0" borderId="10" xfId="180" applyNumberFormat="1" applyFont="1" applyFill="1" applyBorder="1" applyAlignment="1" applyProtection="1"/>
    <xf numFmtId="4" fontId="143" fillId="0" borderId="67" xfId="180" applyNumberFormat="1" applyFont="1" applyFill="1" applyBorder="1" applyAlignment="1" applyProtection="1"/>
    <xf numFmtId="4" fontId="192" fillId="0" borderId="21" xfId="180" applyNumberFormat="1" applyFont="1" applyFill="1" applyBorder="1" applyAlignment="1" applyProtection="1"/>
    <xf numFmtId="4" fontId="189" fillId="0" borderId="21" xfId="180" applyNumberFormat="1" applyFont="1" applyFill="1" applyBorder="1" applyAlignment="1" applyProtection="1"/>
    <xf numFmtId="1" fontId="29" fillId="0" borderId="18" xfId="0" applyNumberFormat="1" applyFont="1" applyFill="1" applyBorder="1" applyAlignment="1"/>
    <xf numFmtId="1" fontId="29" fillId="0" borderId="52" xfId="0" applyNumberFormat="1" applyFont="1" applyFill="1" applyBorder="1" applyAlignment="1">
      <alignment horizontal="center"/>
    </xf>
    <xf numFmtId="1" fontId="29" fillId="0" borderId="59" xfId="0" applyNumberFormat="1" applyFont="1" applyFill="1" applyBorder="1" applyAlignment="1">
      <alignment horizontal="center"/>
    </xf>
    <xf numFmtId="0" fontId="147" fillId="0" borderId="55" xfId="0" applyNumberFormat="1" applyFont="1" applyFill="1" applyBorder="1" applyAlignment="1">
      <alignment horizontal="center"/>
    </xf>
    <xf numFmtId="0" fontId="147" fillId="0" borderId="3" xfId="0" applyNumberFormat="1" applyFont="1" applyFill="1" applyBorder="1" applyAlignment="1">
      <alignment horizontal="center"/>
    </xf>
    <xf numFmtId="231" fontId="29" fillId="0" borderId="42" xfId="180" applyNumberFormat="1" applyFont="1" applyFill="1" applyBorder="1" applyAlignment="1" applyProtection="1"/>
    <xf numFmtId="231" fontId="29" fillId="0" borderId="67" xfId="180" applyNumberFormat="1" applyFont="1" applyFill="1" applyBorder="1" applyAlignment="1" applyProtection="1"/>
    <xf numFmtId="0" fontId="143" fillId="0" borderId="18" xfId="365" applyFont="1" applyFill="1" applyBorder="1" applyAlignment="1"/>
    <xf numFmtId="3" fontId="155" fillId="0" borderId="0" xfId="365" applyNumberFormat="1" applyFont="1" applyFill="1"/>
    <xf numFmtId="3" fontId="246" fillId="0" borderId="0" xfId="365" applyNumberFormat="1" applyFont="1" applyFill="1"/>
    <xf numFmtId="4" fontId="246" fillId="0" borderId="0" xfId="365" applyNumberFormat="1" applyFont="1" applyFill="1"/>
    <xf numFmtId="0" fontId="246" fillId="0" borderId="0" xfId="365" applyFont="1" applyFill="1"/>
    <xf numFmtId="3" fontId="246" fillId="0" borderId="0" xfId="365" applyNumberFormat="1" applyFont="1"/>
    <xf numFmtId="0" fontId="246" fillId="0" borderId="0" xfId="365" applyFont="1"/>
    <xf numFmtId="231" fontId="155" fillId="0" borderId="0" xfId="365" applyNumberFormat="1" applyFont="1" applyFill="1"/>
    <xf numFmtId="0" fontId="192" fillId="23" borderId="3" xfId="365" applyFont="1" applyFill="1" applyBorder="1"/>
    <xf numFmtId="174" fontId="152" fillId="0" borderId="40" xfId="218" applyFont="1" applyFill="1" applyBorder="1" applyAlignment="1" applyProtection="1">
      <alignment horizontal="right"/>
    </xf>
    <xf numFmtId="174" fontId="29" fillId="0" borderId="40" xfId="218" applyFont="1" applyFill="1" applyBorder="1" applyAlignment="1" applyProtection="1">
      <alignment horizontal="right"/>
    </xf>
    <xf numFmtId="225" fontId="143" fillId="0" borderId="25" xfId="219" applyNumberFormat="1" applyFont="1" applyFill="1" applyBorder="1" applyAlignment="1" applyProtection="1">
      <alignment horizontal="right"/>
    </xf>
    <xf numFmtId="3" fontId="143" fillId="23" borderId="25" xfId="219" applyNumberFormat="1" applyFont="1" applyFill="1" applyBorder="1" applyAlignment="1" applyProtection="1">
      <alignment horizontal="right"/>
    </xf>
    <xf numFmtId="4" fontId="143" fillId="23" borderId="25" xfId="180" applyNumberFormat="1" applyFont="1" applyFill="1" applyBorder="1" applyAlignment="1" applyProtection="1">
      <alignment horizontal="right"/>
    </xf>
    <xf numFmtId="4" fontId="143" fillId="0" borderId="25" xfId="180" applyNumberFormat="1" applyFont="1" applyFill="1" applyBorder="1" applyAlignment="1" applyProtection="1">
      <alignment horizontal="right"/>
    </xf>
    <xf numFmtId="231" fontId="143" fillId="0" borderId="25" xfId="219" applyNumberFormat="1" applyFont="1" applyFill="1" applyBorder="1" applyAlignment="1" applyProtection="1">
      <alignment horizontal="right"/>
    </xf>
    <xf numFmtId="225" fontId="143" fillId="0" borderId="67" xfId="219" applyNumberFormat="1" applyFont="1" applyFill="1" applyBorder="1" applyAlignment="1" applyProtection="1">
      <alignment horizontal="right"/>
    </xf>
    <xf numFmtId="3" fontId="143" fillId="0" borderId="67" xfId="219" applyNumberFormat="1" applyFont="1" applyFill="1" applyBorder="1" applyAlignment="1" applyProtection="1">
      <alignment horizontal="right"/>
    </xf>
    <xf numFmtId="231" fontId="143" fillId="0" borderId="67" xfId="219" applyNumberFormat="1" applyFont="1" applyFill="1" applyBorder="1" applyAlignment="1" applyProtection="1">
      <alignment horizontal="right"/>
    </xf>
    <xf numFmtId="4" fontId="143" fillId="0" borderId="67" xfId="180" applyNumberFormat="1" applyFont="1" applyFill="1" applyBorder="1" applyAlignment="1" applyProtection="1">
      <alignment horizontal="right"/>
    </xf>
    <xf numFmtId="0" fontId="155" fillId="0" borderId="67" xfId="365" applyFont="1" applyBorder="1"/>
    <xf numFmtId="0" fontId="143" fillId="23" borderId="67" xfId="365" applyFont="1" applyFill="1" applyBorder="1" applyAlignment="1">
      <alignment horizontal="center"/>
    </xf>
    <xf numFmtId="231" fontId="143" fillId="23" borderId="67" xfId="219" applyNumberFormat="1" applyFont="1" applyFill="1" applyBorder="1" applyAlignment="1" applyProtection="1">
      <alignment horizontal="right"/>
    </xf>
    <xf numFmtId="4" fontId="143" fillId="23" borderId="67" xfId="180" applyNumberFormat="1" applyFont="1" applyFill="1" applyBorder="1" applyAlignment="1" applyProtection="1">
      <alignment horizontal="right"/>
    </xf>
    <xf numFmtId="3" fontId="143" fillId="0" borderId="67" xfId="365" applyNumberFormat="1" applyFont="1" applyFill="1" applyBorder="1"/>
    <xf numFmtId="0" fontId="143" fillId="0" borderId="61" xfId="365" applyFont="1" applyFill="1" applyBorder="1" applyAlignment="1">
      <alignment horizontal="center"/>
    </xf>
    <xf numFmtId="0" fontId="143" fillId="0" borderId="67" xfId="365" applyFont="1" applyFill="1" applyBorder="1" applyAlignment="1"/>
    <xf numFmtId="0" fontId="143" fillId="0" borderId="67" xfId="365" applyFont="1" applyFill="1" applyBorder="1" applyAlignment="1">
      <alignment horizontal="center"/>
    </xf>
    <xf numFmtId="0" fontId="29" fillId="0" borderId="67" xfId="365" applyFont="1" applyFill="1" applyBorder="1" applyAlignment="1">
      <alignment horizontal="center"/>
    </xf>
    <xf numFmtId="0" fontId="149" fillId="23" borderId="3" xfId="365" applyFont="1" applyFill="1" applyBorder="1" applyAlignment="1">
      <alignment horizontal="center"/>
    </xf>
    <xf numFmtId="0" fontId="143" fillId="23" borderId="25" xfId="365" applyFont="1" applyFill="1" applyBorder="1" applyAlignment="1">
      <alignment horizontal="center"/>
    </xf>
    <xf numFmtId="0" fontId="142" fillId="0" borderId="67" xfId="365" applyFont="1" applyBorder="1" applyAlignment="1">
      <alignment horizontal="center" vertical="center"/>
    </xf>
    <xf numFmtId="0" fontId="152" fillId="0" borderId="83" xfId="365" applyFont="1" applyFill="1" applyBorder="1" applyAlignment="1"/>
    <xf numFmtId="0" fontId="152" fillId="0" borderId="79" xfId="365" applyFont="1" applyFill="1" applyBorder="1" applyAlignment="1"/>
    <xf numFmtId="0" fontId="18" fillId="0" borderId="0" xfId="365" applyFont="1" applyAlignment="1">
      <alignment horizontal="center"/>
    </xf>
    <xf numFmtId="3" fontId="142" fillId="0" borderId="0" xfId="365" applyNumberFormat="1" applyFont="1" applyAlignment="1">
      <alignment horizontal="center"/>
    </xf>
    <xf numFmtId="0" fontId="142" fillId="0" borderId="0" xfId="365" applyFont="1" applyAlignment="1">
      <alignment horizontal="center"/>
    </xf>
    <xf numFmtId="4" fontId="29" fillId="0" borderId="0" xfId="365" applyNumberFormat="1" applyFont="1" applyFill="1" applyAlignment="1"/>
    <xf numFmtId="0" fontId="29" fillId="0" borderId="55" xfId="365" applyFont="1" applyBorder="1" applyAlignment="1">
      <alignment horizontal="center" vertical="center"/>
    </xf>
    <xf numFmtId="4" fontId="29" fillId="0" borderId="3" xfId="365" applyNumberFormat="1" applyFont="1" applyFill="1" applyBorder="1" applyAlignment="1">
      <alignment horizontal="center"/>
    </xf>
    <xf numFmtId="4" fontId="143" fillId="0" borderId="55" xfId="365" applyNumberFormat="1" applyFont="1" applyFill="1" applyBorder="1" applyAlignment="1">
      <alignment horizontal="center"/>
    </xf>
    <xf numFmtId="4" fontId="143" fillId="0" borderId="55" xfId="365" applyNumberFormat="1" applyFont="1" applyFill="1" applyBorder="1" applyAlignment="1">
      <alignment horizontal="right"/>
    </xf>
    <xf numFmtId="0" fontId="143" fillId="23" borderId="25" xfId="365" applyFont="1" applyFill="1" applyBorder="1"/>
    <xf numFmtId="0" fontId="143" fillId="0" borderId="67" xfId="365" applyFont="1" applyFill="1" applyBorder="1"/>
    <xf numFmtId="0" fontId="142" fillId="0" borderId="67" xfId="365" applyFont="1" applyBorder="1"/>
    <xf numFmtId="0" fontId="143" fillId="23" borderId="67" xfId="365" applyFont="1" applyFill="1" applyBorder="1"/>
    <xf numFmtId="0" fontId="143" fillId="0" borderId="82" xfId="365" applyFont="1" applyFill="1" applyBorder="1" applyAlignment="1"/>
    <xf numFmtId="0" fontId="29" fillId="0" borderId="82" xfId="365" applyFont="1" applyFill="1" applyBorder="1" applyAlignment="1">
      <alignment horizontal="center"/>
    </xf>
    <xf numFmtId="49" fontId="29" fillId="0" borderId="56" xfId="365" applyNumberFormat="1" applyFont="1" applyFill="1" applyBorder="1" applyAlignment="1">
      <alignment horizontal="center"/>
    </xf>
    <xf numFmtId="49" fontId="29" fillId="0" borderId="18" xfId="365" applyNumberFormat="1" applyFont="1" applyFill="1" applyBorder="1" applyAlignment="1">
      <alignment horizontal="center"/>
    </xf>
    <xf numFmtId="4" fontId="143" fillId="23" borderId="18" xfId="180" applyNumberFormat="1" applyFont="1" applyFill="1" applyBorder="1" applyAlignment="1" applyProtection="1">
      <alignment horizontal="right"/>
    </xf>
    <xf numFmtId="231" fontId="143" fillId="23" borderId="18" xfId="219" applyNumberFormat="1" applyFont="1" applyFill="1" applyBorder="1" applyAlignment="1" applyProtection="1">
      <alignment horizontal="right"/>
    </xf>
    <xf numFmtId="231" fontId="143" fillId="0" borderId="18" xfId="219" applyNumberFormat="1" applyFont="1" applyFill="1" applyBorder="1" applyAlignment="1" applyProtection="1">
      <alignment horizontal="right"/>
    </xf>
    <xf numFmtId="4" fontId="29" fillId="23" borderId="18" xfId="180" applyNumberFormat="1" applyFont="1" applyFill="1" applyBorder="1" applyAlignment="1" applyProtection="1">
      <alignment horizontal="right"/>
    </xf>
    <xf numFmtId="4" fontId="143" fillId="23" borderId="54" xfId="180" applyNumberFormat="1" applyFont="1" applyFill="1" applyBorder="1" applyAlignment="1" applyProtection="1">
      <alignment horizontal="right"/>
    </xf>
    <xf numFmtId="4" fontId="143" fillId="0" borderId="82" xfId="180" applyNumberFormat="1" applyFont="1" applyFill="1" applyBorder="1" applyAlignment="1" applyProtection="1">
      <alignment horizontal="right"/>
    </xf>
    <xf numFmtId="0" fontId="155" fillId="0" borderId="82" xfId="365" applyFont="1" applyBorder="1"/>
    <xf numFmtId="4" fontId="143" fillId="23" borderId="82" xfId="180" applyNumberFormat="1" applyFont="1" applyFill="1" applyBorder="1" applyAlignment="1" applyProtection="1">
      <alignment horizontal="right"/>
    </xf>
    <xf numFmtId="4" fontId="29" fillId="0" borderId="18" xfId="180" applyNumberFormat="1" applyFont="1" applyFill="1" applyBorder="1" applyAlignment="1" applyProtection="1">
      <alignment horizontal="right"/>
    </xf>
    <xf numFmtId="49" fontId="29" fillId="0" borderId="67" xfId="365" applyNumberFormat="1" applyFont="1" applyFill="1" applyBorder="1" applyAlignment="1">
      <alignment horizontal="center"/>
    </xf>
    <xf numFmtId="49" fontId="31" fillId="0" borderId="67" xfId="365" applyNumberFormat="1" applyFont="1" applyFill="1" applyBorder="1" applyAlignment="1">
      <alignment horizontal="center"/>
    </xf>
    <xf numFmtId="4" fontId="18" fillId="0" borderId="67" xfId="365" applyNumberFormat="1" applyFont="1" applyBorder="1"/>
    <xf numFmtId="0" fontId="18" fillId="0" borderId="67" xfId="365" applyFont="1" applyBorder="1"/>
    <xf numFmtId="4" fontId="29" fillId="23" borderId="67" xfId="180" applyNumberFormat="1" applyFont="1" applyFill="1" applyBorder="1" applyAlignment="1" applyProtection="1">
      <alignment horizontal="right"/>
    </xf>
    <xf numFmtId="4" fontId="18" fillId="0" borderId="67" xfId="365" applyNumberFormat="1" applyFont="1" applyBorder="1" applyAlignment="1">
      <alignment horizontal="center"/>
    </xf>
    <xf numFmtId="49" fontId="143" fillId="0" borderId="55" xfId="365" applyNumberFormat="1" applyFont="1" applyFill="1" applyBorder="1" applyAlignment="1">
      <alignment horizontal="center"/>
    </xf>
    <xf numFmtId="231" fontId="149" fillId="0" borderId="3" xfId="219" applyNumberFormat="1" applyFont="1" applyFill="1" applyBorder="1" applyAlignment="1" applyProtection="1">
      <alignment horizontal="right"/>
    </xf>
    <xf numFmtId="3" fontId="149" fillId="23" borderId="3" xfId="180" applyNumberFormat="1" applyFont="1" applyFill="1" applyBorder="1" applyAlignment="1" applyProtection="1">
      <alignment horizontal="right"/>
    </xf>
    <xf numFmtId="4" fontId="149" fillId="23" borderId="18" xfId="180" applyNumberFormat="1" applyFont="1" applyFill="1" applyBorder="1" applyAlignment="1" applyProtection="1">
      <alignment horizontal="right"/>
    </xf>
    <xf numFmtId="4" fontId="149" fillId="23" borderId="67" xfId="180" applyNumberFormat="1" applyFont="1" applyFill="1" applyBorder="1" applyAlignment="1" applyProtection="1">
      <alignment horizontal="right"/>
    </xf>
    <xf numFmtId="0" fontId="143" fillId="23" borderId="55" xfId="365" applyFont="1" applyFill="1" applyBorder="1" applyAlignment="1">
      <alignment horizontal="center"/>
    </xf>
    <xf numFmtId="0" fontId="143" fillId="23" borderId="55" xfId="365" applyFont="1" applyFill="1" applyBorder="1"/>
    <xf numFmtId="3" fontId="143" fillId="0" borderId="55" xfId="180" applyNumberFormat="1" applyFont="1" applyFill="1" applyBorder="1" applyAlignment="1" applyProtection="1">
      <alignment horizontal="right"/>
    </xf>
    <xf numFmtId="4" fontId="143" fillId="23" borderId="56" xfId="180" applyNumberFormat="1" applyFont="1" applyFill="1" applyBorder="1" applyAlignment="1" applyProtection="1">
      <alignment horizontal="right"/>
    </xf>
    <xf numFmtId="4" fontId="29" fillId="0" borderId="67" xfId="180" applyNumberFormat="1" applyFont="1" applyFill="1" applyBorder="1" applyAlignment="1" applyProtection="1">
      <alignment horizontal="right"/>
    </xf>
    <xf numFmtId="0" fontId="29" fillId="0" borderId="3" xfId="365" applyFont="1" applyFill="1" applyBorder="1" applyAlignment="1">
      <alignment wrapText="1"/>
    </xf>
    <xf numFmtId="0" fontId="143" fillId="0" borderId="3" xfId="365" applyFont="1" applyFill="1" applyBorder="1" applyAlignment="1">
      <alignment wrapText="1"/>
    </xf>
    <xf numFmtId="1" fontId="18" fillId="0" borderId="0" xfId="0" applyNumberFormat="1" applyFont="1" applyFill="1" applyAlignment="1">
      <alignment wrapText="1"/>
    </xf>
    <xf numFmtId="3" fontId="143" fillId="0" borderId="55" xfId="365" applyNumberFormat="1" applyFont="1" applyFill="1" applyBorder="1" applyAlignment="1">
      <alignment horizontal="right"/>
    </xf>
    <xf numFmtId="0" fontId="188" fillId="0" borderId="83" xfId="365" applyFont="1" applyFill="1" applyBorder="1" applyAlignment="1">
      <alignment vertical="center"/>
    </xf>
    <xf numFmtId="0" fontId="189" fillId="0" borderId="67" xfId="365" applyFont="1" applyFill="1" applyBorder="1" applyAlignment="1">
      <alignment horizontal="center" vertical="center"/>
    </xf>
    <xf numFmtId="37" fontId="143" fillId="0" borderId="3" xfId="219" applyNumberFormat="1" applyFont="1" applyFill="1" applyBorder="1" applyAlignment="1" applyProtection="1">
      <alignment horizontal="right"/>
    </xf>
    <xf numFmtId="3" fontId="138" fillId="23" borderId="3" xfId="180" applyNumberFormat="1" applyFont="1" applyFill="1" applyBorder="1" applyAlignment="1" applyProtection="1">
      <alignment horizontal="right"/>
    </xf>
    <xf numFmtId="39" fontId="143" fillId="0" borderId="3" xfId="219" applyNumberFormat="1" applyFont="1" applyFill="1" applyBorder="1" applyAlignment="1" applyProtection="1">
      <alignment horizontal="right"/>
    </xf>
    <xf numFmtId="4" fontId="189" fillId="23" borderId="67" xfId="180" applyNumberFormat="1" applyFont="1" applyFill="1" applyBorder="1" applyAlignment="1" applyProtection="1">
      <alignment horizontal="right"/>
    </xf>
    <xf numFmtId="39" fontId="29" fillId="0" borderId="3" xfId="219" applyNumberFormat="1" applyFont="1" applyFill="1" applyBorder="1" applyAlignment="1" applyProtection="1">
      <alignment horizontal="right"/>
    </xf>
    <xf numFmtId="39" fontId="29" fillId="23" borderId="3" xfId="219" applyNumberFormat="1" applyFont="1" applyFill="1" applyBorder="1" applyAlignment="1" applyProtection="1">
      <alignment horizontal="right"/>
    </xf>
    <xf numFmtId="3" fontId="142" fillId="0" borderId="0" xfId="365" applyNumberFormat="1" applyFont="1" applyAlignment="1">
      <alignment horizontal="center"/>
    </xf>
    <xf numFmtId="0" fontId="18" fillId="0" borderId="0" xfId="365" applyFont="1" applyAlignment="1">
      <alignment horizontal="center"/>
    </xf>
    <xf numFmtId="0" fontId="142" fillId="0" borderId="0" xfId="365" applyFont="1" applyAlignment="1">
      <alignment horizontal="center"/>
    </xf>
    <xf numFmtId="0" fontId="143" fillId="0" borderId="3" xfId="365" applyFont="1" applyFill="1" applyBorder="1" applyAlignment="1">
      <alignment horizontal="center"/>
    </xf>
    <xf numFmtId="0" fontId="143" fillId="0" borderId="59" xfId="365" applyFont="1" applyFill="1" applyBorder="1" applyAlignment="1">
      <alignment horizontal="center" vertical="center"/>
    </xf>
    <xf numFmtId="0" fontId="152" fillId="0" borderId="67" xfId="365" applyFont="1" applyFill="1" applyBorder="1" applyAlignment="1">
      <alignment horizontal="center"/>
    </xf>
    <xf numFmtId="0" fontId="18" fillId="0" borderId="0" xfId="0" applyFont="1" applyFill="1" applyAlignment="1">
      <alignment horizontal="center"/>
    </xf>
    <xf numFmtId="1" fontId="189" fillId="0" borderId="21" xfId="0" applyNumberFormat="1" applyFont="1" applyFill="1" applyBorder="1"/>
    <xf numFmtId="231" fontId="189" fillId="0" borderId="21" xfId="180" applyNumberFormat="1" applyFont="1" applyFill="1" applyBorder="1" applyAlignment="1" applyProtection="1"/>
    <xf numFmtId="4" fontId="189" fillId="0" borderId="21" xfId="180" applyNumberFormat="1" applyFont="1" applyFill="1" applyBorder="1" applyAlignment="1" applyProtection="1">
      <alignment horizontal="right"/>
    </xf>
    <xf numFmtId="223" fontId="189" fillId="0" borderId="0" xfId="180" applyFont="1" applyFill="1" applyBorder="1" applyAlignment="1" applyProtection="1"/>
    <xf numFmtId="4" fontId="162" fillId="0" borderId="0" xfId="0" applyNumberFormat="1" applyFont="1" applyFill="1"/>
    <xf numFmtId="0" fontId="162" fillId="0" borderId="0" xfId="0" applyFont="1" applyFill="1"/>
    <xf numFmtId="4" fontId="161" fillId="0" borderId="67" xfId="365" applyNumberFormat="1" applyFont="1" applyBorder="1"/>
    <xf numFmtId="37" fontId="244" fillId="0" borderId="3" xfId="219" applyNumberFormat="1" applyFont="1" applyFill="1" applyBorder="1" applyAlignment="1" applyProtection="1">
      <alignment horizontal="right"/>
    </xf>
    <xf numFmtId="3" fontId="142" fillId="0" borderId="0" xfId="365" applyNumberFormat="1" applyFont="1" applyAlignment="1">
      <alignment horizontal="center"/>
    </xf>
    <xf numFmtId="0" fontId="18" fillId="0" borderId="0" xfId="365" applyFont="1" applyAlignment="1">
      <alignment horizontal="center"/>
    </xf>
    <xf numFmtId="0" fontId="146" fillId="0" borderId="0" xfId="365" applyFont="1" applyAlignment="1">
      <alignment horizontal="center"/>
    </xf>
    <xf numFmtId="0" fontId="142" fillId="0" borderId="0" xfId="365" applyFont="1" applyAlignment="1">
      <alignment horizontal="center"/>
    </xf>
    <xf numFmtId="1" fontId="18" fillId="0" borderId="0" xfId="0" applyNumberFormat="1" applyFont="1" applyFill="1" applyAlignment="1">
      <alignment horizontal="right"/>
    </xf>
    <xf numFmtId="0" fontId="144" fillId="0" borderId="0" xfId="365" applyFont="1" applyFill="1" applyBorder="1" applyAlignment="1">
      <alignment horizontal="center" vertical="center"/>
    </xf>
    <xf numFmtId="0" fontId="143" fillId="0" borderId="67" xfId="365" applyFont="1" applyFill="1" applyBorder="1" applyAlignment="1">
      <alignment horizontal="center" vertical="center" wrapText="1"/>
    </xf>
    <xf numFmtId="0" fontId="132" fillId="0" borderId="67" xfId="365" applyFont="1" applyFill="1" applyBorder="1" applyAlignment="1">
      <alignment horizontal="center" vertical="center" wrapText="1"/>
    </xf>
    <xf numFmtId="0" fontId="132" fillId="0" borderId="67" xfId="365" applyFont="1" applyBorder="1" applyAlignment="1">
      <alignment horizontal="center" vertical="center" wrapText="1"/>
    </xf>
    <xf numFmtId="0" fontId="185" fillId="0" borderId="0" xfId="365" applyFont="1" applyAlignment="1">
      <alignment horizontal="left" vertical="center"/>
    </xf>
    <xf numFmtId="0" fontId="168" fillId="0" borderId="0" xfId="365" applyFont="1"/>
    <xf numFmtId="4" fontId="168" fillId="0" borderId="0" xfId="365" applyNumberFormat="1" applyFont="1"/>
    <xf numFmtId="0" fontId="168" fillId="0" borderId="0" xfId="365" applyFont="1" applyAlignment="1">
      <alignment horizontal="right"/>
    </xf>
    <xf numFmtId="0" fontId="185" fillId="0" borderId="0" xfId="365" applyFont="1" applyAlignment="1">
      <alignment horizontal="center" vertical="center"/>
    </xf>
    <xf numFmtId="0" fontId="161" fillId="0" borderId="0" xfId="365" applyFont="1" applyAlignment="1">
      <alignment horizontal="center" vertical="center"/>
    </xf>
    <xf numFmtId="0" fontId="162" fillId="0" borderId="0" xfId="365" applyFont="1" applyAlignment="1">
      <alignment horizontal="right"/>
    </xf>
    <xf numFmtId="0" fontId="174" fillId="0" borderId="0" xfId="365" applyFont="1" applyFill="1" applyBorder="1" applyAlignment="1">
      <alignment horizontal="center" vertical="center"/>
    </xf>
    <xf numFmtId="4" fontId="163" fillId="0" borderId="0" xfId="365" applyNumberFormat="1" applyFont="1" applyBorder="1" applyAlignment="1">
      <alignment horizontal="right" vertical="center"/>
    </xf>
    <xf numFmtId="0" fontId="143" fillId="0" borderId="58" xfId="365" applyFont="1" applyFill="1" applyBorder="1" applyAlignment="1">
      <alignment horizontal="center"/>
    </xf>
    <xf numFmtId="0" fontId="188" fillId="0" borderId="67" xfId="365" applyFont="1" applyFill="1" applyBorder="1" applyAlignment="1">
      <alignment horizontal="center" vertical="center" wrapText="1"/>
    </xf>
    <xf numFmtId="0" fontId="29" fillId="0" borderId="59" xfId="365" applyFont="1" applyFill="1" applyBorder="1" applyAlignment="1">
      <alignment horizontal="center"/>
    </xf>
    <xf numFmtId="0" fontId="188" fillId="0" borderId="3" xfId="365" applyFont="1" applyBorder="1" applyAlignment="1">
      <alignment horizontal="center"/>
    </xf>
    <xf numFmtId="225" fontId="250" fillId="0" borderId="3" xfId="219" applyNumberFormat="1" applyFont="1" applyFill="1" applyBorder="1" applyAlignment="1" applyProtection="1">
      <alignment horizontal="right"/>
    </xf>
    <xf numFmtId="225" fontId="251" fillId="0" borderId="3" xfId="219" applyNumberFormat="1" applyFont="1" applyFill="1" applyBorder="1" applyAlignment="1" applyProtection="1">
      <alignment horizontal="right"/>
    </xf>
    <xf numFmtId="225" fontId="189" fillId="0" borderId="3" xfId="219" applyNumberFormat="1" applyFont="1" applyFill="1" applyBorder="1" applyAlignment="1" applyProtection="1">
      <alignment horizontal="right"/>
    </xf>
    <xf numFmtId="225" fontId="251" fillId="0" borderId="3" xfId="365" applyNumberFormat="1" applyFont="1" applyBorder="1"/>
    <xf numFmtId="225" fontId="247" fillId="0" borderId="3" xfId="219" applyNumberFormat="1" applyFont="1" applyFill="1" applyBorder="1" applyAlignment="1" applyProtection="1">
      <alignment horizontal="right"/>
    </xf>
    <xf numFmtId="227" fontId="187" fillId="0" borderId="3" xfId="180" applyNumberFormat="1" applyFont="1" applyFill="1" applyBorder="1" applyAlignment="1" applyProtection="1"/>
    <xf numFmtId="0" fontId="189" fillId="0" borderId="3" xfId="365" applyFont="1" applyBorder="1" applyAlignment="1">
      <alignment horizontal="center" vertical="center" wrapText="1"/>
    </xf>
    <xf numFmtId="225" fontId="189" fillId="0" borderId="3" xfId="219" applyNumberFormat="1" applyFont="1" applyFill="1" applyBorder="1" applyAlignment="1" applyProtection="1">
      <alignment horizontal="right" vertical="center" wrapText="1"/>
    </xf>
    <xf numFmtId="227" fontId="187" fillId="0" borderId="3" xfId="180" applyNumberFormat="1" applyFont="1" applyFill="1" applyBorder="1" applyAlignment="1" applyProtection="1">
      <alignment horizontal="right" vertical="center" wrapText="1"/>
    </xf>
    <xf numFmtId="4" fontId="189" fillId="0" borderId="3" xfId="180" applyNumberFormat="1" applyFont="1" applyFill="1" applyBorder="1" applyAlignment="1" applyProtection="1">
      <alignment horizontal="right" vertical="center" wrapText="1"/>
    </xf>
    <xf numFmtId="228" fontId="188" fillId="0" borderId="3" xfId="219" applyNumberFormat="1" applyFont="1" applyFill="1" applyBorder="1" applyAlignment="1" applyProtection="1">
      <alignment horizontal="right"/>
    </xf>
    <xf numFmtId="0" fontId="189" fillId="0" borderId="0" xfId="365" applyFont="1" applyAlignment="1">
      <alignment horizontal="center" vertical="center" wrapText="1"/>
    </xf>
    <xf numFmtId="188" fontId="189" fillId="0" borderId="0" xfId="219" applyFont="1" applyFill="1" applyBorder="1" applyAlignment="1" applyProtection="1">
      <alignment horizontal="center" vertical="center" wrapText="1"/>
    </xf>
    <xf numFmtId="225" fontId="189" fillId="0" borderId="0" xfId="365" applyNumberFormat="1" applyFont="1" applyAlignment="1">
      <alignment horizontal="center" vertical="center" wrapText="1"/>
    </xf>
    <xf numFmtId="4" fontId="189" fillId="0" borderId="0" xfId="365" applyNumberFormat="1" applyFont="1" applyAlignment="1">
      <alignment horizontal="center" vertical="center" wrapText="1"/>
    </xf>
    <xf numFmtId="4" fontId="187" fillId="0" borderId="0" xfId="365" applyNumberFormat="1" applyFont="1" applyBorder="1" applyAlignment="1">
      <alignment horizontal="center" vertical="center" wrapText="1"/>
    </xf>
    <xf numFmtId="0" fontId="189" fillId="0" borderId="25" xfId="365" applyFont="1" applyBorder="1" applyAlignment="1">
      <alignment horizontal="center" vertical="center" wrapText="1"/>
    </xf>
    <xf numFmtId="0" fontId="189" fillId="0" borderId="25" xfId="365" applyFont="1" applyFill="1" applyBorder="1" applyAlignment="1">
      <alignment horizontal="center" vertical="center" wrapText="1"/>
    </xf>
    <xf numFmtId="0" fontId="188" fillId="0" borderId="25" xfId="365" applyNumberFormat="1" applyFont="1" applyFill="1" applyBorder="1" applyAlignment="1">
      <alignment horizontal="center" vertical="center" wrapText="1"/>
    </xf>
    <xf numFmtId="0" fontId="188" fillId="0" borderId="13" xfId="365" applyFont="1" applyBorder="1" applyAlignment="1">
      <alignment horizontal="center" vertical="center" wrapText="1"/>
    </xf>
    <xf numFmtId="0" fontId="188" fillId="0" borderId="13" xfId="365" applyFont="1" applyFill="1" applyBorder="1" applyAlignment="1">
      <alignment horizontal="center" vertical="center" wrapText="1"/>
    </xf>
    <xf numFmtId="0" fontId="188" fillId="0" borderId="13" xfId="365" applyNumberFormat="1" applyFont="1" applyFill="1" applyBorder="1" applyAlignment="1">
      <alignment horizontal="center" vertical="center" wrapText="1"/>
    </xf>
    <xf numFmtId="0" fontId="188" fillId="0" borderId="53" xfId="365" applyFont="1" applyFill="1" applyBorder="1" applyAlignment="1">
      <alignment horizontal="center" vertical="center" wrapText="1"/>
    </xf>
    <xf numFmtId="0" fontId="188" fillId="0" borderId="90" xfId="365" applyFont="1" applyFill="1" applyBorder="1" applyAlignment="1">
      <alignment horizontal="center" vertical="center" wrapText="1"/>
    </xf>
    <xf numFmtId="0" fontId="189" fillId="0" borderId="13" xfId="365" applyFont="1" applyBorder="1" applyAlignment="1">
      <alignment horizontal="center" vertical="center" wrapText="1"/>
    </xf>
    <xf numFmtId="0" fontId="189" fillId="0" borderId="55" xfId="365" applyFont="1" applyFill="1" applyBorder="1" applyAlignment="1">
      <alignment horizontal="center" vertical="center" wrapText="1"/>
    </xf>
    <xf numFmtId="0" fontId="188" fillId="0" borderId="55" xfId="365" applyNumberFormat="1" applyFont="1" applyFill="1" applyBorder="1" applyAlignment="1">
      <alignment horizontal="center" vertical="center" wrapText="1"/>
    </xf>
    <xf numFmtId="0" fontId="188" fillId="0" borderId="57" xfId="365" applyFont="1" applyFill="1" applyBorder="1" applyAlignment="1">
      <alignment horizontal="center" vertical="center" wrapText="1"/>
    </xf>
    <xf numFmtId="0" fontId="188" fillId="0" borderId="91" xfId="365" applyFont="1" applyFill="1" applyBorder="1" applyAlignment="1">
      <alignment horizontal="center" vertical="center" wrapText="1"/>
    </xf>
    <xf numFmtId="0" fontId="188" fillId="0" borderId="3" xfId="365" applyFont="1" applyBorder="1" applyAlignment="1">
      <alignment horizontal="center" vertical="center" wrapText="1"/>
    </xf>
    <xf numFmtId="0" fontId="189" fillId="0" borderId="3" xfId="365" applyFont="1" applyFill="1" applyBorder="1" applyAlignment="1">
      <alignment horizontal="center" vertical="center" wrapText="1"/>
    </xf>
    <xf numFmtId="0" fontId="188" fillId="0" borderId="3" xfId="365" applyFont="1" applyFill="1" applyBorder="1" applyAlignment="1">
      <alignment horizontal="center" vertical="center" wrapText="1"/>
    </xf>
    <xf numFmtId="49" fontId="187" fillId="0" borderId="25" xfId="365" applyNumberFormat="1" applyFont="1" applyFill="1" applyBorder="1" applyAlignment="1">
      <alignment horizontal="center" vertical="center" wrapText="1"/>
    </xf>
    <xf numFmtId="4" fontId="187" fillId="0" borderId="25" xfId="365" quotePrefix="1" applyNumberFormat="1" applyFont="1" applyFill="1" applyBorder="1" applyAlignment="1">
      <alignment horizontal="center" vertical="center" wrapText="1"/>
    </xf>
    <xf numFmtId="225" fontId="188" fillId="0" borderId="3" xfId="219" applyNumberFormat="1" applyFont="1" applyFill="1" applyBorder="1" applyAlignment="1" applyProtection="1">
      <alignment horizontal="right" vertical="center" wrapText="1"/>
    </xf>
    <xf numFmtId="4" fontId="188" fillId="0" borderId="3" xfId="180" applyNumberFormat="1" applyFont="1" applyFill="1" applyBorder="1" applyAlignment="1" applyProtection="1">
      <alignment horizontal="right" vertical="center" wrapText="1"/>
    </xf>
    <xf numFmtId="3" fontId="188" fillId="0" borderId="3" xfId="218" applyNumberFormat="1" applyFont="1" applyFill="1" applyBorder="1" applyAlignment="1" applyProtection="1">
      <alignment horizontal="right" vertical="center" wrapText="1"/>
    </xf>
    <xf numFmtId="174" fontId="188" fillId="0" borderId="3" xfId="218" applyFont="1" applyFill="1" applyBorder="1" applyAlignment="1" applyProtection="1">
      <alignment horizontal="right" vertical="center" wrapText="1"/>
    </xf>
    <xf numFmtId="3" fontId="189" fillId="0" borderId="3" xfId="218" applyNumberFormat="1" applyFont="1" applyFill="1" applyBorder="1" applyAlignment="1" applyProtection="1">
      <alignment horizontal="right" vertical="center" wrapText="1"/>
    </xf>
    <xf numFmtId="174" fontId="189" fillId="0" borderId="3" xfId="218" applyFont="1" applyFill="1" applyBorder="1" applyAlignment="1" applyProtection="1">
      <alignment horizontal="right" vertical="center" wrapText="1"/>
    </xf>
    <xf numFmtId="225" fontId="189" fillId="0" borderId="3" xfId="365" applyNumberFormat="1" applyFont="1" applyBorder="1" applyAlignment="1">
      <alignment horizontal="right" vertical="center" wrapText="1"/>
    </xf>
    <xf numFmtId="225" fontId="187" fillId="0" borderId="3" xfId="219" applyNumberFormat="1" applyFont="1" applyFill="1" applyBorder="1" applyAlignment="1" applyProtection="1">
      <alignment horizontal="right" vertical="center" wrapText="1"/>
    </xf>
    <xf numFmtId="4" fontId="187" fillId="0" borderId="3" xfId="180" applyNumberFormat="1" applyFont="1" applyFill="1" applyBorder="1" applyAlignment="1" applyProtection="1">
      <alignment horizontal="right" vertical="center" wrapText="1"/>
    </xf>
    <xf numFmtId="174" fontId="187" fillId="0" borderId="3" xfId="218" applyFont="1" applyFill="1" applyBorder="1" applyAlignment="1" applyProtection="1">
      <alignment horizontal="right" vertical="center" wrapText="1"/>
    </xf>
    <xf numFmtId="227" fontId="189" fillId="0" borderId="3" xfId="180" applyNumberFormat="1" applyFont="1" applyFill="1" applyBorder="1" applyAlignment="1" applyProtection="1">
      <alignment horizontal="right" vertical="center" wrapText="1"/>
    </xf>
    <xf numFmtId="4" fontId="188" fillId="0" borderId="3" xfId="219" applyNumberFormat="1" applyFont="1" applyFill="1" applyBorder="1" applyAlignment="1" applyProtection="1">
      <alignment horizontal="right" vertical="center" wrapText="1"/>
    </xf>
    <xf numFmtId="4" fontId="189" fillId="23" borderId="3" xfId="180" applyNumberFormat="1" applyFont="1" applyFill="1" applyBorder="1" applyAlignment="1" applyProtection="1">
      <alignment horizontal="right" vertical="center" wrapText="1"/>
    </xf>
    <xf numFmtId="4" fontId="188" fillId="23" borderId="3" xfId="180" applyNumberFormat="1" applyFont="1" applyFill="1" applyBorder="1" applyAlignment="1" applyProtection="1">
      <alignment horizontal="right" vertical="center" wrapText="1"/>
    </xf>
    <xf numFmtId="0" fontId="188" fillId="0" borderId="3" xfId="365" applyFont="1" applyBorder="1" applyAlignment="1">
      <alignment horizontal="justify" vertical="center" wrapText="1"/>
    </xf>
    <xf numFmtId="0" fontId="188" fillId="0" borderId="3" xfId="365" applyFont="1" applyFill="1" applyBorder="1" applyAlignment="1">
      <alignment horizontal="justify" vertical="center" wrapText="1"/>
    </xf>
    <xf numFmtId="0" fontId="189" fillId="0" borderId="3" xfId="365" applyFont="1" applyFill="1" applyBorder="1" applyAlignment="1">
      <alignment horizontal="justify" vertical="center" wrapText="1"/>
    </xf>
    <xf numFmtId="0" fontId="189" fillId="0" borderId="3" xfId="365" applyFont="1" applyBorder="1" applyAlignment="1">
      <alignment horizontal="justify" vertical="center" wrapText="1"/>
    </xf>
    <xf numFmtId="0" fontId="187" fillId="0" borderId="3" xfId="365" applyFont="1" applyBorder="1" applyAlignment="1">
      <alignment horizontal="justify" vertical="center" wrapText="1"/>
    </xf>
    <xf numFmtId="1" fontId="185" fillId="0" borderId="0" xfId="0" applyNumberFormat="1" applyFont="1" applyFill="1"/>
    <xf numFmtId="1" fontId="168" fillId="0" borderId="0" xfId="0" applyNumberFormat="1" applyFont="1" applyFill="1"/>
    <xf numFmtId="1" fontId="252" fillId="0" borderId="0" xfId="0" applyNumberFormat="1" applyFont="1" applyFill="1"/>
    <xf numFmtId="231" fontId="147" fillId="0" borderId="67" xfId="180" applyNumberFormat="1" applyFont="1" applyFill="1" applyBorder="1" applyAlignment="1" applyProtection="1"/>
    <xf numFmtId="4" fontId="147" fillId="0" borderId="67" xfId="180" applyNumberFormat="1" applyFont="1" applyFill="1" applyBorder="1" applyAlignment="1" applyProtection="1"/>
    <xf numFmtId="231" fontId="136" fillId="0" borderId="67" xfId="180" applyNumberFormat="1" applyFont="1" applyFill="1" applyBorder="1" applyAlignment="1" applyProtection="1"/>
    <xf numFmtId="1" fontId="255" fillId="0" borderId="67" xfId="0" applyNumberFormat="1" applyFont="1" applyFill="1" applyBorder="1" applyAlignment="1">
      <alignment horizontal="center" vertical="center" wrapText="1"/>
    </xf>
    <xf numFmtId="1" fontId="150" fillId="34" borderId="55" xfId="0" applyNumberFormat="1" applyFont="1" applyFill="1" applyBorder="1"/>
    <xf numFmtId="4" fontId="143" fillId="34" borderId="55" xfId="180" applyNumberFormat="1" applyFont="1" applyFill="1" applyBorder="1" applyAlignment="1" applyProtection="1">
      <alignment horizontal="right"/>
    </xf>
    <xf numFmtId="230" fontId="254" fillId="0" borderId="67" xfId="0" applyNumberFormat="1" applyFont="1" applyFill="1" applyBorder="1" applyAlignment="1">
      <alignment horizontal="center" vertical="center" wrapText="1"/>
    </xf>
    <xf numFmtId="0" fontId="254" fillId="0" borderId="67" xfId="0" applyNumberFormat="1" applyFont="1" applyFill="1" applyBorder="1" applyAlignment="1">
      <alignment horizontal="center" vertical="center" wrapText="1"/>
    </xf>
    <xf numFmtId="4" fontId="136" fillId="0" borderId="67" xfId="180" applyNumberFormat="1" applyFont="1" applyFill="1" applyBorder="1" applyAlignment="1" applyProtection="1"/>
    <xf numFmtId="39" fontId="136" fillId="0" borderId="67" xfId="180" applyNumberFormat="1" applyFont="1" applyFill="1" applyBorder="1" applyAlignment="1" applyProtection="1"/>
    <xf numFmtId="4" fontId="147" fillId="35" borderId="67" xfId="180" applyNumberFormat="1" applyFont="1" applyFill="1" applyBorder="1" applyAlignment="1" applyProtection="1"/>
    <xf numFmtId="231" fontId="136" fillId="35" borderId="67" xfId="180" applyNumberFormat="1" applyFont="1" applyFill="1" applyBorder="1" applyAlignment="1" applyProtection="1"/>
    <xf numFmtId="4" fontId="186" fillId="34" borderId="67" xfId="180" applyNumberFormat="1" applyFont="1" applyFill="1" applyBorder="1" applyAlignment="1" applyProtection="1"/>
    <xf numFmtId="4" fontId="136" fillId="34" borderId="67" xfId="180" applyNumberFormat="1" applyFont="1" applyFill="1" applyBorder="1" applyAlignment="1" applyProtection="1"/>
    <xf numFmtId="4" fontId="147" fillId="0" borderId="67" xfId="180" applyNumberFormat="1" applyFont="1" applyFill="1" applyBorder="1" applyAlignment="1" applyProtection="1">
      <alignment horizontal="right" vertical="center" wrapText="1"/>
    </xf>
    <xf numFmtId="4" fontId="253" fillId="0" borderId="67" xfId="180" applyNumberFormat="1" applyFont="1" applyFill="1" applyBorder="1" applyAlignment="1" applyProtection="1">
      <alignment horizontal="right" vertical="center" wrapText="1"/>
    </xf>
    <xf numFmtId="231" fontId="136" fillId="0" borderId="67" xfId="180" applyNumberFormat="1" applyFont="1" applyFill="1" applyBorder="1" applyAlignment="1" applyProtection="1">
      <alignment horizontal="right" vertical="center" wrapText="1"/>
    </xf>
    <xf numFmtId="4" fontId="136" fillId="0" borderId="67" xfId="180" applyNumberFormat="1" applyFont="1" applyFill="1" applyBorder="1" applyAlignment="1" applyProtection="1">
      <alignment horizontal="right" vertical="center" wrapText="1"/>
    </xf>
    <xf numFmtId="39" fontId="136" fillId="0" borderId="67" xfId="180" applyNumberFormat="1" applyFont="1" applyFill="1" applyBorder="1" applyAlignment="1" applyProtection="1">
      <alignment horizontal="right" vertical="center" wrapText="1"/>
    </xf>
    <xf numFmtId="4" fontId="147" fillId="35" borderId="67" xfId="180" applyNumberFormat="1" applyFont="1" applyFill="1" applyBorder="1" applyAlignment="1" applyProtection="1">
      <alignment horizontal="right" vertical="center" wrapText="1"/>
    </xf>
    <xf numFmtId="231" fontId="136" fillId="35" borderId="67" xfId="180" applyNumberFormat="1" applyFont="1" applyFill="1" applyBorder="1" applyAlignment="1" applyProtection="1">
      <alignment horizontal="right" vertical="center" wrapText="1"/>
    </xf>
    <xf numFmtId="4" fontId="136" fillId="35" borderId="67" xfId="180" applyNumberFormat="1" applyFont="1" applyFill="1" applyBorder="1" applyAlignment="1" applyProtection="1">
      <alignment horizontal="right" vertical="center" wrapText="1"/>
    </xf>
    <xf numFmtId="4" fontId="186" fillId="35" borderId="67" xfId="180" applyNumberFormat="1" applyFont="1" applyFill="1" applyBorder="1" applyAlignment="1" applyProtection="1">
      <alignment horizontal="right" vertical="center" wrapText="1"/>
    </xf>
    <xf numFmtId="4" fontId="186" fillId="34" borderId="67" xfId="180" applyNumberFormat="1" applyFont="1" applyFill="1" applyBorder="1" applyAlignment="1" applyProtection="1">
      <alignment horizontal="right" vertical="center" wrapText="1"/>
    </xf>
    <xf numFmtId="4" fontId="136" fillId="34" borderId="67" xfId="180" applyNumberFormat="1" applyFont="1" applyFill="1" applyBorder="1" applyAlignment="1" applyProtection="1">
      <alignment horizontal="right" vertical="center" wrapText="1"/>
    </xf>
    <xf numFmtId="231" fontId="147" fillId="0" borderId="67" xfId="180" applyNumberFormat="1" applyFont="1" applyFill="1" applyBorder="1" applyAlignment="1" applyProtection="1">
      <alignment horizontal="right" vertical="center" wrapText="1"/>
    </xf>
    <xf numFmtId="1" fontId="147" fillId="0" borderId="67" xfId="0" applyNumberFormat="1" applyFont="1" applyFill="1" applyBorder="1" applyAlignment="1">
      <alignment horizontal="center" vertical="center"/>
    </xf>
    <xf numFmtId="1" fontId="147" fillId="0" borderId="67" xfId="0" applyNumberFormat="1" applyFont="1" applyFill="1" applyBorder="1" applyAlignment="1">
      <alignment horizontal="justify" vertical="center" wrapText="1"/>
    </xf>
    <xf numFmtId="1" fontId="136" fillId="0" borderId="67" xfId="0" applyNumberFormat="1" applyFont="1" applyFill="1" applyBorder="1" applyAlignment="1">
      <alignment horizontal="justify" vertical="center" wrapText="1"/>
    </xf>
    <xf numFmtId="1" fontId="147" fillId="35" borderId="67" xfId="0" applyNumberFormat="1" applyFont="1" applyFill="1" applyBorder="1" applyAlignment="1">
      <alignment horizontal="justify" vertical="center" wrapText="1"/>
    </xf>
    <xf numFmtId="1" fontId="136" fillId="35" borderId="67" xfId="0" applyNumberFormat="1" applyFont="1" applyFill="1" applyBorder="1" applyAlignment="1">
      <alignment horizontal="justify" vertical="center" wrapText="1"/>
    </xf>
    <xf numFmtId="1" fontId="186" fillId="35" borderId="67" xfId="0" applyNumberFormat="1" applyFont="1" applyFill="1" applyBorder="1" applyAlignment="1">
      <alignment horizontal="justify" vertical="center" wrapText="1"/>
    </xf>
    <xf numFmtId="1" fontId="186" fillId="34" borderId="67" xfId="0" applyNumberFormat="1" applyFont="1" applyFill="1" applyBorder="1" applyAlignment="1">
      <alignment horizontal="justify" vertical="center" wrapText="1"/>
    </xf>
    <xf numFmtId="1" fontId="136" fillId="34" borderId="67" xfId="0" applyNumberFormat="1" applyFont="1" applyFill="1" applyBorder="1" applyAlignment="1">
      <alignment horizontal="justify" vertical="center" wrapText="1"/>
    </xf>
    <xf numFmtId="1" fontId="255" fillId="0" borderId="67" xfId="0" applyNumberFormat="1" applyFont="1" applyFill="1" applyBorder="1" applyAlignment="1">
      <alignment horizontal="justify" vertical="center" wrapText="1"/>
    </xf>
    <xf numFmtId="231" fontId="255" fillId="0" borderId="67" xfId="180" applyNumberFormat="1" applyFont="1" applyFill="1" applyBorder="1" applyAlignment="1" applyProtection="1"/>
    <xf numFmtId="231" fontId="255" fillId="0" borderId="67" xfId="180" applyNumberFormat="1" applyFont="1" applyFill="1" applyBorder="1" applyAlignment="1" applyProtection="1">
      <alignment horizontal="right" vertical="center" wrapText="1"/>
    </xf>
    <xf numFmtId="4" fontId="255" fillId="0" borderId="67" xfId="180" applyNumberFormat="1" applyFont="1" applyFill="1" applyBorder="1" applyAlignment="1" applyProtection="1">
      <alignment horizontal="right" vertical="center" wrapText="1"/>
    </xf>
    <xf numFmtId="223" fontId="188" fillId="0" borderId="0" xfId="180" applyFont="1" applyFill="1" applyBorder="1" applyAlignment="1" applyProtection="1"/>
    <xf numFmtId="4" fontId="161" fillId="0" borderId="0" xfId="0" applyNumberFormat="1" applyFont="1" applyFill="1"/>
    <xf numFmtId="0" fontId="161" fillId="0" borderId="0" xfId="0" applyFont="1" applyFill="1"/>
    <xf numFmtId="4" fontId="255" fillId="0" borderId="67" xfId="180" applyNumberFormat="1" applyFont="1" applyFill="1" applyBorder="1" applyAlignment="1" applyProtection="1"/>
    <xf numFmtId="1" fontId="255" fillId="0" borderId="67" xfId="0" applyNumberFormat="1" applyFont="1" applyFill="1" applyBorder="1" applyAlignment="1">
      <alignment horizontal="center" vertical="center" wrapText="1"/>
    </xf>
    <xf numFmtId="0" fontId="144" fillId="0" borderId="0" xfId="365" applyFont="1" applyFill="1" applyBorder="1" applyAlignment="1">
      <alignment horizontal="center" vertical="center" wrapText="1"/>
    </xf>
    <xf numFmtId="0" fontId="132" fillId="0" borderId="67" xfId="365" applyFont="1" applyFill="1" applyBorder="1" applyAlignment="1">
      <alignment horizontal="center" vertical="center" wrapText="1"/>
    </xf>
    <xf numFmtId="0" fontId="132" fillId="0" borderId="67" xfId="365" applyFont="1" applyBorder="1" applyAlignment="1">
      <alignment horizontal="center" vertical="center" wrapText="1"/>
    </xf>
    <xf numFmtId="0" fontId="168" fillId="0" borderId="0" xfId="0" applyFont="1" applyAlignment="1">
      <alignment horizontal="center" vertical="center"/>
    </xf>
    <xf numFmtId="0" fontId="168" fillId="0" borderId="67" xfId="0" applyFont="1" applyFill="1" applyBorder="1" applyAlignment="1">
      <alignment horizontal="center" vertical="center" wrapText="1"/>
    </xf>
    <xf numFmtId="0" fontId="168" fillId="0" borderId="0" xfId="0" applyFont="1" applyFill="1" applyAlignment="1">
      <alignment horizontal="center" vertical="center" wrapText="1"/>
    </xf>
    <xf numFmtId="0" fontId="168" fillId="0" borderId="0" xfId="0" applyFont="1" applyFill="1" applyAlignment="1">
      <alignment horizontal="center" vertical="center"/>
    </xf>
    <xf numFmtId="0" fontId="183" fillId="0" borderId="0" xfId="0" applyFont="1" applyFill="1" applyAlignment="1">
      <alignment horizontal="center"/>
    </xf>
    <xf numFmtId="0" fontId="144" fillId="0" borderId="0" xfId="360" applyFont="1" applyFill="1" applyBorder="1" applyAlignment="1">
      <alignment horizontal="center"/>
    </xf>
    <xf numFmtId="0" fontId="152" fillId="0" borderId="67" xfId="365" applyFont="1" applyBorder="1"/>
    <xf numFmtId="3" fontId="143" fillId="0" borderId="67" xfId="358" applyNumberFormat="1" applyFont="1" applyFill="1" applyBorder="1" applyAlignment="1">
      <alignment vertical="center" wrapText="1"/>
    </xf>
    <xf numFmtId="4" fontId="143" fillId="23" borderId="55" xfId="180" applyNumberFormat="1" applyFont="1" applyFill="1" applyBorder="1" applyAlignment="1" applyProtection="1">
      <alignment horizontal="right"/>
    </xf>
    <xf numFmtId="0" fontId="29" fillId="0" borderId="67" xfId="365" applyFont="1" applyFill="1" applyBorder="1" applyAlignment="1">
      <alignment horizontal="center" vertical="center" wrapText="1"/>
    </xf>
    <xf numFmtId="0" fontId="143" fillId="0" borderId="67" xfId="365" applyFont="1" applyBorder="1" applyAlignment="1">
      <alignment horizontal="center" vertical="center" wrapText="1"/>
    </xf>
    <xf numFmtId="0" fontId="143" fillId="23" borderId="67" xfId="365" applyFont="1" applyFill="1" applyBorder="1" applyAlignment="1">
      <alignment horizontal="center" vertical="center" wrapText="1"/>
    </xf>
    <xf numFmtId="0" fontId="152" fillId="0" borderId="67" xfId="365" applyFont="1" applyBorder="1" applyAlignment="1">
      <alignment horizontal="center" vertical="center" wrapText="1"/>
    </xf>
    <xf numFmtId="3" fontId="143" fillId="0" borderId="67" xfId="219" applyNumberFormat="1" applyFont="1" applyFill="1" applyBorder="1" applyAlignment="1" applyProtection="1">
      <alignment horizontal="right" vertical="center" wrapText="1"/>
    </xf>
    <xf numFmtId="231" fontId="143" fillId="0" borderId="67" xfId="219" applyNumberFormat="1" applyFont="1" applyFill="1" applyBorder="1" applyAlignment="1" applyProtection="1">
      <alignment horizontal="right" vertical="center" wrapText="1"/>
    </xf>
    <xf numFmtId="4" fontId="143" fillId="0" borderId="67" xfId="180" applyNumberFormat="1" applyFont="1" applyFill="1" applyBorder="1" applyAlignment="1" applyProtection="1">
      <alignment horizontal="right" vertical="center" wrapText="1"/>
    </xf>
    <xf numFmtId="0" fontId="152" fillId="0" borderId="67" xfId="365" applyFont="1" applyBorder="1" applyAlignment="1">
      <alignment horizontal="right" vertical="center" wrapText="1"/>
    </xf>
    <xf numFmtId="231" fontId="143" fillId="23" borderId="67" xfId="219" applyNumberFormat="1" applyFont="1" applyFill="1" applyBorder="1" applyAlignment="1" applyProtection="1">
      <alignment horizontal="right" vertical="center" wrapText="1"/>
    </xf>
    <xf numFmtId="3" fontId="143" fillId="23" borderId="67" xfId="219" applyNumberFormat="1" applyFont="1" applyFill="1" applyBorder="1" applyAlignment="1" applyProtection="1">
      <alignment horizontal="right" vertical="center" wrapText="1"/>
    </xf>
    <xf numFmtId="4" fontId="143" fillId="23" borderId="67" xfId="180" applyNumberFormat="1" applyFont="1" applyFill="1" applyBorder="1" applyAlignment="1" applyProtection="1">
      <alignment horizontal="right" vertical="center" wrapText="1"/>
    </xf>
    <xf numFmtId="3" fontId="143" fillId="0" borderId="67" xfId="365" applyNumberFormat="1" applyFont="1" applyFill="1" applyBorder="1" applyAlignment="1">
      <alignment horizontal="right" vertical="center" wrapText="1"/>
    </xf>
    <xf numFmtId="0" fontId="143" fillId="0" borderId="67" xfId="365" applyFont="1" applyFill="1" applyBorder="1" applyAlignment="1">
      <alignment horizontal="justify" vertical="center" wrapText="1"/>
    </xf>
    <xf numFmtId="0" fontId="143" fillId="0" borderId="67" xfId="365" applyFont="1" applyBorder="1" applyAlignment="1">
      <alignment horizontal="justify" vertical="center" wrapText="1"/>
    </xf>
    <xf numFmtId="0" fontId="143" fillId="23" borderId="67" xfId="365" applyFont="1" applyFill="1" applyBorder="1" applyAlignment="1">
      <alignment horizontal="justify" vertical="center" wrapText="1"/>
    </xf>
    <xf numFmtId="0" fontId="152" fillId="0" borderId="67" xfId="365" applyFont="1" applyBorder="1" applyAlignment="1">
      <alignment horizontal="justify" vertical="center" wrapText="1"/>
    </xf>
    <xf numFmtId="49" fontId="31" fillId="0" borderId="61" xfId="365" applyNumberFormat="1" applyFont="1" applyFill="1" applyBorder="1" applyAlignment="1">
      <alignment horizontal="center"/>
    </xf>
    <xf numFmtId="49" fontId="31" fillId="0" borderId="58" xfId="365" applyNumberFormat="1" applyFont="1" applyFill="1" applyBorder="1" applyAlignment="1">
      <alignment horizontal="center"/>
    </xf>
    <xf numFmtId="174" fontId="143" fillId="0" borderId="69" xfId="218" applyFont="1" applyFill="1" applyBorder="1" applyAlignment="1" applyProtection="1">
      <alignment horizontal="center"/>
    </xf>
    <xf numFmtId="174" fontId="143" fillId="0" borderId="40" xfId="218" applyFont="1" applyFill="1" applyBorder="1" applyAlignment="1" applyProtection="1">
      <alignment horizontal="right"/>
    </xf>
    <xf numFmtId="174" fontId="149" fillId="0" borderId="40" xfId="218" applyFont="1" applyFill="1" applyBorder="1" applyAlignment="1" applyProtection="1">
      <alignment horizontal="right"/>
    </xf>
    <xf numFmtId="174" fontId="188" fillId="0" borderId="40" xfId="218" applyFont="1" applyFill="1" applyBorder="1" applyAlignment="1" applyProtection="1">
      <alignment horizontal="right"/>
    </xf>
    <xf numFmtId="225" fontId="143" fillId="0" borderId="40" xfId="219" applyNumberFormat="1" applyFont="1" applyFill="1" applyBorder="1" applyAlignment="1" applyProtection="1">
      <alignment horizontal="right"/>
    </xf>
    <xf numFmtId="0" fontId="192" fillId="23" borderId="55" xfId="365" applyFont="1" applyFill="1" applyBorder="1"/>
    <xf numFmtId="225" fontId="29" fillId="0" borderId="55" xfId="219" applyNumberFormat="1" applyFont="1" applyFill="1" applyBorder="1" applyAlignment="1" applyProtection="1">
      <alignment horizontal="right"/>
    </xf>
    <xf numFmtId="225" fontId="29" fillId="23" borderId="55" xfId="219" applyNumberFormat="1" applyFont="1" applyFill="1" applyBorder="1" applyAlignment="1" applyProtection="1">
      <alignment horizontal="right"/>
    </xf>
    <xf numFmtId="4" fontId="143" fillId="35" borderId="55" xfId="180" applyNumberFormat="1" applyFont="1" applyFill="1" applyBorder="1" applyAlignment="1" applyProtection="1">
      <alignment horizontal="right"/>
    </xf>
    <xf numFmtId="4" fontId="143" fillId="0" borderId="55" xfId="180" applyNumberFormat="1" applyFont="1" applyFill="1" applyBorder="1" applyAlignment="1" applyProtection="1">
      <alignment horizontal="right"/>
    </xf>
    <xf numFmtId="231" fontId="143" fillId="23" borderId="55" xfId="219" applyNumberFormat="1" applyFont="1" applyFill="1" applyBorder="1" applyAlignment="1" applyProtection="1">
      <alignment horizontal="right"/>
    </xf>
    <xf numFmtId="0" fontId="187" fillId="0" borderId="67" xfId="365" applyFont="1" applyBorder="1" applyAlignment="1">
      <alignment horizontal="center" vertical="center" wrapText="1"/>
    </xf>
    <xf numFmtId="49" fontId="187" fillId="0" borderId="67" xfId="365" applyNumberFormat="1" applyFont="1" applyFill="1" applyBorder="1" applyAlignment="1">
      <alignment horizontal="center" vertical="center" wrapText="1"/>
    </xf>
    <xf numFmtId="3" fontId="187" fillId="0" borderId="67" xfId="365" applyNumberFormat="1" applyFont="1" applyFill="1" applyBorder="1" applyAlignment="1">
      <alignment horizontal="center" vertical="center" wrapText="1"/>
    </xf>
    <xf numFmtId="0" fontId="29" fillId="0" borderId="67" xfId="365" applyFont="1" applyBorder="1" applyAlignment="1">
      <alignment horizontal="center" vertical="center" wrapText="1"/>
    </xf>
    <xf numFmtId="49" fontId="143" fillId="0" borderId="67" xfId="365" applyNumberFormat="1" applyFont="1" applyFill="1" applyBorder="1" applyAlignment="1">
      <alignment horizontal="center" vertical="center"/>
    </xf>
    <xf numFmtId="4" fontId="143" fillId="0" borderId="67" xfId="365" applyNumberFormat="1" applyFont="1" applyFill="1" applyBorder="1" applyAlignment="1">
      <alignment horizontal="center"/>
    </xf>
    <xf numFmtId="4" fontId="143" fillId="0" borderId="67" xfId="365" applyNumberFormat="1" applyFont="1" applyFill="1" applyBorder="1" applyAlignment="1">
      <alignment horizontal="right" vertical="center" wrapText="1"/>
    </xf>
    <xf numFmtId="49" fontId="29" fillId="0" borderId="67" xfId="365" applyNumberFormat="1" applyFont="1" applyFill="1" applyBorder="1" applyAlignment="1">
      <alignment horizontal="right" vertical="center" wrapText="1"/>
    </xf>
    <xf numFmtId="0" fontId="29" fillId="23" borderId="67" xfId="365" applyFont="1" applyFill="1" applyBorder="1" applyAlignment="1">
      <alignment horizontal="center" vertical="center" wrapText="1"/>
    </xf>
    <xf numFmtId="0" fontId="29" fillId="23" borderId="67" xfId="365" applyFont="1" applyFill="1" applyBorder="1" applyAlignment="1">
      <alignment horizontal="justify" vertical="center" wrapText="1"/>
    </xf>
    <xf numFmtId="4" fontId="29" fillId="0" borderId="67" xfId="180" applyNumberFormat="1" applyFont="1" applyFill="1" applyBorder="1" applyAlignment="1" applyProtection="1">
      <alignment horizontal="right" vertical="center" wrapText="1"/>
    </xf>
    <xf numFmtId="231" fontId="29" fillId="23" borderId="67" xfId="219" applyNumberFormat="1" applyFont="1" applyFill="1" applyBorder="1" applyAlignment="1" applyProtection="1">
      <alignment horizontal="right" vertical="center" wrapText="1"/>
    </xf>
    <xf numFmtId="4" fontId="29" fillId="23" borderId="67" xfId="180" applyNumberFormat="1" applyFont="1" applyFill="1" applyBorder="1" applyAlignment="1" applyProtection="1">
      <alignment horizontal="right" vertical="center" wrapText="1"/>
    </xf>
    <xf numFmtId="0" fontId="29" fillId="0" borderId="67" xfId="365" applyFont="1" applyFill="1" applyBorder="1" applyAlignment="1">
      <alignment horizontal="justify" vertical="center" wrapText="1"/>
    </xf>
    <xf numFmtId="4" fontId="191" fillId="0" borderId="67" xfId="180" applyNumberFormat="1" applyFont="1" applyFill="1" applyBorder="1" applyAlignment="1" applyProtection="1">
      <alignment horizontal="right" vertical="center" wrapText="1"/>
    </xf>
    <xf numFmtId="231" fontId="29" fillId="0" borderId="67" xfId="219" applyNumberFormat="1" applyFont="1" applyFill="1" applyBorder="1" applyAlignment="1" applyProtection="1">
      <alignment horizontal="right" vertical="center" wrapText="1"/>
    </xf>
    <xf numFmtId="0" fontId="29" fillId="0" borderId="67" xfId="365" applyFont="1" applyBorder="1" applyAlignment="1">
      <alignment horizontal="justify" vertical="center" wrapText="1"/>
    </xf>
    <xf numFmtId="0" fontId="29" fillId="0" borderId="67" xfId="365" applyFont="1" applyFill="1" applyBorder="1"/>
    <xf numFmtId="3" fontId="29" fillId="0" borderId="67" xfId="365" applyNumberFormat="1" applyFont="1" applyBorder="1" applyAlignment="1">
      <alignment horizontal="right" vertical="center" wrapText="1"/>
    </xf>
    <xf numFmtId="0" fontId="29" fillId="0" borderId="67" xfId="365" applyFont="1" applyBorder="1" applyAlignment="1">
      <alignment horizontal="right" vertical="center" wrapText="1"/>
    </xf>
    <xf numFmtId="0" fontId="29" fillId="0" borderId="67" xfId="365" applyFont="1" applyFill="1" applyBorder="1" applyAlignment="1">
      <alignment horizontal="right" vertical="center" wrapText="1"/>
    </xf>
    <xf numFmtId="0" fontId="149" fillId="23" borderId="67" xfId="365" applyFont="1" applyFill="1" applyBorder="1" applyAlignment="1">
      <alignment horizontal="justify" vertical="center" wrapText="1"/>
    </xf>
    <xf numFmtId="3" fontId="149" fillId="23" borderId="67" xfId="219" applyNumberFormat="1" applyFont="1" applyFill="1" applyBorder="1" applyAlignment="1" applyProtection="1">
      <alignment horizontal="right" vertical="center" wrapText="1"/>
    </xf>
    <xf numFmtId="4" fontId="149" fillId="23" borderId="67" xfId="180" applyNumberFormat="1" applyFont="1" applyFill="1" applyBorder="1" applyAlignment="1" applyProtection="1">
      <alignment horizontal="right" vertical="center" wrapText="1"/>
    </xf>
    <xf numFmtId="4" fontId="149" fillId="0" borderId="67" xfId="180" applyNumberFormat="1" applyFont="1" applyFill="1" applyBorder="1" applyAlignment="1" applyProtection="1">
      <alignment horizontal="right" vertical="center" wrapText="1"/>
    </xf>
    <xf numFmtId="3" fontId="29" fillId="23" borderId="67" xfId="219" applyNumberFormat="1" applyFont="1" applyFill="1" applyBorder="1" applyAlignment="1" applyProtection="1">
      <alignment horizontal="right" vertical="center" wrapText="1"/>
    </xf>
    <xf numFmtId="0" fontId="149" fillId="23" borderId="67" xfId="365" applyFont="1" applyFill="1" applyBorder="1" applyAlignment="1">
      <alignment horizontal="center" vertical="center" wrapText="1"/>
    </xf>
    <xf numFmtId="3" fontId="29" fillId="0" borderId="67" xfId="358" applyNumberFormat="1" applyFont="1" applyFill="1" applyBorder="1" applyAlignment="1">
      <alignment horizontal="right" vertical="center" wrapText="1"/>
    </xf>
    <xf numFmtId="3" fontId="143" fillId="23" borderId="67" xfId="180" applyNumberFormat="1" applyFont="1" applyFill="1" applyBorder="1" applyAlignment="1" applyProtection="1">
      <alignment horizontal="right" vertical="center" wrapText="1"/>
    </xf>
    <xf numFmtId="3" fontId="29" fillId="23" borderId="67" xfId="180" applyNumberFormat="1" applyFont="1" applyFill="1" applyBorder="1" applyAlignment="1" applyProtection="1">
      <alignment horizontal="right" vertical="center" wrapText="1"/>
    </xf>
    <xf numFmtId="4" fontId="29" fillId="35" borderId="67" xfId="180" applyNumberFormat="1" applyFont="1" applyFill="1" applyBorder="1" applyAlignment="1" applyProtection="1">
      <alignment horizontal="right" vertical="center" wrapText="1"/>
    </xf>
    <xf numFmtId="225" fontId="29" fillId="0" borderId="67" xfId="219" applyNumberFormat="1" applyFont="1" applyFill="1" applyBorder="1" applyAlignment="1" applyProtection="1">
      <alignment horizontal="right"/>
    </xf>
    <xf numFmtId="225" fontId="149" fillId="0" borderId="67" xfId="219" applyNumberFormat="1" applyFont="1" applyFill="1" applyBorder="1" applyAlignment="1" applyProtection="1">
      <alignment horizontal="right"/>
    </xf>
    <xf numFmtId="4" fontId="149" fillId="34" borderId="67" xfId="180" applyNumberFormat="1" applyFont="1" applyFill="1" applyBorder="1" applyAlignment="1" applyProtection="1">
      <alignment horizontal="right" vertical="center" wrapText="1"/>
    </xf>
    <xf numFmtId="3" fontId="143" fillId="0" borderId="67" xfId="180" applyNumberFormat="1" applyFont="1" applyFill="1" applyBorder="1" applyAlignment="1" applyProtection="1">
      <alignment horizontal="right"/>
    </xf>
    <xf numFmtId="3" fontId="143" fillId="0" borderId="67" xfId="180" applyNumberFormat="1" applyFont="1" applyFill="1" applyBorder="1" applyAlignment="1" applyProtection="1">
      <alignment horizontal="right" vertical="center" wrapText="1"/>
    </xf>
    <xf numFmtId="3" fontId="29" fillId="0" borderId="67" xfId="365" applyNumberFormat="1" applyFont="1" applyFill="1" applyBorder="1"/>
    <xf numFmtId="225" fontId="29" fillId="0" borderId="67" xfId="219" applyNumberFormat="1" applyFont="1" applyFill="1" applyBorder="1" applyAlignment="1" applyProtection="1">
      <alignment horizontal="right" vertical="center" wrapText="1"/>
    </xf>
    <xf numFmtId="231" fontId="29" fillId="0" borderId="67" xfId="219" applyNumberFormat="1" applyFont="1" applyFill="1" applyBorder="1" applyAlignment="1" applyProtection="1">
      <alignment horizontal="right"/>
    </xf>
    <xf numFmtId="3" fontId="29" fillId="0" borderId="67" xfId="219" applyNumberFormat="1" applyFont="1" applyFill="1" applyBorder="1" applyAlignment="1" applyProtection="1">
      <alignment horizontal="right" vertical="center" wrapText="1"/>
    </xf>
    <xf numFmtId="0" fontId="149" fillId="0" borderId="67" xfId="365" applyFont="1" applyFill="1" applyBorder="1" applyAlignment="1">
      <alignment horizontal="justify" vertical="center" wrapText="1"/>
    </xf>
    <xf numFmtId="3" fontId="149" fillId="0" borderId="67" xfId="219" applyNumberFormat="1" applyFont="1" applyFill="1" applyBorder="1" applyAlignment="1" applyProtection="1">
      <alignment horizontal="right" vertical="center" wrapText="1"/>
    </xf>
    <xf numFmtId="4" fontId="192" fillId="35" borderId="67" xfId="180" applyNumberFormat="1" applyFont="1" applyFill="1" applyBorder="1" applyAlignment="1" applyProtection="1">
      <alignment horizontal="right" vertical="center" wrapText="1"/>
    </xf>
    <xf numFmtId="0" fontId="188" fillId="23" borderId="67" xfId="365" applyFont="1" applyFill="1" applyBorder="1" applyAlignment="1">
      <alignment horizontal="center" vertical="center" wrapText="1"/>
    </xf>
    <xf numFmtId="0" fontId="188" fillId="23" borderId="67" xfId="365" applyFont="1" applyFill="1" applyBorder="1" applyAlignment="1">
      <alignment horizontal="justify" vertical="center" wrapText="1"/>
    </xf>
    <xf numFmtId="231" fontId="188" fillId="0" borderId="67" xfId="219" applyNumberFormat="1" applyFont="1" applyFill="1" applyBorder="1" applyAlignment="1" applyProtection="1">
      <alignment horizontal="right"/>
    </xf>
    <xf numFmtId="3" fontId="188" fillId="23" borderId="67" xfId="180" applyNumberFormat="1" applyFont="1" applyFill="1" applyBorder="1" applyAlignment="1" applyProtection="1">
      <alignment horizontal="right" vertical="center" wrapText="1"/>
    </xf>
    <xf numFmtId="4" fontId="188" fillId="23" borderId="67" xfId="180" applyNumberFormat="1" applyFont="1" applyFill="1" applyBorder="1" applyAlignment="1" applyProtection="1">
      <alignment horizontal="right" vertical="center" wrapText="1"/>
    </xf>
    <xf numFmtId="4" fontId="250" fillId="0" borderId="67" xfId="180" applyNumberFormat="1" applyFont="1" applyFill="1" applyBorder="1" applyAlignment="1" applyProtection="1">
      <alignment horizontal="right" vertical="center" wrapText="1"/>
    </xf>
    <xf numFmtId="4" fontId="188" fillId="0" borderId="67" xfId="180" applyNumberFormat="1" applyFont="1" applyFill="1" applyBorder="1" applyAlignment="1" applyProtection="1">
      <alignment horizontal="right" vertical="center" wrapText="1"/>
    </xf>
    <xf numFmtId="4" fontId="29" fillId="0" borderId="55" xfId="365" applyNumberFormat="1" applyFont="1" applyFill="1" applyBorder="1" applyAlignment="1">
      <alignment horizontal="center"/>
    </xf>
    <xf numFmtId="0" fontId="31" fillId="0" borderId="67" xfId="365" applyFont="1" applyFill="1" applyBorder="1" applyAlignment="1">
      <alignment horizontal="center" vertical="center" wrapText="1"/>
    </xf>
    <xf numFmtId="0" fontId="140" fillId="0" borderId="67" xfId="365" applyFont="1" applyFill="1" applyBorder="1" applyAlignment="1">
      <alignment horizontal="center" vertical="center" wrapText="1"/>
    </xf>
    <xf numFmtId="0" fontId="138" fillId="0" borderId="67" xfId="365" applyFont="1" applyBorder="1" applyAlignment="1">
      <alignment horizontal="center" vertical="center" wrapText="1"/>
    </xf>
    <xf numFmtId="49" fontId="138" fillId="0" borderId="67" xfId="365" applyNumberFormat="1" applyFont="1" applyFill="1" applyBorder="1" applyAlignment="1">
      <alignment horizontal="center" vertical="center" wrapText="1"/>
    </xf>
    <xf numFmtId="3" fontId="138" fillId="0" borderId="67" xfId="365" applyNumberFormat="1" applyFont="1" applyFill="1" applyBorder="1" applyAlignment="1">
      <alignment horizontal="center" vertical="center" wrapText="1"/>
    </xf>
    <xf numFmtId="0" fontId="31" fillId="0" borderId="67" xfId="365" applyFont="1" applyBorder="1" applyAlignment="1">
      <alignment horizontal="center" vertical="center" wrapText="1"/>
    </xf>
    <xf numFmtId="49" fontId="132" fillId="0" borderId="67" xfId="365" applyNumberFormat="1" applyFont="1" applyFill="1" applyBorder="1" applyAlignment="1">
      <alignment horizontal="center" vertical="center"/>
    </xf>
    <xf numFmtId="4" fontId="132" fillId="0" borderId="67" xfId="365" applyNumberFormat="1" applyFont="1" applyFill="1" applyBorder="1" applyAlignment="1">
      <alignment horizontal="center"/>
    </xf>
    <xf numFmtId="4" fontId="132" fillId="0" borderId="67" xfId="365" applyNumberFormat="1" applyFont="1" applyFill="1" applyBorder="1" applyAlignment="1">
      <alignment horizontal="right" vertical="center" wrapText="1"/>
    </xf>
    <xf numFmtId="49" fontId="31" fillId="0" borderId="67" xfId="365" applyNumberFormat="1" applyFont="1" applyFill="1" applyBorder="1" applyAlignment="1">
      <alignment horizontal="right" vertical="center" wrapText="1"/>
    </xf>
    <xf numFmtId="4" fontId="132" fillId="23" borderId="67" xfId="180" applyNumberFormat="1" applyFont="1" applyFill="1" applyBorder="1" applyAlignment="1" applyProtection="1">
      <alignment horizontal="right" vertical="center" wrapText="1"/>
    </xf>
    <xf numFmtId="49" fontId="132" fillId="0" borderId="67" xfId="365" applyNumberFormat="1" applyFont="1" applyFill="1" applyBorder="1" applyAlignment="1">
      <alignment horizontal="justify" vertical="center" wrapText="1"/>
    </xf>
    <xf numFmtId="0" fontId="132" fillId="23" borderId="67" xfId="365" applyFont="1" applyFill="1" applyBorder="1" applyAlignment="1">
      <alignment horizontal="center" vertical="center" wrapText="1"/>
    </xf>
    <xf numFmtId="0" fontId="132" fillId="23" borderId="67" xfId="365" applyFont="1" applyFill="1" applyBorder="1" applyAlignment="1">
      <alignment horizontal="justify" vertical="center" wrapText="1"/>
    </xf>
    <xf numFmtId="4" fontId="132" fillId="23" borderId="67" xfId="180" applyNumberFormat="1" applyFont="1" applyFill="1" applyBorder="1" applyAlignment="1" applyProtection="1">
      <alignment horizontal="right"/>
    </xf>
    <xf numFmtId="4" fontId="132" fillId="0" borderId="67" xfId="180" applyNumberFormat="1" applyFont="1" applyFill="1" applyBorder="1" applyAlignment="1" applyProtection="1">
      <alignment horizontal="right" vertical="center" wrapText="1"/>
    </xf>
    <xf numFmtId="225" fontId="132" fillId="0" borderId="67" xfId="219" applyNumberFormat="1" applyFont="1" applyFill="1" applyBorder="1" applyAlignment="1" applyProtection="1">
      <alignment horizontal="right"/>
    </xf>
    <xf numFmtId="3" fontId="132" fillId="23" borderId="67" xfId="219" applyNumberFormat="1" applyFont="1" applyFill="1" applyBorder="1" applyAlignment="1" applyProtection="1">
      <alignment horizontal="right" vertical="center" wrapText="1"/>
    </xf>
    <xf numFmtId="231" fontId="132" fillId="0" borderId="67" xfId="219" applyNumberFormat="1" applyFont="1" applyFill="1" applyBorder="1" applyAlignment="1" applyProtection="1">
      <alignment horizontal="right"/>
    </xf>
    <xf numFmtId="231" fontId="132" fillId="0" borderId="67" xfId="219" applyNumberFormat="1" applyFont="1" applyFill="1" applyBorder="1" applyAlignment="1" applyProtection="1">
      <alignment horizontal="right" vertical="center" wrapText="1"/>
    </xf>
    <xf numFmtId="0" fontId="31" fillId="23" borderId="67" xfId="365" applyFont="1" applyFill="1" applyBorder="1" applyAlignment="1">
      <alignment horizontal="center" vertical="center" wrapText="1"/>
    </xf>
    <xf numFmtId="0" fontId="31" fillId="23" borderId="67" xfId="365" applyFont="1" applyFill="1" applyBorder="1" applyAlignment="1">
      <alignment horizontal="justify" vertical="center" wrapText="1"/>
    </xf>
    <xf numFmtId="231" fontId="132" fillId="23" borderId="67" xfId="219" applyNumberFormat="1" applyFont="1" applyFill="1" applyBorder="1" applyAlignment="1" applyProtection="1">
      <alignment horizontal="right" vertical="center" wrapText="1"/>
    </xf>
    <xf numFmtId="4" fontId="31" fillId="0" borderId="67" xfId="180" applyNumberFormat="1" applyFont="1" applyFill="1" applyBorder="1" applyAlignment="1" applyProtection="1">
      <alignment horizontal="right" vertical="center" wrapText="1"/>
    </xf>
    <xf numFmtId="231" fontId="31" fillId="23" borderId="67" xfId="219" applyNumberFormat="1" applyFont="1" applyFill="1" applyBorder="1" applyAlignment="1" applyProtection="1">
      <alignment horizontal="right" vertical="center" wrapText="1"/>
    </xf>
    <xf numFmtId="4" fontId="31" fillId="23" borderId="67" xfId="180" applyNumberFormat="1" applyFont="1" applyFill="1" applyBorder="1" applyAlignment="1" applyProtection="1">
      <alignment horizontal="right" vertical="center" wrapText="1"/>
    </xf>
    <xf numFmtId="4" fontId="31" fillId="0" borderId="67" xfId="365" applyNumberFormat="1" applyFont="1" applyFill="1" applyBorder="1" applyAlignment="1">
      <alignment horizontal="right" vertical="center" wrapText="1"/>
    </xf>
    <xf numFmtId="0" fontId="31" fillId="0" borderId="67" xfId="365" applyFont="1" applyFill="1" applyBorder="1" applyAlignment="1">
      <alignment horizontal="justify" vertical="center" wrapText="1"/>
    </xf>
    <xf numFmtId="231" fontId="31" fillId="0" borderId="67" xfId="219" applyNumberFormat="1" applyFont="1" applyFill="1" applyBorder="1" applyAlignment="1" applyProtection="1">
      <alignment horizontal="right" vertical="center" wrapText="1"/>
    </xf>
    <xf numFmtId="3" fontId="132" fillId="23" borderId="67" xfId="180" applyNumberFormat="1" applyFont="1" applyFill="1" applyBorder="1" applyAlignment="1" applyProtection="1">
      <alignment horizontal="right" vertical="center" wrapText="1"/>
    </xf>
    <xf numFmtId="3" fontId="31" fillId="23" borderId="67" xfId="180" applyNumberFormat="1" applyFont="1" applyFill="1" applyBorder="1" applyAlignment="1" applyProtection="1">
      <alignment horizontal="right" vertical="center" wrapText="1"/>
    </xf>
    <xf numFmtId="4" fontId="31" fillId="35" borderId="67" xfId="180" applyNumberFormat="1" applyFont="1" applyFill="1" applyBorder="1" applyAlignment="1" applyProtection="1">
      <alignment horizontal="right" vertical="center" wrapText="1"/>
    </xf>
    <xf numFmtId="231" fontId="31" fillId="0" borderId="67" xfId="219" applyNumberFormat="1" applyFont="1" applyFill="1" applyBorder="1" applyAlignment="1" applyProtection="1">
      <alignment horizontal="right"/>
    </xf>
    <xf numFmtId="225" fontId="31" fillId="0" borderId="67" xfId="219" applyNumberFormat="1" applyFont="1" applyFill="1" applyBorder="1" applyAlignment="1" applyProtection="1">
      <alignment horizontal="right"/>
    </xf>
    <xf numFmtId="3" fontId="132" fillId="0" borderId="67" xfId="219" applyNumberFormat="1" applyFont="1" applyFill="1" applyBorder="1" applyAlignment="1" applyProtection="1">
      <alignment horizontal="right" vertical="center" wrapText="1"/>
    </xf>
    <xf numFmtId="0" fontId="132" fillId="0" borderId="67" xfId="365" applyFont="1" applyFill="1" applyBorder="1" applyAlignment="1">
      <alignment horizontal="justify" vertical="center" wrapText="1"/>
    </xf>
    <xf numFmtId="0" fontId="132" fillId="0" borderId="67" xfId="365" applyFont="1" applyBorder="1" applyAlignment="1">
      <alignment horizontal="justify" vertical="center" wrapText="1"/>
    </xf>
    <xf numFmtId="0" fontId="140" fillId="0" borderId="67" xfId="365" applyFont="1" applyBorder="1"/>
    <xf numFmtId="0" fontId="140" fillId="0" borderId="67" xfId="365" applyFont="1" applyBorder="1" applyAlignment="1">
      <alignment horizontal="right" vertical="center" wrapText="1"/>
    </xf>
    <xf numFmtId="3" fontId="132" fillId="0" borderId="67" xfId="358" applyNumberFormat="1" applyFont="1" applyFill="1" applyBorder="1" applyAlignment="1">
      <alignment vertical="center" wrapText="1"/>
    </xf>
    <xf numFmtId="0" fontId="140" fillId="0" borderId="67" xfId="365" applyFont="1" applyBorder="1" applyAlignment="1">
      <alignment horizontal="center" vertical="center" wrapText="1"/>
    </xf>
    <xf numFmtId="0" fontId="140" fillId="0" borderId="67" xfId="365" applyFont="1" applyBorder="1" applyAlignment="1">
      <alignment horizontal="justify" vertical="center" wrapText="1"/>
    </xf>
    <xf numFmtId="0" fontId="256" fillId="0" borderId="0" xfId="0" applyFont="1" applyAlignment="1">
      <alignment vertical="center"/>
    </xf>
    <xf numFmtId="0" fontId="257" fillId="0" borderId="0" xfId="0" applyFont="1" applyAlignment="1"/>
    <xf numFmtId="0" fontId="257" fillId="0" borderId="0" xfId="0" applyFont="1" applyAlignment="1">
      <alignment horizontal="center"/>
    </xf>
    <xf numFmtId="0" fontId="258" fillId="0" borderId="0" xfId="0" applyFont="1"/>
    <xf numFmtId="0" fontId="259" fillId="0" borderId="0" xfId="0" applyFont="1"/>
    <xf numFmtId="0" fontId="261" fillId="0" borderId="0" xfId="0" applyFont="1" applyAlignment="1">
      <alignment horizontal="center" vertical="center"/>
    </xf>
    <xf numFmtId="0" fontId="261" fillId="0" borderId="0" xfId="0" applyFont="1" applyAlignment="1">
      <alignment vertical="center"/>
    </xf>
    <xf numFmtId="3" fontId="20" fillId="0" borderId="79" xfId="0" applyNumberFormat="1" applyFont="1" applyFill="1" applyBorder="1" applyAlignment="1">
      <alignment vertical="center"/>
    </xf>
    <xf numFmtId="236" fontId="20" fillId="0" borderId="116" xfId="0" applyNumberFormat="1" applyFont="1" applyFill="1" applyBorder="1"/>
    <xf numFmtId="236" fontId="159" fillId="0" borderId="116" xfId="0" applyNumberFormat="1" applyFont="1" applyFill="1" applyBorder="1"/>
    <xf numFmtId="236" fontId="20" fillId="0" borderId="117" xfId="0" applyNumberFormat="1" applyFont="1" applyFill="1" applyBorder="1"/>
    <xf numFmtId="0" fontId="262" fillId="0" borderId="67" xfId="0" applyFont="1" applyFill="1" applyBorder="1" applyAlignment="1">
      <alignment horizontal="center" vertical="center" wrapText="1"/>
    </xf>
    <xf numFmtId="0" fontId="263" fillId="0" borderId="67" xfId="0" applyFont="1" applyFill="1" applyBorder="1" applyAlignment="1">
      <alignment horizontal="center" vertical="center" wrapText="1"/>
    </xf>
    <xf numFmtId="3" fontId="263" fillId="0" borderId="67" xfId="0" applyNumberFormat="1" applyFont="1" applyFill="1" applyBorder="1" applyAlignment="1">
      <alignment horizontal="center" vertical="center" wrapText="1"/>
    </xf>
    <xf numFmtId="3" fontId="264" fillId="0" borderId="67" xfId="0" applyNumberFormat="1" applyFont="1" applyFill="1" applyBorder="1" applyAlignment="1">
      <alignment horizontal="center" vertical="center" wrapText="1"/>
    </xf>
    <xf numFmtId="2" fontId="262" fillId="0" borderId="67" xfId="0" applyNumberFormat="1" applyFont="1" applyFill="1" applyBorder="1" applyAlignment="1">
      <alignment horizontal="center" vertical="center" wrapText="1"/>
    </xf>
    <xf numFmtId="2" fontId="262" fillId="0" borderId="67" xfId="0" applyNumberFormat="1" applyFont="1" applyFill="1" applyBorder="1" applyAlignment="1">
      <alignment horizontal="justify" vertical="center" wrapText="1"/>
    </xf>
    <xf numFmtId="3" fontId="262" fillId="0" borderId="67" xfId="0" applyNumberFormat="1" applyFont="1" applyFill="1" applyBorder="1" applyAlignment="1">
      <alignment horizontal="right" vertical="center" wrapText="1"/>
    </xf>
    <xf numFmtId="179" fontId="265" fillId="0" borderId="67" xfId="0" applyNumberFormat="1" applyFont="1" applyFill="1" applyBorder="1" applyAlignment="1">
      <alignment horizontal="right" vertical="center" wrapText="1"/>
    </xf>
    <xf numFmtId="254" fontId="262" fillId="0" borderId="67" xfId="0" applyNumberFormat="1" applyFont="1" applyFill="1" applyBorder="1" applyAlignment="1">
      <alignment horizontal="right" vertical="center" wrapText="1"/>
    </xf>
    <xf numFmtId="236" fontId="262" fillId="0" borderId="67" xfId="0" applyNumberFormat="1" applyFont="1" applyFill="1" applyBorder="1" applyAlignment="1">
      <alignment horizontal="right" vertical="center" wrapText="1"/>
    </xf>
    <xf numFmtId="179" fontId="262" fillId="0" borderId="67" xfId="0" applyNumberFormat="1" applyFont="1" applyFill="1" applyBorder="1" applyAlignment="1">
      <alignment horizontal="right" vertical="center" wrapText="1"/>
    </xf>
    <xf numFmtId="3" fontId="265" fillId="0" borderId="67" xfId="0" applyNumberFormat="1" applyFont="1" applyFill="1" applyBorder="1" applyAlignment="1">
      <alignment horizontal="center" vertical="center" wrapText="1"/>
    </xf>
    <xf numFmtId="2" fontId="265" fillId="0" borderId="67" xfId="0" applyNumberFormat="1" applyFont="1" applyFill="1" applyBorder="1" applyAlignment="1">
      <alignment horizontal="justify" vertical="center" wrapText="1"/>
    </xf>
    <xf numFmtId="3" fontId="265" fillId="0" borderId="67" xfId="0" applyNumberFormat="1" applyFont="1" applyFill="1" applyBorder="1" applyAlignment="1">
      <alignment horizontal="right" vertical="center" wrapText="1"/>
    </xf>
    <xf numFmtId="231" fontId="262" fillId="0" borderId="67" xfId="219" applyNumberFormat="1" applyFont="1" applyFill="1" applyBorder="1" applyAlignment="1" applyProtection="1">
      <alignment horizontal="right" vertical="center" wrapText="1"/>
    </xf>
    <xf numFmtId="4" fontId="265" fillId="0" borderId="67" xfId="0" applyNumberFormat="1" applyFont="1" applyFill="1" applyBorder="1" applyAlignment="1">
      <alignment horizontal="right" vertical="center" wrapText="1"/>
    </xf>
    <xf numFmtId="236" fontId="265" fillId="0" borderId="67" xfId="0" applyNumberFormat="1" applyFont="1" applyFill="1" applyBorder="1" applyAlignment="1">
      <alignment horizontal="right" vertical="center" wrapText="1"/>
    </xf>
    <xf numFmtId="254" fontId="265" fillId="0" borderId="67" xfId="0" applyNumberFormat="1" applyFont="1" applyFill="1" applyBorder="1" applyAlignment="1">
      <alignment horizontal="right" vertical="center" wrapText="1"/>
    </xf>
    <xf numFmtId="240" fontId="265" fillId="0" borderId="67" xfId="0" applyNumberFormat="1" applyFont="1" applyFill="1" applyBorder="1" applyAlignment="1">
      <alignment horizontal="right" vertical="center" wrapText="1"/>
    </xf>
    <xf numFmtId="0" fontId="262" fillId="0" borderId="67" xfId="0" applyFont="1" applyFill="1" applyBorder="1" applyAlignment="1">
      <alignment horizontal="justify" vertical="center" wrapText="1"/>
    </xf>
    <xf numFmtId="0" fontId="265" fillId="0" borderId="67" xfId="0" applyFont="1" applyFill="1" applyBorder="1" applyAlignment="1">
      <alignment horizontal="center" vertical="center" wrapText="1"/>
    </xf>
    <xf numFmtId="0" fontId="265" fillId="0" borderId="67" xfId="0" applyFont="1" applyFill="1" applyBorder="1" applyAlignment="1">
      <alignment horizontal="justify" vertical="center" wrapText="1"/>
    </xf>
    <xf numFmtId="0" fontId="182" fillId="0" borderId="0" xfId="0" applyFont="1" applyFill="1" applyAlignment="1">
      <alignment horizontal="left" vertical="center"/>
    </xf>
    <xf numFmtId="0" fontId="182" fillId="0" borderId="0" xfId="0" applyFont="1" applyFill="1" applyAlignment="1">
      <alignment vertical="center"/>
    </xf>
    <xf numFmtId="0" fontId="182" fillId="0" borderId="0" xfId="0" applyFont="1" applyFill="1" applyAlignment="1">
      <alignment horizontal="center" vertical="center"/>
    </xf>
    <xf numFmtId="0" fontId="0" fillId="0" borderId="0" xfId="0" applyAlignment="1">
      <alignment vertical="center"/>
    </xf>
    <xf numFmtId="0" fontId="267" fillId="0" borderId="0" xfId="0" applyFont="1"/>
    <xf numFmtId="0" fontId="70" fillId="0" borderId="0" xfId="0" applyFont="1" applyAlignment="1">
      <alignment vertical="center"/>
    </xf>
    <xf numFmtId="0" fontId="70" fillId="0" borderId="0" xfId="0" applyFont="1"/>
    <xf numFmtId="0" fontId="268" fillId="0" borderId="0" xfId="0" applyFont="1" applyAlignment="1">
      <alignment horizontal="right"/>
    </xf>
    <xf numFmtId="0" fontId="269" fillId="0" borderId="0" xfId="0" applyFont="1"/>
    <xf numFmtId="0" fontId="70" fillId="0" borderId="0" xfId="0" applyFont="1" applyAlignment="1">
      <alignment horizontal="center" vertical="center"/>
    </xf>
    <xf numFmtId="0" fontId="188" fillId="0" borderId="67" xfId="0" applyFont="1" applyBorder="1" applyAlignment="1">
      <alignment horizontal="center" vertical="center" wrapText="1"/>
    </xf>
    <xf numFmtId="0" fontId="187" fillId="0" borderId="67" xfId="0" applyFont="1" applyBorder="1" applyAlignment="1">
      <alignment horizontal="center" vertical="center" wrapText="1"/>
    </xf>
    <xf numFmtId="0" fontId="188" fillId="0" borderId="67" xfId="362" applyFont="1" applyBorder="1" applyAlignment="1">
      <alignment horizontal="center" vertical="center" wrapText="1"/>
    </xf>
    <xf numFmtId="0" fontId="189" fillId="0" borderId="67" xfId="362" applyFont="1" applyBorder="1" applyAlignment="1">
      <alignment horizontal="center" vertical="center" wrapText="1"/>
    </xf>
    <xf numFmtId="227" fontId="188" fillId="0" borderId="67" xfId="195" applyNumberFormat="1" applyFont="1" applyFill="1" applyBorder="1" applyAlignment="1" applyProtection="1">
      <alignment horizontal="right" vertical="center" wrapText="1"/>
    </xf>
    <xf numFmtId="236" fontId="188" fillId="0" borderId="67" xfId="195" applyNumberFormat="1" applyFont="1" applyFill="1" applyBorder="1" applyAlignment="1" applyProtection="1">
      <alignment horizontal="right" vertical="center" wrapText="1"/>
    </xf>
    <xf numFmtId="238" fontId="188" fillId="0" borderId="67" xfId="195" applyNumberFormat="1" applyFont="1" applyFill="1" applyBorder="1" applyAlignment="1" applyProtection="1">
      <alignment horizontal="right" vertical="center" wrapText="1"/>
    </xf>
    <xf numFmtId="238" fontId="250" fillId="0" borderId="67" xfId="195" applyNumberFormat="1" applyFont="1" applyFill="1" applyBorder="1" applyAlignment="1" applyProtection="1">
      <alignment horizontal="right" vertical="center" wrapText="1"/>
    </xf>
    <xf numFmtId="184" fontId="188" fillId="0" borderId="67" xfId="195" applyFont="1" applyFill="1" applyBorder="1" applyAlignment="1" applyProtection="1">
      <alignment horizontal="right" vertical="center" wrapText="1"/>
    </xf>
    <xf numFmtId="227" fontId="189" fillId="0" borderId="67" xfId="195" applyNumberFormat="1" applyFont="1" applyFill="1" applyBorder="1" applyAlignment="1" applyProtection="1">
      <alignment horizontal="right" vertical="center" wrapText="1"/>
    </xf>
    <xf numFmtId="236" fontId="189" fillId="0" borderId="67" xfId="195" applyNumberFormat="1" applyFont="1" applyFill="1" applyBorder="1" applyAlignment="1" applyProtection="1">
      <alignment horizontal="right" vertical="center" wrapText="1"/>
    </xf>
    <xf numFmtId="238" fontId="189" fillId="0" borderId="67" xfId="195" applyNumberFormat="1" applyFont="1" applyFill="1" applyBorder="1" applyAlignment="1" applyProtection="1">
      <alignment horizontal="right" vertical="center" wrapText="1"/>
    </xf>
    <xf numFmtId="184" fontId="189" fillId="0" borderId="67" xfId="195" applyFont="1" applyFill="1" applyBorder="1" applyAlignment="1" applyProtection="1">
      <alignment horizontal="right" vertical="center" wrapText="1"/>
    </xf>
    <xf numFmtId="0" fontId="189" fillId="0" borderId="67" xfId="362" applyFont="1" applyBorder="1" applyAlignment="1">
      <alignment horizontal="justify" vertical="center" wrapText="1"/>
    </xf>
    <xf numFmtId="0" fontId="168" fillId="0" borderId="0" xfId="362" applyFont="1"/>
    <xf numFmtId="0" fontId="162" fillId="0" borderId="0" xfId="364" applyFont="1" applyAlignment="1">
      <alignment vertical="center"/>
    </xf>
    <xf numFmtId="0" fontId="161" fillId="0" borderId="0" xfId="363" applyFont="1" applyAlignment="1"/>
    <xf numFmtId="0" fontId="144" fillId="0" borderId="0" xfId="360" applyFont="1" applyBorder="1" applyAlignment="1">
      <alignment vertical="center"/>
    </xf>
    <xf numFmtId="0" fontId="174" fillId="0" borderId="0" xfId="360" applyFont="1" applyFill="1" applyBorder="1" applyAlignment="1">
      <alignment vertical="center"/>
    </xf>
    <xf numFmtId="0" fontId="245" fillId="0" borderId="0" xfId="362" applyFont="1"/>
    <xf numFmtId="227" fontId="245" fillId="0" borderId="0" xfId="362" applyNumberFormat="1" applyFont="1"/>
    <xf numFmtId="3" fontId="245" fillId="0" borderId="0" xfId="362" applyNumberFormat="1" applyFont="1"/>
    <xf numFmtId="4" fontId="245" fillId="0" borderId="0" xfId="362" applyNumberFormat="1" applyFont="1"/>
    <xf numFmtId="0" fontId="270" fillId="0" borderId="0" xfId="365" applyFont="1" applyAlignment="1">
      <alignment horizontal="center"/>
    </xf>
    <xf numFmtId="0" fontId="148" fillId="0" borderId="0" xfId="364" applyFont="1" applyAlignment="1">
      <alignment horizontal="center"/>
    </xf>
    <xf numFmtId="3" fontId="148" fillId="0" borderId="0" xfId="364" applyNumberFormat="1" applyFont="1" applyAlignment="1">
      <alignment horizontal="center"/>
    </xf>
    <xf numFmtId="0" fontId="271" fillId="0" borderId="67" xfId="362" applyFont="1" applyBorder="1" applyAlignment="1">
      <alignment horizontal="center" vertical="center" wrapText="1"/>
    </xf>
    <xf numFmtId="0" fontId="272" fillId="0" borderId="67" xfId="362" applyFont="1" applyFill="1" applyBorder="1" applyAlignment="1">
      <alignment horizontal="center" vertical="center" wrapText="1"/>
    </xf>
    <xf numFmtId="0" fontId="272" fillId="0" borderId="67" xfId="362" applyFont="1" applyBorder="1" applyAlignment="1">
      <alignment horizontal="center" vertical="center" wrapText="1"/>
    </xf>
    <xf numFmtId="3" fontId="271" fillId="0" borderId="67" xfId="362" applyNumberFormat="1" applyFont="1" applyFill="1" applyBorder="1" applyAlignment="1">
      <alignment horizontal="right" vertical="center" wrapText="1"/>
    </xf>
    <xf numFmtId="4" fontId="271" fillId="0" borderId="67" xfId="362" applyNumberFormat="1" applyFont="1" applyBorder="1" applyAlignment="1">
      <alignment horizontal="right" vertical="center" wrapText="1"/>
    </xf>
    <xf numFmtId="4" fontId="271" fillId="0" borderId="67" xfId="195" applyNumberFormat="1" applyFont="1" applyFill="1" applyBorder="1" applyAlignment="1" applyProtection="1">
      <alignment horizontal="right" vertical="center" wrapText="1"/>
    </xf>
    <xf numFmtId="1" fontId="273" fillId="0" borderId="67" xfId="362" applyNumberFormat="1" applyFont="1" applyBorder="1" applyAlignment="1">
      <alignment horizontal="right" vertical="center" wrapText="1"/>
    </xf>
    <xf numFmtId="0" fontId="273" fillId="0" borderId="67" xfId="362" applyFont="1" applyBorder="1" applyAlignment="1">
      <alignment horizontal="center" vertical="center" wrapText="1"/>
    </xf>
    <xf numFmtId="0" fontId="273" fillId="0" borderId="67" xfId="362" applyFont="1" applyBorder="1" applyAlignment="1">
      <alignment horizontal="justify" vertical="center" wrapText="1"/>
    </xf>
    <xf numFmtId="227" fontId="273" fillId="0" borderId="67" xfId="195" applyNumberFormat="1" applyFont="1" applyFill="1" applyBorder="1" applyAlignment="1" applyProtection="1">
      <alignment horizontal="right" vertical="center" wrapText="1"/>
    </xf>
    <xf numFmtId="4" fontId="273" fillId="0" borderId="67" xfId="195" applyNumberFormat="1" applyFont="1" applyFill="1" applyBorder="1" applyAlignment="1" applyProtection="1">
      <alignment horizontal="right" vertical="center" wrapText="1"/>
    </xf>
    <xf numFmtId="0" fontId="185" fillId="0" borderId="0" xfId="0" applyFont="1" applyFill="1" applyAlignment="1">
      <alignment horizontal="left" vertical="center"/>
    </xf>
    <xf numFmtId="0" fontId="185" fillId="0" borderId="0" xfId="0" applyFont="1" applyFill="1" applyAlignment="1">
      <alignment vertical="center"/>
    </xf>
    <xf numFmtId="3" fontId="185" fillId="0" borderId="0" xfId="0" applyNumberFormat="1" applyFont="1" applyFill="1"/>
    <xf numFmtId="0" fontId="185" fillId="0" borderId="0" xfId="0" applyFont="1" applyFill="1" applyAlignment="1">
      <alignment horizontal="center" vertical="center"/>
    </xf>
    <xf numFmtId="4" fontId="168" fillId="0" borderId="0" xfId="0" applyNumberFormat="1" applyFont="1" applyFill="1" applyAlignment="1">
      <alignment horizontal="center" vertical="center" wrapText="1"/>
    </xf>
    <xf numFmtId="255" fontId="168" fillId="0" borderId="0" xfId="0" applyNumberFormat="1" applyFont="1" applyFill="1" applyAlignment="1">
      <alignment horizontal="center" vertical="center" wrapText="1"/>
    </xf>
    <xf numFmtId="4" fontId="168" fillId="35" borderId="0" xfId="0" applyNumberFormat="1" applyFont="1" applyFill="1" applyAlignment="1">
      <alignment horizontal="center" vertical="center" wrapText="1"/>
    </xf>
    <xf numFmtId="0" fontId="168" fillId="0" borderId="79" xfId="0" applyFont="1" applyFill="1" applyBorder="1" applyAlignment="1">
      <alignment horizontal="center" vertical="center" wrapText="1"/>
    </xf>
    <xf numFmtId="2" fontId="185" fillId="0" borderId="118" xfId="0" applyNumberFormat="1" applyFont="1" applyFill="1" applyBorder="1"/>
    <xf numFmtId="0" fontId="255" fillId="0" borderId="67" xfId="0" applyFont="1" applyFill="1" applyBorder="1" applyAlignment="1">
      <alignment horizontal="center" vertical="center" wrapText="1"/>
    </xf>
    <xf numFmtId="0" fontId="254" fillId="0" borderId="67" xfId="0" applyFont="1" applyFill="1" applyBorder="1" applyAlignment="1">
      <alignment horizontal="center" vertical="center" wrapText="1"/>
    </xf>
    <xf numFmtId="3" fontId="254" fillId="0" borderId="67" xfId="0" applyNumberFormat="1" applyFont="1" applyFill="1" applyBorder="1" applyAlignment="1">
      <alignment horizontal="center" vertical="center" wrapText="1"/>
    </xf>
    <xf numFmtId="0" fontId="255" fillId="0" borderId="67" xfId="0" applyFont="1" applyFill="1" applyBorder="1"/>
    <xf numFmtId="4" fontId="255" fillId="0" borderId="67" xfId="0" applyNumberFormat="1" applyFont="1" applyFill="1" applyBorder="1" applyAlignment="1">
      <alignment horizontal="right" vertical="center" wrapText="1"/>
    </xf>
    <xf numFmtId="2" fontId="255" fillId="0" borderId="67" xfId="0" applyNumberFormat="1" applyFont="1" applyFill="1" applyBorder="1" applyAlignment="1">
      <alignment horizontal="justify" vertical="center" wrapText="1"/>
    </xf>
    <xf numFmtId="2" fontId="255" fillId="0" borderId="67" xfId="0" applyNumberFormat="1" applyFont="1" applyFill="1" applyBorder="1"/>
    <xf numFmtId="231" fontId="255" fillId="0" borderId="67" xfId="219" applyNumberFormat="1" applyFont="1" applyFill="1" applyBorder="1" applyAlignment="1" applyProtection="1">
      <alignment horizontal="right" vertical="center" wrapText="1"/>
    </xf>
    <xf numFmtId="1" fontId="266" fillId="0" borderId="67" xfId="0" quotePrefix="1" applyNumberFormat="1" applyFont="1" applyFill="1" applyBorder="1" applyAlignment="1">
      <alignment horizontal="center" vertical="center" wrapText="1"/>
    </xf>
    <xf numFmtId="2" fontId="266" fillId="0" borderId="67" xfId="0" applyNumberFormat="1" applyFont="1" applyFill="1" applyBorder="1" applyAlignment="1">
      <alignment horizontal="justify" vertical="center" wrapText="1"/>
    </xf>
    <xf numFmtId="2" fontId="266" fillId="0" borderId="67" xfId="0" applyNumberFormat="1" applyFont="1" applyFill="1" applyBorder="1"/>
    <xf numFmtId="4" fontId="266" fillId="0" borderId="67" xfId="0" applyNumberFormat="1" applyFont="1" applyFill="1" applyBorder="1" applyAlignment="1">
      <alignment horizontal="right" vertical="center" wrapText="1"/>
    </xf>
    <xf numFmtId="2" fontId="266" fillId="0" borderId="67" xfId="0" applyNumberFormat="1" applyFont="1" applyFill="1" applyBorder="1" applyAlignment="1">
      <alignment horizontal="right" vertical="center" wrapText="1"/>
    </xf>
    <xf numFmtId="4" fontId="266" fillId="0" borderId="67" xfId="0" applyNumberFormat="1" applyFont="1" applyFill="1" applyBorder="1"/>
    <xf numFmtId="1" fontId="255" fillId="0" borderId="67" xfId="0" quotePrefix="1" applyNumberFormat="1" applyFont="1" applyFill="1" applyBorder="1" applyAlignment="1">
      <alignment horizontal="center" vertical="center" wrapText="1"/>
    </xf>
    <xf numFmtId="4" fontId="255" fillId="0" borderId="67" xfId="0" applyNumberFormat="1" applyFont="1" applyFill="1" applyBorder="1"/>
    <xf numFmtId="4" fontId="255" fillId="0" borderId="67" xfId="0" applyNumberFormat="1" applyFont="1" applyFill="1" applyBorder="1" applyAlignment="1">
      <alignment horizontal="justify" vertical="center" wrapText="1"/>
    </xf>
    <xf numFmtId="4" fontId="266" fillId="0" borderId="67" xfId="0" applyNumberFormat="1" applyFont="1" applyFill="1" applyBorder="1" applyAlignment="1">
      <alignment horizontal="justify" vertical="center" wrapText="1"/>
    </xf>
    <xf numFmtId="4" fontId="255" fillId="0" borderId="67" xfId="0" quotePrefix="1" applyNumberFormat="1" applyFont="1" applyFill="1" applyBorder="1" applyAlignment="1">
      <alignment horizontal="center" vertical="center" wrapText="1"/>
    </xf>
    <xf numFmtId="4" fontId="255" fillId="0" borderId="67" xfId="0" applyNumberFormat="1" applyFont="1" applyFill="1" applyBorder="1" applyAlignment="1">
      <alignment horizontal="center" vertical="center" wrapText="1"/>
    </xf>
    <xf numFmtId="0" fontId="183" fillId="0" borderId="0" xfId="0" applyFont="1" applyAlignment="1">
      <alignment horizontal="center" vertical="center"/>
    </xf>
    <xf numFmtId="0" fontId="189" fillId="0" borderId="67" xfId="0" applyFont="1" applyBorder="1" applyAlignment="1">
      <alignment horizontal="center" vertical="center" wrapText="1"/>
    </xf>
    <xf numFmtId="0" fontId="189" fillId="0" borderId="67" xfId="0" applyFont="1" applyBorder="1" applyAlignment="1">
      <alignment horizontal="justify" vertical="center" wrapText="1"/>
    </xf>
    <xf numFmtId="4" fontId="189" fillId="0" borderId="67" xfId="0" applyNumberFormat="1" applyFont="1" applyBorder="1" applyAlignment="1">
      <alignment horizontal="right" vertical="center" wrapText="1"/>
    </xf>
    <xf numFmtId="1" fontId="189" fillId="0" borderId="67" xfId="0" applyNumberFormat="1" applyFont="1" applyBorder="1" applyAlignment="1">
      <alignment horizontal="right" vertical="center" wrapText="1"/>
    </xf>
    <xf numFmtId="3" fontId="168" fillId="0" borderId="0" xfId="365" applyNumberFormat="1" applyFont="1"/>
    <xf numFmtId="0" fontId="168" fillId="0" borderId="0" xfId="365" applyFont="1" applyFill="1"/>
    <xf numFmtId="0" fontId="174" fillId="0" borderId="0" xfId="365" applyFont="1" applyAlignment="1">
      <alignment horizontal="right"/>
    </xf>
    <xf numFmtId="0" fontId="168" fillId="0" borderId="0" xfId="365" applyFont="1" applyAlignment="1">
      <alignment horizontal="right" vertical="center"/>
    </xf>
    <xf numFmtId="0" fontId="162" fillId="0" borderId="0" xfId="365" applyFont="1" applyAlignment="1">
      <alignment horizontal="right" vertical="center"/>
    </xf>
    <xf numFmtId="225" fontId="132" fillId="0" borderId="3" xfId="219" applyNumberFormat="1" applyFont="1" applyFill="1" applyBorder="1" applyAlignment="1" applyProtection="1">
      <alignment horizontal="right"/>
    </xf>
    <xf numFmtId="231" fontId="132" fillId="0" borderId="3" xfId="219" applyNumberFormat="1" applyFont="1" applyFill="1" applyBorder="1" applyAlignment="1" applyProtection="1">
      <alignment horizontal="right"/>
    </xf>
    <xf numFmtId="0" fontId="31" fillId="0" borderId="0" xfId="365" applyFont="1" applyFill="1"/>
    <xf numFmtId="225" fontId="31" fillId="0" borderId="3" xfId="219" applyNumberFormat="1" applyFont="1" applyFill="1" applyBorder="1" applyAlignment="1" applyProtection="1">
      <alignment horizontal="right"/>
    </xf>
    <xf numFmtId="225" fontId="132" fillId="0" borderId="25" xfId="219" applyNumberFormat="1" applyFont="1" applyFill="1" applyBorder="1" applyAlignment="1" applyProtection="1">
      <alignment horizontal="right"/>
    </xf>
    <xf numFmtId="3" fontId="132" fillId="0" borderId="67" xfId="365" applyNumberFormat="1" applyFont="1" applyFill="1" applyBorder="1"/>
    <xf numFmtId="3" fontId="132" fillId="0" borderId="55" xfId="180" applyNumberFormat="1" applyFont="1" applyFill="1" applyBorder="1" applyAlignment="1" applyProtection="1">
      <alignment horizontal="right"/>
    </xf>
    <xf numFmtId="3" fontId="31" fillId="0" borderId="3" xfId="365" applyNumberFormat="1" applyFont="1" applyFill="1" applyBorder="1"/>
    <xf numFmtId="231" fontId="31" fillId="0" borderId="3" xfId="219" applyNumberFormat="1" applyFont="1" applyFill="1" applyBorder="1" applyAlignment="1" applyProtection="1">
      <alignment horizontal="right"/>
    </xf>
    <xf numFmtId="225" fontId="138" fillId="0" borderId="3" xfId="219" applyNumberFormat="1" applyFont="1" applyFill="1" applyBorder="1" applyAlignment="1" applyProtection="1">
      <alignment horizontal="right"/>
    </xf>
    <xf numFmtId="0" fontId="132" fillId="23" borderId="3" xfId="365" applyFont="1" applyFill="1" applyBorder="1" applyAlignment="1">
      <alignment horizontal="center" vertical="center" wrapText="1"/>
    </xf>
    <xf numFmtId="0" fontId="31" fillId="23" borderId="3" xfId="365" applyFont="1" applyFill="1" applyBorder="1" applyAlignment="1">
      <alignment horizontal="center" vertical="center" wrapText="1"/>
    </xf>
    <xf numFmtId="0" fontId="31" fillId="0" borderId="3" xfId="365" applyFont="1" applyFill="1" applyBorder="1" applyAlignment="1">
      <alignment horizontal="center" vertical="center" wrapText="1"/>
    </xf>
    <xf numFmtId="0" fontId="31" fillId="0" borderId="0" xfId="365" applyFont="1" applyAlignment="1">
      <alignment horizontal="center" vertical="center" wrapText="1"/>
    </xf>
    <xf numFmtId="0" fontId="138" fillId="23" borderId="3" xfId="365" applyFont="1" applyFill="1" applyBorder="1" applyAlignment="1">
      <alignment horizontal="center" vertical="center" wrapText="1"/>
    </xf>
    <xf numFmtId="0" fontId="132" fillId="23" borderId="25" xfId="365" applyFont="1" applyFill="1" applyBorder="1" applyAlignment="1">
      <alignment horizontal="center" vertical="center" wrapText="1"/>
    </xf>
    <xf numFmtId="0" fontId="132" fillId="23" borderId="55" xfId="365" applyFont="1" applyFill="1" applyBorder="1" applyAlignment="1">
      <alignment horizontal="center" vertical="center" wrapText="1"/>
    </xf>
    <xf numFmtId="0" fontId="132" fillId="0" borderId="3" xfId="365" applyFont="1" applyFill="1" applyBorder="1" applyAlignment="1">
      <alignment horizontal="center" vertical="center" wrapText="1"/>
    </xf>
    <xf numFmtId="0" fontId="132" fillId="23" borderId="3" xfId="365" applyFont="1" applyFill="1" applyBorder="1" applyAlignment="1">
      <alignment horizontal="justify" vertical="center" wrapText="1"/>
    </xf>
    <xf numFmtId="0" fontId="31" fillId="23" borderId="3" xfId="365" applyFont="1" applyFill="1" applyBorder="1" applyAlignment="1">
      <alignment horizontal="justify" vertical="center" wrapText="1"/>
    </xf>
    <xf numFmtId="0" fontId="31" fillId="0" borderId="3" xfId="365" applyFont="1" applyFill="1" applyBorder="1" applyAlignment="1">
      <alignment horizontal="justify" vertical="center" wrapText="1"/>
    </xf>
    <xf numFmtId="0" fontId="31" fillId="0" borderId="0" xfId="365" applyFont="1" applyAlignment="1">
      <alignment horizontal="justify" vertical="center" wrapText="1"/>
    </xf>
    <xf numFmtId="0" fontId="138" fillId="23" borderId="3" xfId="365" applyFont="1" applyFill="1" applyBorder="1" applyAlignment="1">
      <alignment horizontal="justify" vertical="center" wrapText="1"/>
    </xf>
    <xf numFmtId="0" fontId="132" fillId="23" borderId="25" xfId="365" applyFont="1" applyFill="1" applyBorder="1" applyAlignment="1">
      <alignment horizontal="justify" vertical="center" wrapText="1"/>
    </xf>
    <xf numFmtId="0" fontId="132" fillId="23" borderId="55" xfId="365" applyFont="1" applyFill="1" applyBorder="1" applyAlignment="1">
      <alignment horizontal="justify" vertical="center" wrapText="1"/>
    </xf>
    <xf numFmtId="0" fontId="132" fillId="0" borderId="3" xfId="365" applyFont="1" applyFill="1" applyBorder="1" applyAlignment="1">
      <alignment horizontal="justify" vertical="center" wrapText="1"/>
    </xf>
    <xf numFmtId="0" fontId="138" fillId="0" borderId="3" xfId="365" applyFont="1" applyFill="1" applyBorder="1" applyAlignment="1">
      <alignment horizontal="justify" vertical="center" wrapText="1"/>
    </xf>
    <xf numFmtId="4" fontId="132" fillId="0" borderId="67" xfId="365" applyNumberFormat="1" applyFont="1" applyBorder="1" applyAlignment="1">
      <alignment horizontal="right" vertical="center" wrapText="1"/>
    </xf>
    <xf numFmtId="3" fontId="132" fillId="23" borderId="3" xfId="180" applyNumberFormat="1" applyFont="1" applyFill="1" applyBorder="1" applyAlignment="1" applyProtection="1">
      <alignment horizontal="right" vertical="center" wrapText="1"/>
    </xf>
    <xf numFmtId="4" fontId="132" fillId="23" borderId="3" xfId="180" applyNumberFormat="1" applyFont="1" applyFill="1" applyBorder="1" applyAlignment="1" applyProtection="1">
      <alignment horizontal="right" vertical="center" wrapText="1"/>
    </xf>
    <xf numFmtId="4" fontId="132" fillId="0" borderId="3" xfId="180" applyNumberFormat="1" applyFont="1" applyFill="1" applyBorder="1" applyAlignment="1" applyProtection="1">
      <alignment horizontal="right" vertical="center" wrapText="1"/>
    </xf>
    <xf numFmtId="4" fontId="132" fillId="23" borderId="18" xfId="180" applyNumberFormat="1" applyFont="1" applyFill="1" applyBorder="1" applyAlignment="1" applyProtection="1">
      <alignment horizontal="right" vertical="center" wrapText="1"/>
    </xf>
    <xf numFmtId="3" fontId="132" fillId="23" borderId="3" xfId="219" applyNumberFormat="1" applyFont="1" applyFill="1" applyBorder="1" applyAlignment="1" applyProtection="1">
      <alignment horizontal="right" vertical="center" wrapText="1"/>
    </xf>
    <xf numFmtId="231" fontId="132" fillId="23" borderId="3" xfId="219" applyNumberFormat="1" applyFont="1" applyFill="1" applyBorder="1" applyAlignment="1" applyProtection="1">
      <alignment horizontal="right" vertical="center" wrapText="1"/>
    </xf>
    <xf numFmtId="4" fontId="31" fillId="0" borderId="3" xfId="180" applyNumberFormat="1" applyFont="1" applyFill="1" applyBorder="1" applyAlignment="1" applyProtection="1">
      <alignment horizontal="right" vertical="center" wrapText="1"/>
    </xf>
    <xf numFmtId="39" fontId="31" fillId="23" borderId="3" xfId="219" applyNumberFormat="1" applyFont="1" applyFill="1" applyBorder="1" applyAlignment="1" applyProtection="1">
      <alignment horizontal="right" vertical="center" wrapText="1"/>
    </xf>
    <xf numFmtId="4" fontId="31" fillId="23" borderId="3" xfId="180" applyNumberFormat="1" applyFont="1" applyFill="1" applyBorder="1" applyAlignment="1" applyProtection="1">
      <alignment horizontal="right" vertical="center" wrapText="1"/>
    </xf>
    <xf numFmtId="231" fontId="132" fillId="23" borderId="18" xfId="219" applyNumberFormat="1" applyFont="1" applyFill="1" applyBorder="1" applyAlignment="1" applyProtection="1">
      <alignment horizontal="right" vertical="center" wrapText="1"/>
    </xf>
    <xf numFmtId="231" fontId="132" fillId="0" borderId="3" xfId="219" applyNumberFormat="1" applyFont="1" applyFill="1" applyBorder="1" applyAlignment="1" applyProtection="1">
      <alignment horizontal="right" vertical="center" wrapText="1"/>
    </xf>
    <xf numFmtId="231" fontId="132" fillId="0" borderId="18" xfId="219" applyNumberFormat="1" applyFont="1" applyFill="1" applyBorder="1" applyAlignment="1" applyProtection="1">
      <alignment horizontal="right" vertical="center" wrapText="1"/>
    </xf>
    <xf numFmtId="231" fontId="31" fillId="23" borderId="3" xfId="219" applyNumberFormat="1" applyFont="1" applyFill="1" applyBorder="1" applyAlignment="1" applyProtection="1">
      <alignment horizontal="right" vertical="center" wrapText="1"/>
    </xf>
    <xf numFmtId="39" fontId="31" fillId="0" borderId="3" xfId="219" applyNumberFormat="1" applyFont="1" applyFill="1" applyBorder="1" applyAlignment="1" applyProtection="1">
      <alignment horizontal="right" vertical="center" wrapText="1"/>
    </xf>
    <xf numFmtId="3" fontId="31" fillId="0" borderId="0" xfId="365" applyNumberFormat="1" applyFont="1" applyAlignment="1">
      <alignment horizontal="right" vertical="center" wrapText="1"/>
    </xf>
    <xf numFmtId="0" fontId="31" fillId="0" borderId="0" xfId="365" applyFont="1" applyAlignment="1">
      <alignment horizontal="right" vertical="center" wrapText="1"/>
    </xf>
    <xf numFmtId="0" fontId="31" fillId="0" borderId="0" xfId="365" applyFont="1" applyFill="1" applyAlignment="1">
      <alignment horizontal="right" vertical="center" wrapText="1"/>
    </xf>
    <xf numFmtId="0" fontId="31" fillId="0" borderId="67" xfId="365" applyFont="1" applyBorder="1" applyAlignment="1">
      <alignment horizontal="right" vertical="center" wrapText="1"/>
    </xf>
    <xf numFmtId="4" fontId="31" fillId="0" borderId="67" xfId="365" applyNumberFormat="1" applyFont="1" applyBorder="1" applyAlignment="1">
      <alignment horizontal="right" vertical="center" wrapText="1"/>
    </xf>
    <xf numFmtId="3" fontId="138" fillId="23" borderId="3" xfId="219" applyNumberFormat="1" applyFont="1" applyFill="1" applyBorder="1" applyAlignment="1" applyProtection="1">
      <alignment horizontal="right" vertical="center" wrapText="1"/>
    </xf>
    <xf numFmtId="4" fontId="138" fillId="23" borderId="3" xfId="180" applyNumberFormat="1" applyFont="1" applyFill="1" applyBorder="1" applyAlignment="1" applyProtection="1">
      <alignment horizontal="right" vertical="center" wrapText="1"/>
    </xf>
    <xf numFmtId="4" fontId="138" fillId="0" borderId="3" xfId="180" applyNumberFormat="1" applyFont="1" applyFill="1" applyBorder="1" applyAlignment="1" applyProtection="1">
      <alignment horizontal="right" vertical="center" wrapText="1"/>
    </xf>
    <xf numFmtId="3" fontId="31" fillId="23" borderId="3" xfId="219" applyNumberFormat="1" applyFont="1" applyFill="1" applyBorder="1" applyAlignment="1" applyProtection="1">
      <alignment horizontal="right" vertical="center" wrapText="1"/>
    </xf>
    <xf numFmtId="3" fontId="31" fillId="0" borderId="3" xfId="358" applyNumberFormat="1" applyFont="1" applyFill="1" applyBorder="1" applyAlignment="1">
      <alignment horizontal="right" vertical="center" wrapText="1"/>
    </xf>
    <xf numFmtId="3" fontId="31" fillId="23" borderId="3" xfId="180" applyNumberFormat="1" applyFont="1" applyFill="1" applyBorder="1" applyAlignment="1" applyProtection="1">
      <alignment horizontal="right" vertical="center" wrapText="1"/>
    </xf>
    <xf numFmtId="225" fontId="31" fillId="23" borderId="3" xfId="219" applyNumberFormat="1" applyFont="1" applyFill="1" applyBorder="1" applyAlignment="1" applyProtection="1">
      <alignment horizontal="right" vertical="center" wrapText="1"/>
    </xf>
    <xf numFmtId="4" fontId="31" fillId="35" borderId="3" xfId="180" applyNumberFormat="1" applyFont="1" applyFill="1" applyBorder="1" applyAlignment="1" applyProtection="1">
      <alignment horizontal="right" vertical="center" wrapText="1"/>
    </xf>
    <xf numFmtId="4" fontId="31" fillId="23" borderId="18" xfId="180" applyNumberFormat="1" applyFont="1" applyFill="1" applyBorder="1" applyAlignment="1" applyProtection="1">
      <alignment horizontal="right" vertical="center" wrapText="1"/>
    </xf>
    <xf numFmtId="3" fontId="132" fillId="0" borderId="3" xfId="219" applyNumberFormat="1" applyFont="1" applyFill="1" applyBorder="1" applyAlignment="1" applyProtection="1">
      <alignment horizontal="right" vertical="center" wrapText="1"/>
    </xf>
    <xf numFmtId="3" fontId="132" fillId="23" borderId="25" xfId="219" applyNumberFormat="1" applyFont="1" applyFill="1" applyBorder="1" applyAlignment="1" applyProtection="1">
      <alignment horizontal="right" vertical="center" wrapText="1"/>
    </xf>
    <xf numFmtId="4" fontId="132" fillId="23" borderId="25" xfId="180" applyNumberFormat="1" applyFont="1" applyFill="1" applyBorder="1" applyAlignment="1" applyProtection="1">
      <alignment horizontal="right" vertical="center" wrapText="1"/>
    </xf>
    <xf numFmtId="4" fontId="132" fillId="0" borderId="25" xfId="180" applyNumberFormat="1" applyFont="1" applyFill="1" applyBorder="1" applyAlignment="1" applyProtection="1">
      <alignment horizontal="right" vertical="center" wrapText="1"/>
    </xf>
    <xf numFmtId="231" fontId="132" fillId="0" borderId="25" xfId="219" applyNumberFormat="1" applyFont="1" applyFill="1" applyBorder="1" applyAlignment="1" applyProtection="1">
      <alignment horizontal="right" vertical="center" wrapText="1"/>
    </xf>
    <xf numFmtId="4" fontId="132" fillId="23" borderId="54" xfId="180" applyNumberFormat="1" applyFont="1" applyFill="1" applyBorder="1" applyAlignment="1" applyProtection="1">
      <alignment horizontal="right" vertical="center" wrapText="1"/>
    </xf>
    <xf numFmtId="4" fontId="132" fillId="0" borderId="82" xfId="180" applyNumberFormat="1" applyFont="1" applyFill="1" applyBorder="1" applyAlignment="1" applyProtection="1">
      <alignment horizontal="right" vertical="center" wrapText="1"/>
    </xf>
    <xf numFmtId="0" fontId="140" fillId="0" borderId="82" xfId="365" applyFont="1" applyBorder="1" applyAlignment="1">
      <alignment horizontal="right" vertical="center" wrapText="1"/>
    </xf>
    <xf numFmtId="3" fontId="132" fillId="0" borderId="67" xfId="365" applyNumberFormat="1" applyFont="1" applyFill="1" applyBorder="1" applyAlignment="1">
      <alignment horizontal="right" vertical="center" wrapText="1"/>
    </xf>
    <xf numFmtId="4" fontId="132" fillId="23" borderId="82" xfId="180" applyNumberFormat="1" applyFont="1" applyFill="1" applyBorder="1" applyAlignment="1" applyProtection="1">
      <alignment horizontal="right" vertical="center" wrapText="1"/>
    </xf>
    <xf numFmtId="3" fontId="132" fillId="0" borderId="55" xfId="180" applyNumberFormat="1" applyFont="1" applyFill="1" applyBorder="1" applyAlignment="1" applyProtection="1">
      <alignment horizontal="right" vertical="center" wrapText="1"/>
    </xf>
    <xf numFmtId="4" fontId="132" fillId="23" borderId="56" xfId="180" applyNumberFormat="1" applyFont="1" applyFill="1" applyBorder="1" applyAlignment="1" applyProtection="1">
      <alignment horizontal="right" vertical="center" wrapText="1"/>
    </xf>
    <xf numFmtId="231" fontId="31" fillId="0" borderId="3" xfId="219" applyNumberFormat="1" applyFont="1" applyFill="1" applyBorder="1" applyAlignment="1" applyProtection="1">
      <alignment horizontal="right" vertical="center" wrapText="1"/>
    </xf>
    <xf numFmtId="4" fontId="31" fillId="0" borderId="18" xfId="180" applyNumberFormat="1" applyFont="1" applyFill="1" applyBorder="1" applyAlignment="1" applyProtection="1">
      <alignment horizontal="right" vertical="center" wrapText="1"/>
    </xf>
    <xf numFmtId="225" fontId="31" fillId="0" borderId="3" xfId="219" applyNumberFormat="1" applyFont="1" applyFill="1" applyBorder="1" applyAlignment="1" applyProtection="1">
      <alignment horizontal="right" vertical="center" wrapText="1"/>
    </xf>
    <xf numFmtId="37" fontId="132" fillId="0" borderId="3" xfId="219" applyNumberFormat="1" applyFont="1" applyFill="1" applyBorder="1" applyAlignment="1" applyProtection="1">
      <alignment horizontal="right" vertical="center" wrapText="1"/>
    </xf>
    <xf numFmtId="39" fontId="132" fillId="0" borderId="3" xfId="219" applyNumberFormat="1" applyFont="1" applyFill="1" applyBorder="1" applyAlignment="1" applyProtection="1">
      <alignment horizontal="right" vertical="center" wrapText="1"/>
    </xf>
    <xf numFmtId="3" fontId="31" fillId="0" borderId="3" xfId="219" applyNumberFormat="1" applyFont="1" applyFill="1" applyBorder="1" applyAlignment="1" applyProtection="1">
      <alignment horizontal="right" vertical="center" wrapText="1"/>
    </xf>
    <xf numFmtId="3" fontId="138" fillId="0" borderId="3" xfId="219" applyNumberFormat="1" applyFont="1" applyFill="1" applyBorder="1" applyAlignment="1" applyProtection="1">
      <alignment horizontal="right" vertical="center" wrapText="1"/>
    </xf>
    <xf numFmtId="49" fontId="274" fillId="0" borderId="67" xfId="365" applyNumberFormat="1" applyFont="1" applyFill="1" applyBorder="1" applyAlignment="1">
      <alignment horizontal="center" vertical="center" wrapText="1"/>
    </xf>
    <xf numFmtId="4" fontId="274" fillId="0" borderId="67" xfId="365" applyNumberFormat="1" applyFont="1" applyBorder="1" applyAlignment="1">
      <alignment horizontal="center" vertical="center" wrapText="1"/>
    </xf>
    <xf numFmtId="225" fontId="132" fillId="0" borderId="55" xfId="219" applyNumberFormat="1" applyFont="1" applyFill="1" applyBorder="1" applyAlignment="1" applyProtection="1">
      <alignment horizontal="right"/>
    </xf>
    <xf numFmtId="3" fontId="132" fillId="23" borderId="55" xfId="219" applyNumberFormat="1" applyFont="1" applyFill="1" applyBorder="1" applyAlignment="1" applyProtection="1">
      <alignment horizontal="right" vertical="center" wrapText="1"/>
    </xf>
    <xf numFmtId="4" fontId="132" fillId="0" borderId="55" xfId="180" applyNumberFormat="1" applyFont="1" applyFill="1" applyBorder="1" applyAlignment="1" applyProtection="1">
      <alignment horizontal="right" vertical="center" wrapText="1"/>
    </xf>
    <xf numFmtId="4" fontId="132" fillId="23" borderId="55" xfId="180" applyNumberFormat="1" applyFont="1" applyFill="1" applyBorder="1" applyAlignment="1" applyProtection="1">
      <alignment horizontal="right" vertical="center" wrapText="1"/>
    </xf>
    <xf numFmtId="4" fontId="132" fillId="23" borderId="73" xfId="180" applyNumberFormat="1" applyFont="1" applyFill="1" applyBorder="1" applyAlignment="1" applyProtection="1">
      <alignment horizontal="right" vertical="center" wrapText="1"/>
    </xf>
    <xf numFmtId="4" fontId="132" fillId="0" borderId="73" xfId="365" applyNumberFormat="1" applyFont="1" applyBorder="1" applyAlignment="1">
      <alignment horizontal="right" vertical="center" wrapText="1"/>
    </xf>
    <xf numFmtId="0" fontId="274" fillId="0" borderId="67" xfId="365" applyFont="1" applyBorder="1" applyAlignment="1">
      <alignment horizontal="center" vertical="center" wrapText="1"/>
    </xf>
    <xf numFmtId="3" fontId="274" fillId="0" borderId="67" xfId="365" applyNumberFormat="1" applyFont="1" applyFill="1" applyBorder="1" applyAlignment="1">
      <alignment horizontal="center" vertical="center" wrapText="1"/>
    </xf>
    <xf numFmtId="49" fontId="132" fillId="0" borderId="67" xfId="365" applyNumberFormat="1" applyFont="1" applyFill="1" applyBorder="1" applyAlignment="1">
      <alignment horizontal="center" vertical="center" wrapText="1"/>
    </xf>
    <xf numFmtId="0" fontId="189" fillId="0" borderId="3" xfId="365" quotePrefix="1" applyFont="1" applyFill="1" applyBorder="1" applyAlignment="1">
      <alignment horizontal="justify" vertical="center" wrapText="1"/>
    </xf>
    <xf numFmtId="4" fontId="132" fillId="0" borderId="3" xfId="219" applyNumberFormat="1" applyFont="1" applyFill="1" applyBorder="1" applyAlignment="1" applyProtection="1">
      <alignment horizontal="right" vertical="center" wrapText="1"/>
    </xf>
    <xf numFmtId="4" fontId="143" fillId="0" borderId="67" xfId="219" applyNumberFormat="1" applyFont="1" applyFill="1" applyBorder="1" applyAlignment="1" applyProtection="1">
      <alignment horizontal="right" vertical="center" wrapText="1"/>
    </xf>
    <xf numFmtId="0" fontId="191" fillId="0" borderId="3" xfId="365" applyFont="1" applyFill="1" applyBorder="1" applyAlignment="1">
      <alignment horizontal="center"/>
    </xf>
    <xf numFmtId="0" fontId="191" fillId="0" borderId="3" xfId="365" applyFont="1" applyFill="1" applyBorder="1"/>
    <xf numFmtId="3" fontId="191" fillId="0" borderId="3" xfId="365" applyNumberFormat="1" applyFont="1" applyFill="1" applyBorder="1"/>
    <xf numFmtId="231" fontId="191" fillId="0" borderId="3" xfId="219" applyNumberFormat="1" applyFont="1" applyFill="1" applyBorder="1" applyAlignment="1" applyProtection="1">
      <alignment horizontal="right"/>
    </xf>
    <xf numFmtId="174" fontId="191" fillId="0" borderId="21" xfId="218" applyFont="1" applyFill="1" applyBorder="1" applyAlignment="1" applyProtection="1">
      <alignment horizontal="right"/>
    </xf>
    <xf numFmtId="0" fontId="275" fillId="0" borderId="0" xfId="365" applyFont="1" applyFill="1"/>
    <xf numFmtId="4" fontId="275" fillId="0" borderId="0" xfId="365" applyNumberFormat="1" applyFont="1" applyFill="1"/>
    <xf numFmtId="0" fontId="191" fillId="0" borderId="3" xfId="365" applyFont="1" applyFill="1" applyBorder="1" applyAlignment="1">
      <alignment wrapText="1"/>
    </xf>
    <xf numFmtId="231" fontId="192" fillId="0" borderId="3" xfId="219" applyNumberFormat="1" applyFont="1" applyFill="1" applyBorder="1" applyAlignment="1" applyProtection="1">
      <alignment horizontal="right"/>
    </xf>
    <xf numFmtId="225" fontId="191" fillId="0" borderId="3" xfId="219" applyNumberFormat="1" applyFont="1" applyFill="1" applyBorder="1" applyAlignment="1" applyProtection="1">
      <alignment horizontal="right"/>
    </xf>
    <xf numFmtId="3" fontId="275" fillId="0" borderId="0" xfId="365" applyNumberFormat="1" applyFont="1" applyFill="1"/>
    <xf numFmtId="231" fontId="275" fillId="0" borderId="0" xfId="365" applyNumberFormat="1" applyFont="1" applyFill="1"/>
    <xf numFmtId="225" fontId="29" fillId="35" borderId="0" xfId="365" applyNumberFormat="1" applyFont="1" applyFill="1" applyAlignment="1"/>
    <xf numFmtId="0" fontId="29" fillId="35" borderId="25" xfId="365" applyFont="1" applyFill="1" applyBorder="1" applyAlignment="1">
      <alignment horizontal="center"/>
    </xf>
    <xf numFmtId="0" fontId="29" fillId="35" borderId="55" xfId="365" applyFont="1" applyFill="1" applyBorder="1" applyAlignment="1">
      <alignment horizontal="center"/>
    </xf>
    <xf numFmtId="49" fontId="29" fillId="35" borderId="55" xfId="365" applyNumberFormat="1" applyFont="1" applyFill="1" applyBorder="1" applyAlignment="1">
      <alignment horizontal="center"/>
    </xf>
    <xf numFmtId="4" fontId="143" fillId="41" borderId="3" xfId="180" applyNumberFormat="1" applyFont="1" applyFill="1" applyBorder="1" applyAlignment="1" applyProtection="1">
      <alignment horizontal="right"/>
    </xf>
    <xf numFmtId="231" fontId="143" fillId="41" borderId="3" xfId="219" applyNumberFormat="1" applyFont="1" applyFill="1" applyBorder="1" applyAlignment="1" applyProtection="1">
      <alignment horizontal="right"/>
    </xf>
    <xf numFmtId="4" fontId="149" fillId="41" borderId="3" xfId="180" applyNumberFormat="1" applyFont="1" applyFill="1" applyBorder="1" applyAlignment="1" applyProtection="1">
      <alignment horizontal="right"/>
    </xf>
    <xf numFmtId="4" fontId="29" fillId="41" borderId="3" xfId="180" applyNumberFormat="1" applyFont="1" applyFill="1" applyBorder="1" applyAlignment="1" applyProtection="1">
      <alignment horizontal="right"/>
    </xf>
    <xf numFmtId="231" fontId="143" fillId="35" borderId="3" xfId="219" applyNumberFormat="1" applyFont="1" applyFill="1" applyBorder="1" applyAlignment="1" applyProtection="1">
      <alignment horizontal="right"/>
    </xf>
    <xf numFmtId="225" fontId="29" fillId="35" borderId="3" xfId="219" applyNumberFormat="1" applyFont="1" applyFill="1" applyBorder="1" applyAlignment="1" applyProtection="1">
      <alignment horizontal="right"/>
    </xf>
    <xf numFmtId="225" fontId="29" fillId="41" borderId="3" xfId="219" applyNumberFormat="1" applyFont="1" applyFill="1" applyBorder="1" applyAlignment="1" applyProtection="1">
      <alignment horizontal="right"/>
    </xf>
    <xf numFmtId="225" fontId="143" fillId="35" borderId="0" xfId="219" applyNumberFormat="1" applyFont="1" applyFill="1" applyBorder="1" applyAlignment="1" applyProtection="1">
      <alignment horizontal="right"/>
    </xf>
    <xf numFmtId="225" fontId="151" fillId="35" borderId="0" xfId="219" applyNumberFormat="1" applyFont="1" applyFill="1" applyBorder="1" applyAlignment="1" applyProtection="1">
      <alignment horizontal="right"/>
    </xf>
    <xf numFmtId="4" fontId="143" fillId="35" borderId="0" xfId="180" applyNumberFormat="1" applyFont="1" applyFill="1" applyBorder="1" applyAlignment="1" applyProtection="1">
      <alignment horizontal="right"/>
    </xf>
    <xf numFmtId="227" fontId="18" fillId="35" borderId="0" xfId="180" applyNumberFormat="1" applyFont="1" applyFill="1" applyBorder="1" applyAlignment="1" applyProtection="1"/>
    <xf numFmtId="227" fontId="18" fillId="35" borderId="0" xfId="365" applyNumberFormat="1" applyFont="1" applyFill="1"/>
    <xf numFmtId="0" fontId="188" fillId="0" borderId="82" xfId="365" applyFont="1" applyFill="1" applyBorder="1" applyAlignment="1">
      <alignment vertical="center" wrapText="1"/>
    </xf>
    <xf numFmtId="0" fontId="188" fillId="0" borderId="82" xfId="365" applyFont="1" applyFill="1" applyBorder="1" applyAlignment="1">
      <alignment horizontal="center" vertical="center" wrapText="1"/>
    </xf>
    <xf numFmtId="0" fontId="188" fillId="0" borderId="3" xfId="365" applyFont="1" applyBorder="1" applyAlignment="1">
      <alignment horizontal="center" vertical="center"/>
    </xf>
    <xf numFmtId="1" fontId="143" fillId="0" borderId="21" xfId="0" applyNumberFormat="1" applyFont="1" applyFill="1" applyBorder="1" applyAlignment="1">
      <alignment vertical="center" wrapText="1"/>
    </xf>
    <xf numFmtId="0" fontId="274" fillId="0" borderId="3" xfId="365" applyFont="1" applyFill="1" applyBorder="1" applyAlignment="1">
      <alignment horizontal="center" vertical="center" wrapText="1"/>
    </xf>
    <xf numFmtId="0" fontId="274" fillId="0" borderId="3" xfId="365" applyFont="1" applyFill="1" applyBorder="1" applyAlignment="1">
      <alignment horizontal="justify" vertical="center" wrapText="1"/>
    </xf>
    <xf numFmtId="231" fontId="276" fillId="0" borderId="3" xfId="219" applyNumberFormat="1" applyFont="1" applyFill="1" applyBorder="1" applyAlignment="1" applyProtection="1">
      <alignment horizontal="right"/>
    </xf>
    <xf numFmtId="231" fontId="276" fillId="0" borderId="3" xfId="219" applyNumberFormat="1" applyFont="1" applyFill="1" applyBorder="1" applyAlignment="1" applyProtection="1">
      <alignment horizontal="right" vertical="center" wrapText="1"/>
    </xf>
    <xf numFmtId="231" fontId="276" fillId="23" borderId="3" xfId="219" applyNumberFormat="1" applyFont="1" applyFill="1" applyBorder="1" applyAlignment="1" applyProtection="1">
      <alignment horizontal="right" vertical="center" wrapText="1"/>
    </xf>
    <xf numFmtId="4" fontId="274" fillId="0" borderId="3" xfId="180" applyNumberFormat="1" applyFont="1" applyFill="1" applyBorder="1" applyAlignment="1" applyProtection="1">
      <alignment horizontal="right" vertical="center" wrapText="1"/>
    </xf>
    <xf numFmtId="231" fontId="276" fillId="0" borderId="18" xfId="219" applyNumberFormat="1" applyFont="1" applyFill="1" applyBorder="1" applyAlignment="1" applyProtection="1">
      <alignment horizontal="right" vertical="center" wrapText="1"/>
    </xf>
    <xf numFmtId="231" fontId="276" fillId="0" borderId="67" xfId="219" applyNumberFormat="1" applyFont="1" applyFill="1" applyBorder="1" applyAlignment="1" applyProtection="1">
      <alignment horizontal="right" vertical="center" wrapText="1"/>
    </xf>
    <xf numFmtId="231" fontId="276" fillId="23" borderId="67" xfId="219" applyNumberFormat="1" applyFont="1" applyFill="1" applyBorder="1" applyAlignment="1" applyProtection="1">
      <alignment horizontal="right" vertical="center" wrapText="1"/>
    </xf>
    <xf numFmtId="0" fontId="163" fillId="0" borderId="0" xfId="365" applyFont="1" applyFill="1"/>
    <xf numFmtId="0" fontId="274" fillId="23" borderId="3" xfId="365" applyFont="1" applyFill="1" applyBorder="1" applyAlignment="1">
      <alignment horizontal="center" vertical="center" wrapText="1"/>
    </xf>
    <xf numFmtId="0" fontId="274" fillId="23" borderId="3" xfId="365" applyFont="1" applyFill="1" applyBorder="1" applyAlignment="1">
      <alignment horizontal="justify" vertical="center" wrapText="1"/>
    </xf>
    <xf numFmtId="231" fontId="274" fillId="0" borderId="3" xfId="219" applyNumberFormat="1" applyFont="1" applyFill="1" applyBorder="1" applyAlignment="1" applyProtection="1">
      <alignment horizontal="right"/>
    </xf>
    <xf numFmtId="3" fontId="274" fillId="23" borderId="3" xfId="180" applyNumberFormat="1" applyFont="1" applyFill="1" applyBorder="1" applyAlignment="1" applyProtection="1">
      <alignment horizontal="right" vertical="center" wrapText="1"/>
    </xf>
    <xf numFmtId="4" fontId="274" fillId="23" borderId="3" xfId="180" applyNumberFormat="1" applyFont="1" applyFill="1" applyBorder="1" applyAlignment="1" applyProtection="1">
      <alignment horizontal="right" vertical="center" wrapText="1"/>
    </xf>
    <xf numFmtId="4" fontId="274" fillId="23" borderId="18" xfId="180" applyNumberFormat="1" applyFont="1" applyFill="1" applyBorder="1" applyAlignment="1" applyProtection="1">
      <alignment horizontal="right" vertical="center" wrapText="1"/>
    </xf>
    <xf numFmtId="4" fontId="274" fillId="23" borderId="67" xfId="180" applyNumberFormat="1" applyFont="1" applyFill="1" applyBorder="1" applyAlignment="1" applyProtection="1">
      <alignment horizontal="right" vertical="center" wrapText="1"/>
    </xf>
    <xf numFmtId="4" fontId="274" fillId="0" borderId="67" xfId="365" applyNumberFormat="1" applyFont="1" applyBorder="1" applyAlignment="1">
      <alignment horizontal="right" vertical="center" wrapText="1"/>
    </xf>
    <xf numFmtId="0" fontId="188" fillId="0" borderId="67" xfId="0" applyFont="1" applyBorder="1" applyAlignment="1">
      <alignment horizontal="center" vertical="center" wrapText="1"/>
    </xf>
    <xf numFmtId="0" fontId="132" fillId="0" borderId="82" xfId="365" applyFont="1" applyFill="1" applyBorder="1" applyAlignment="1">
      <alignment vertical="center" wrapText="1"/>
    </xf>
    <xf numFmtId="0" fontId="132" fillId="0" borderId="82" xfId="365" applyFont="1" applyFill="1" applyBorder="1" applyAlignment="1">
      <alignment horizontal="center" vertical="center" wrapText="1"/>
    </xf>
    <xf numFmtId="0" fontId="184" fillId="23" borderId="67" xfId="365" applyFont="1" applyFill="1" applyBorder="1" applyAlignment="1">
      <alignment horizontal="center" vertical="center" wrapText="1"/>
    </xf>
    <xf numFmtId="0" fontId="184" fillId="23" borderId="67" xfId="365" applyFont="1" applyFill="1" applyBorder="1" applyAlignment="1">
      <alignment horizontal="justify" vertical="center" wrapText="1"/>
    </xf>
    <xf numFmtId="231" fontId="184" fillId="0" borderId="67" xfId="219" applyNumberFormat="1" applyFont="1" applyFill="1" applyBorder="1" applyAlignment="1" applyProtection="1">
      <alignment horizontal="right"/>
    </xf>
    <xf numFmtId="231" fontId="184" fillId="23" borderId="67" xfId="219" applyNumberFormat="1" applyFont="1" applyFill="1" applyBorder="1" applyAlignment="1" applyProtection="1">
      <alignment horizontal="right" vertical="center" wrapText="1"/>
    </xf>
    <xf numFmtId="4" fontId="184" fillId="23" borderId="67" xfId="180" applyNumberFormat="1" applyFont="1" applyFill="1" applyBorder="1" applyAlignment="1" applyProtection="1">
      <alignment horizontal="right" vertical="center" wrapText="1"/>
    </xf>
    <xf numFmtId="4" fontId="184" fillId="0" borderId="67" xfId="180" applyNumberFormat="1" applyFont="1" applyFill="1" applyBorder="1" applyAlignment="1" applyProtection="1">
      <alignment horizontal="right" vertical="center" wrapText="1"/>
    </xf>
    <xf numFmtId="4" fontId="184" fillId="0" borderId="67" xfId="365" applyNumberFormat="1" applyFont="1" applyFill="1" applyBorder="1" applyAlignment="1">
      <alignment horizontal="right" vertical="center" wrapText="1"/>
    </xf>
    <xf numFmtId="174" fontId="189" fillId="0" borderId="40" xfId="218" applyFont="1" applyFill="1" applyBorder="1" applyAlignment="1" applyProtection="1">
      <alignment horizontal="right"/>
    </xf>
    <xf numFmtId="231" fontId="184" fillId="0" borderId="67" xfId="219" applyNumberFormat="1" applyFont="1" applyFill="1" applyBorder="1" applyAlignment="1" applyProtection="1">
      <alignment horizontal="right" vertical="center" wrapText="1"/>
    </xf>
    <xf numFmtId="231" fontId="162" fillId="0" borderId="0" xfId="365" applyNumberFormat="1" applyFont="1"/>
    <xf numFmtId="0" fontId="146" fillId="0" borderId="72" xfId="365" applyFont="1" applyFill="1" applyBorder="1" applyAlignment="1"/>
    <xf numFmtId="0" fontId="142" fillId="0" borderId="0" xfId="0" applyFont="1" applyBorder="1" applyAlignment="1">
      <alignment horizontal="center"/>
    </xf>
    <xf numFmtId="0" fontId="131" fillId="0" borderId="0" xfId="0" applyFont="1" applyFill="1" applyBorder="1" applyAlignment="1">
      <alignment horizontal="center"/>
    </xf>
    <xf numFmtId="0" fontId="31" fillId="0" borderId="65" xfId="0" applyFont="1" applyBorder="1" applyAlignment="1">
      <alignment horizontal="center" vertical="center"/>
    </xf>
    <xf numFmtId="0" fontId="31" fillId="0" borderId="66" xfId="0" applyFont="1" applyBorder="1" applyAlignment="1">
      <alignment horizontal="center" vertical="center"/>
    </xf>
    <xf numFmtId="3" fontId="142" fillId="0" borderId="0" xfId="365" applyNumberFormat="1" applyFont="1" applyAlignment="1">
      <alignment horizontal="center"/>
    </xf>
    <xf numFmtId="0" fontId="18" fillId="0" borderId="3" xfId="365" applyFont="1" applyBorder="1" applyAlignment="1">
      <alignment horizontal="center" vertical="center"/>
    </xf>
    <xf numFmtId="0" fontId="143" fillId="0" borderId="3" xfId="365" applyFont="1" applyFill="1" applyBorder="1" applyAlignment="1">
      <alignment horizontal="center" vertical="center"/>
    </xf>
    <xf numFmtId="0" fontId="18" fillId="0" borderId="0" xfId="365" applyFont="1" applyAlignment="1">
      <alignment horizontal="center"/>
    </xf>
    <xf numFmtId="0" fontId="151" fillId="0" borderId="0" xfId="365" applyFont="1" applyFill="1" applyBorder="1" applyAlignment="1">
      <alignment horizontal="center"/>
    </xf>
    <xf numFmtId="225" fontId="163" fillId="0" borderId="57" xfId="365" applyNumberFormat="1" applyFont="1" applyBorder="1" applyAlignment="1">
      <alignment horizontal="right"/>
    </xf>
    <xf numFmtId="0" fontId="146" fillId="0" borderId="0" xfId="365" applyFont="1" applyAlignment="1">
      <alignment horizontal="center"/>
    </xf>
    <xf numFmtId="0" fontId="142" fillId="0" borderId="0" xfId="365" applyFont="1" applyAlignment="1">
      <alignment horizontal="center"/>
    </xf>
    <xf numFmtId="226" fontId="151" fillId="0" borderId="0" xfId="218" applyNumberFormat="1" applyFont="1" applyFill="1" applyBorder="1" applyAlignment="1" applyProtection="1">
      <alignment horizontal="center"/>
    </xf>
    <xf numFmtId="226" fontId="70" fillId="0" borderId="0" xfId="218" applyNumberFormat="1" applyFont="1" applyFill="1" applyBorder="1" applyAlignment="1" applyProtection="1">
      <alignment horizontal="center"/>
    </xf>
    <xf numFmtId="1" fontId="131" fillId="0" borderId="0" xfId="0" applyNumberFormat="1" applyFont="1" applyFill="1" applyBorder="1" applyAlignment="1">
      <alignment horizontal="center"/>
    </xf>
    <xf numFmtId="1" fontId="29" fillId="0" borderId="3" xfId="0" applyNumberFormat="1" applyFont="1" applyFill="1" applyBorder="1" applyAlignment="1">
      <alignment horizontal="center"/>
    </xf>
    <xf numFmtId="225" fontId="151" fillId="0" borderId="0" xfId="219" applyNumberFormat="1" applyFont="1" applyFill="1" applyBorder="1" applyAlignment="1" applyProtection="1">
      <alignment horizontal="center"/>
    </xf>
    <xf numFmtId="228" fontId="151" fillId="0" borderId="0" xfId="219" applyNumberFormat="1" applyFont="1" applyFill="1" applyBorder="1" applyAlignment="1" applyProtection="1">
      <alignment horizontal="center"/>
    </xf>
    <xf numFmtId="0" fontId="144" fillId="0" borderId="0" xfId="365" applyFont="1" applyFill="1" applyBorder="1" applyAlignment="1">
      <alignment horizontal="center"/>
    </xf>
    <xf numFmtId="0" fontId="143" fillId="0" borderId="25" xfId="365" applyFont="1" applyFill="1" applyBorder="1" applyAlignment="1">
      <alignment horizontal="center"/>
    </xf>
    <xf numFmtId="0" fontId="159" fillId="0" borderId="3" xfId="365" applyFont="1" applyFill="1" applyBorder="1" applyAlignment="1">
      <alignment horizontal="center"/>
    </xf>
    <xf numFmtId="0" fontId="152" fillId="0" borderId="61" xfId="365" applyFont="1" applyFill="1" applyBorder="1" applyAlignment="1">
      <alignment horizontal="center"/>
    </xf>
    <xf numFmtId="225" fontId="70" fillId="0" borderId="0" xfId="219" applyNumberFormat="1" applyFont="1" applyFill="1" applyBorder="1" applyAlignment="1" applyProtection="1">
      <alignment horizontal="center"/>
    </xf>
    <xf numFmtId="228" fontId="70" fillId="0" borderId="0" xfId="219" applyNumberFormat="1" applyFont="1" applyFill="1" applyBorder="1" applyAlignment="1" applyProtection="1">
      <alignment horizontal="center"/>
    </xf>
    <xf numFmtId="0" fontId="168" fillId="0" borderId="0" xfId="365" applyFont="1" applyAlignment="1">
      <alignment horizontal="center" vertical="center"/>
    </xf>
    <xf numFmtId="0" fontId="146" fillId="0" borderId="53" xfId="365" applyFont="1" applyBorder="1" applyAlignment="1">
      <alignment horizontal="center"/>
    </xf>
    <xf numFmtId="0" fontId="144" fillId="0" borderId="0" xfId="365" applyFont="1" applyFill="1" applyBorder="1" applyAlignment="1">
      <alignment horizontal="center" vertical="center"/>
    </xf>
    <xf numFmtId="0" fontId="188" fillId="0" borderId="18" xfId="365" applyFont="1" applyFill="1" applyBorder="1" applyAlignment="1">
      <alignment horizontal="center" vertical="center" wrapText="1"/>
    </xf>
    <xf numFmtId="0" fontId="188" fillId="0" borderId="61" xfId="365" applyFont="1" applyFill="1" applyBorder="1" applyAlignment="1">
      <alignment horizontal="center" vertical="center" wrapText="1"/>
    </xf>
    <xf numFmtId="0" fontId="188" fillId="0" borderId="54" xfId="365" applyFont="1" applyFill="1" applyBorder="1" applyAlignment="1">
      <alignment horizontal="center" vertical="center" wrapText="1"/>
    </xf>
    <xf numFmtId="0" fontId="188" fillId="0" borderId="58" xfId="365" applyFont="1" applyFill="1" applyBorder="1" applyAlignment="1">
      <alignment horizontal="center" vertical="center" wrapText="1"/>
    </xf>
    <xf numFmtId="0" fontId="188" fillId="0" borderId="52" xfId="365" applyFont="1" applyFill="1" applyBorder="1" applyAlignment="1">
      <alignment horizontal="center" vertical="center" wrapText="1"/>
    </xf>
    <xf numFmtId="0" fontId="188" fillId="0" borderId="59" xfId="365" applyFont="1" applyFill="1" applyBorder="1" applyAlignment="1">
      <alignment horizontal="center" vertical="center" wrapText="1"/>
    </xf>
    <xf numFmtId="0" fontId="188" fillId="0" borderId="56" xfId="365" applyFont="1" applyFill="1" applyBorder="1" applyAlignment="1">
      <alignment horizontal="center" vertical="center" wrapText="1"/>
    </xf>
    <xf numFmtId="0" fontId="188" fillId="0" borderId="60" xfId="365" applyFont="1" applyFill="1" applyBorder="1" applyAlignment="1">
      <alignment horizontal="center" vertical="center" wrapText="1"/>
    </xf>
    <xf numFmtId="0" fontId="174" fillId="0" borderId="0" xfId="365" applyFont="1" applyFill="1" applyBorder="1" applyAlignment="1">
      <alignment horizontal="center" vertical="center"/>
    </xf>
    <xf numFmtId="4" fontId="174" fillId="0" borderId="72" xfId="365" applyNumberFormat="1" applyFont="1" applyBorder="1" applyAlignment="1">
      <alignment horizontal="right" vertical="center"/>
    </xf>
    <xf numFmtId="0" fontId="188" fillId="0" borderId="67" xfId="365" applyFont="1" applyBorder="1" applyAlignment="1">
      <alignment horizontal="center" vertical="center" wrapText="1"/>
    </xf>
    <xf numFmtId="0" fontId="188" fillId="0" borderId="67" xfId="365" applyFont="1" applyFill="1" applyBorder="1" applyAlignment="1">
      <alignment horizontal="center" vertical="center" wrapText="1"/>
    </xf>
    <xf numFmtId="0" fontId="188" fillId="0" borderId="67" xfId="365" applyNumberFormat="1" applyFont="1" applyFill="1" applyBorder="1" applyAlignment="1">
      <alignment horizontal="center" vertical="center" wrapText="1"/>
    </xf>
    <xf numFmtId="1" fontId="18" fillId="0" borderId="0" xfId="0" applyNumberFormat="1" applyFont="1" applyFill="1" applyAlignment="1">
      <alignment horizontal="center" vertical="center"/>
    </xf>
    <xf numFmtId="1" fontId="248" fillId="0" borderId="0" xfId="0" applyNumberFormat="1" applyFont="1" applyFill="1" applyBorder="1" applyAlignment="1">
      <alignment horizontal="center"/>
    </xf>
    <xf numFmtId="1" fontId="29" fillId="0" borderId="67" xfId="0" applyNumberFormat="1" applyFont="1" applyFill="1" applyBorder="1" applyAlignment="1">
      <alignment horizontal="center" vertical="center" wrapText="1"/>
    </xf>
    <xf numFmtId="1" fontId="29" fillId="0" borderId="67" xfId="0" applyNumberFormat="1" applyFont="1" applyFill="1" applyBorder="1" applyAlignment="1">
      <alignment horizontal="center" vertical="center"/>
    </xf>
    <xf numFmtId="1" fontId="29" fillId="0" borderId="71" xfId="0" applyNumberFormat="1" applyFont="1" applyFill="1" applyBorder="1" applyAlignment="1">
      <alignment horizontal="center" vertical="center" wrapText="1"/>
    </xf>
    <xf numFmtId="1" fontId="29" fillId="0" borderId="73" xfId="0" applyNumberFormat="1" applyFont="1" applyFill="1" applyBorder="1" applyAlignment="1">
      <alignment horizontal="center" vertical="center"/>
    </xf>
    <xf numFmtId="1" fontId="29" fillId="0" borderId="25" xfId="0" applyNumberFormat="1" applyFont="1" applyFill="1" applyBorder="1" applyAlignment="1">
      <alignment horizontal="center" vertical="center" wrapText="1"/>
    </xf>
    <xf numFmtId="1" fontId="29" fillId="0" borderId="55" xfId="0" applyNumberFormat="1" applyFont="1" applyFill="1" applyBorder="1" applyAlignment="1">
      <alignment horizontal="center" vertical="center"/>
    </xf>
    <xf numFmtId="1" fontId="18" fillId="0" borderId="0" xfId="0" applyNumberFormat="1" applyFont="1" applyFill="1" applyAlignment="1">
      <alignment horizontal="right"/>
    </xf>
    <xf numFmtId="1" fontId="29" fillId="0" borderId="67" xfId="0" applyNumberFormat="1" applyFont="1" applyFill="1" applyBorder="1" applyAlignment="1">
      <alignment horizontal="center"/>
    </xf>
    <xf numFmtId="1" fontId="29" fillId="0" borderId="61" xfId="0" applyNumberFormat="1" applyFont="1" applyFill="1" applyBorder="1" applyAlignment="1">
      <alignment horizontal="center"/>
    </xf>
    <xf numFmtId="0" fontId="185" fillId="0" borderId="0" xfId="365" applyFont="1" applyAlignment="1">
      <alignment horizontal="right" vertical="center"/>
    </xf>
    <xf numFmtId="1" fontId="185" fillId="0" borderId="0" xfId="0" applyNumberFormat="1" applyFont="1" applyFill="1" applyAlignment="1">
      <alignment horizontal="right" vertical="center"/>
    </xf>
    <xf numFmtId="1" fontId="144" fillId="0" borderId="0" xfId="0" applyNumberFormat="1" applyFont="1" applyFill="1" applyBorder="1" applyAlignment="1">
      <alignment horizontal="center" vertical="center"/>
    </xf>
    <xf numFmtId="1" fontId="174" fillId="0" borderId="0" xfId="0" applyNumberFormat="1" applyFont="1" applyFill="1" applyBorder="1" applyAlignment="1">
      <alignment horizontal="center" vertical="center"/>
    </xf>
    <xf numFmtId="1" fontId="255" fillId="0" borderId="67" xfId="0" applyNumberFormat="1" applyFont="1" applyFill="1" applyBorder="1" applyAlignment="1">
      <alignment horizontal="center" vertical="center" wrapText="1"/>
    </xf>
    <xf numFmtId="1" fontId="163" fillId="0" borderId="0" xfId="0" applyNumberFormat="1" applyFont="1" applyFill="1" applyAlignment="1">
      <alignment horizontal="right" vertical="center"/>
    </xf>
    <xf numFmtId="0" fontId="144" fillId="0" borderId="0" xfId="365" applyFont="1" applyFill="1" applyBorder="1" applyAlignment="1">
      <alignment horizontal="center" vertical="center" wrapText="1"/>
    </xf>
    <xf numFmtId="0" fontId="174" fillId="0" borderId="0" xfId="365" applyFont="1" applyFill="1" applyBorder="1" applyAlignment="1">
      <alignment horizontal="center" vertical="center" wrapText="1"/>
    </xf>
    <xf numFmtId="0" fontId="146" fillId="0" borderId="0" xfId="365" applyFont="1" applyFill="1" applyBorder="1" applyAlignment="1">
      <alignment horizontal="right" vertical="center"/>
    </xf>
    <xf numFmtId="0" fontId="132" fillId="0" borderId="67" xfId="365" applyFont="1" applyBorder="1" applyAlignment="1">
      <alignment horizontal="center" vertical="center" wrapText="1"/>
    </xf>
    <xf numFmtId="0" fontId="132" fillId="0" borderId="67" xfId="365" applyFont="1" applyFill="1" applyBorder="1" applyAlignment="1">
      <alignment horizontal="center" vertical="center" wrapText="1"/>
    </xf>
    <xf numFmtId="0" fontId="161" fillId="0" borderId="0" xfId="365" applyFont="1" applyAlignment="1">
      <alignment horizontal="right" vertical="center"/>
    </xf>
    <xf numFmtId="0" fontId="149" fillId="0" borderId="0" xfId="365" applyFont="1" applyFill="1" applyBorder="1" applyAlignment="1">
      <alignment horizontal="right" vertical="center"/>
    </xf>
    <xf numFmtId="0" fontId="249" fillId="0" borderId="0" xfId="365" applyFont="1" applyFill="1" applyBorder="1" applyAlignment="1">
      <alignment horizontal="center" vertical="center" wrapText="1"/>
    </xf>
    <xf numFmtId="0" fontId="188" fillId="0" borderId="96" xfId="365" applyFont="1" applyFill="1" applyBorder="1" applyAlignment="1">
      <alignment horizontal="center" vertical="center" wrapText="1"/>
    </xf>
    <xf numFmtId="0" fontId="188" fillId="0" borderId="104" xfId="365" applyFont="1" applyFill="1" applyBorder="1" applyAlignment="1">
      <alignment horizontal="center" vertical="center"/>
    </xf>
    <xf numFmtId="0" fontId="132" fillId="0" borderId="67" xfId="365" applyFont="1" applyFill="1" applyBorder="1" applyAlignment="1">
      <alignment horizontal="center" vertical="center"/>
    </xf>
    <xf numFmtId="0" fontId="132" fillId="0" borderId="67" xfId="365" applyFont="1" applyBorder="1" applyAlignment="1">
      <alignment horizontal="center" vertical="center"/>
    </xf>
    <xf numFmtId="0" fontId="18" fillId="0" borderId="0" xfId="365" applyFont="1" applyAlignment="1">
      <alignment horizontal="right" vertical="center"/>
    </xf>
    <xf numFmtId="0" fontId="149" fillId="0" borderId="72" xfId="365" applyFont="1" applyFill="1" applyBorder="1" applyAlignment="1">
      <alignment horizontal="right"/>
    </xf>
    <xf numFmtId="0" fontId="143" fillId="0" borderId="71" xfId="365" applyFont="1" applyFill="1" applyBorder="1" applyAlignment="1">
      <alignment horizontal="center" vertical="center" wrapText="1"/>
    </xf>
    <xf numFmtId="0" fontId="143" fillId="0" borderId="85" xfId="365" applyFont="1" applyFill="1" applyBorder="1" applyAlignment="1">
      <alignment horizontal="center" vertical="center"/>
    </xf>
    <xf numFmtId="0" fontId="143" fillId="0" borderId="73" xfId="365" applyFont="1" applyFill="1" applyBorder="1" applyAlignment="1">
      <alignment horizontal="center" vertical="center"/>
    </xf>
    <xf numFmtId="0" fontId="143" fillId="0" borderId="96" xfId="365" applyFont="1" applyFill="1" applyBorder="1" applyAlignment="1">
      <alignment horizontal="center" vertical="center" wrapText="1"/>
    </xf>
    <xf numFmtId="0" fontId="143" fillId="0" borderId="97" xfId="365" applyFont="1" applyFill="1" applyBorder="1" applyAlignment="1">
      <alignment horizontal="center" vertical="center" wrapText="1"/>
    </xf>
    <xf numFmtId="0" fontId="143" fillId="0" borderId="67" xfId="365" applyFont="1" applyFill="1" applyBorder="1" applyAlignment="1">
      <alignment horizontal="center" vertical="center" wrapText="1"/>
    </xf>
    <xf numFmtId="0" fontId="143" fillId="0" borderId="67" xfId="365" applyFont="1" applyFill="1" applyBorder="1" applyAlignment="1">
      <alignment horizontal="center" vertical="center"/>
    </xf>
    <xf numFmtId="0" fontId="143" fillId="0" borderId="82" xfId="365" applyFont="1" applyFill="1" applyBorder="1" applyAlignment="1">
      <alignment horizontal="center"/>
    </xf>
    <xf numFmtId="0" fontId="143" fillId="0" borderId="83" xfId="365" applyFont="1" applyFill="1" applyBorder="1" applyAlignment="1">
      <alignment horizontal="center"/>
    </xf>
    <xf numFmtId="0" fontId="143" fillId="0" borderId="79" xfId="365" applyFont="1" applyFill="1" applyBorder="1" applyAlignment="1">
      <alignment horizontal="center"/>
    </xf>
    <xf numFmtId="0" fontId="185" fillId="0" borderId="0" xfId="0" applyFont="1" applyAlignment="1">
      <alignment horizontal="center" wrapText="1"/>
    </xf>
    <xf numFmtId="0" fontId="174" fillId="0" borderId="0" xfId="0" applyFont="1" applyAlignment="1">
      <alignment horizontal="center" vertical="center"/>
    </xf>
    <xf numFmtId="0" fontId="188" fillId="0" borderId="67" xfId="0" applyFont="1" applyBorder="1" applyAlignment="1">
      <alignment horizontal="center" vertical="center" wrapText="1"/>
    </xf>
    <xf numFmtId="0" fontId="174" fillId="0" borderId="72" xfId="0" applyFont="1" applyBorder="1" applyAlignment="1">
      <alignment horizontal="right" vertical="center"/>
    </xf>
    <xf numFmtId="0" fontId="185" fillId="0" borderId="0" xfId="0" applyFont="1" applyAlignment="1">
      <alignment horizontal="center"/>
    </xf>
    <xf numFmtId="0" fontId="183" fillId="0" borderId="0" xfId="0" applyFont="1" applyAlignment="1">
      <alignment horizontal="center" vertical="center"/>
    </xf>
    <xf numFmtId="0" fontId="168" fillId="0" borderId="0" xfId="0" applyFont="1" applyAlignment="1">
      <alignment horizontal="center" vertical="center"/>
    </xf>
    <xf numFmtId="0" fontId="185" fillId="0" borderId="0" xfId="0" applyFont="1" applyAlignment="1">
      <alignment horizontal="center" vertical="center"/>
    </xf>
    <xf numFmtId="0" fontId="168" fillId="0" borderId="0" xfId="0" applyFont="1" applyAlignment="1">
      <alignment horizontal="center"/>
    </xf>
    <xf numFmtId="0" fontId="183" fillId="0" borderId="0" xfId="0" applyFont="1" applyFill="1" applyAlignment="1">
      <alignment horizontal="center" vertical="center"/>
    </xf>
    <xf numFmtId="0" fontId="174" fillId="0" borderId="0" xfId="0" applyFont="1" applyFill="1" applyAlignment="1">
      <alignment horizontal="center" vertical="center"/>
    </xf>
    <xf numFmtId="0" fontId="174" fillId="0" borderId="0" xfId="0" applyFont="1" applyFill="1" applyBorder="1" applyAlignment="1">
      <alignment horizontal="right" vertical="center"/>
    </xf>
    <xf numFmtId="0" fontId="168" fillId="0" borderId="67" xfId="0" applyFont="1" applyFill="1" applyBorder="1" applyAlignment="1">
      <alignment horizontal="center" vertical="center" wrapText="1"/>
    </xf>
    <xf numFmtId="0" fontId="168" fillId="0" borderId="79" xfId="0" applyFont="1" applyFill="1" applyBorder="1" applyAlignment="1">
      <alignment horizontal="center" vertical="center" wrapText="1"/>
    </xf>
    <xf numFmtId="0" fontId="255" fillId="0" borderId="67" xfId="0" applyFont="1" applyFill="1" applyBorder="1" applyAlignment="1">
      <alignment horizontal="center" vertical="center" wrapText="1"/>
    </xf>
    <xf numFmtId="0" fontId="185" fillId="0" borderId="0" xfId="0" applyFont="1" applyFill="1" applyAlignment="1">
      <alignment horizontal="center"/>
    </xf>
    <xf numFmtId="3" fontId="255" fillId="0" borderId="67" xfId="0" applyNumberFormat="1" applyFont="1" applyFill="1" applyBorder="1" applyAlignment="1">
      <alignment horizontal="center" vertical="center" wrapText="1"/>
    </xf>
    <xf numFmtId="0" fontId="174" fillId="0" borderId="0" xfId="0" applyFont="1" applyFill="1" applyAlignment="1">
      <alignment horizontal="center"/>
    </xf>
    <xf numFmtId="0" fontId="185" fillId="0" borderId="0" xfId="364" applyFont="1" applyAlignment="1">
      <alignment horizontal="right" vertical="center"/>
    </xf>
    <xf numFmtId="0" fontId="149" fillId="0" borderId="0" xfId="360" applyFont="1" applyBorder="1" applyAlignment="1">
      <alignment horizontal="right" vertical="center"/>
    </xf>
    <xf numFmtId="0" fontId="144" fillId="0" borderId="0" xfId="360" applyFont="1" applyBorder="1" applyAlignment="1">
      <alignment horizontal="center" vertical="center"/>
    </xf>
    <xf numFmtId="0" fontId="174" fillId="0" borderId="0" xfId="360" applyFont="1" applyFill="1" applyBorder="1" applyAlignment="1">
      <alignment horizontal="center" vertical="center"/>
    </xf>
    <xf numFmtId="0" fontId="271" fillId="0" borderId="67" xfId="362" applyFont="1" applyBorder="1" applyAlignment="1">
      <alignment horizontal="center" vertical="center" wrapText="1"/>
    </xf>
    <xf numFmtId="0" fontId="271" fillId="0" borderId="67" xfId="362" applyFont="1" applyFill="1" applyBorder="1" applyAlignment="1">
      <alignment horizontal="center" vertical="center" wrapText="1"/>
    </xf>
    <xf numFmtId="0" fontId="142" fillId="0" borderId="0" xfId="0" applyFont="1" applyAlignment="1">
      <alignment horizontal="center"/>
    </xf>
    <xf numFmtId="3" fontId="142" fillId="0" borderId="0" xfId="0" applyNumberFormat="1" applyFont="1" applyAlignment="1">
      <alignment horizontal="center"/>
    </xf>
    <xf numFmtId="0" fontId="144" fillId="0" borderId="0" xfId="0" applyFont="1" applyFill="1" applyBorder="1" applyAlignment="1">
      <alignment horizontal="center" vertical="center"/>
    </xf>
    <xf numFmtId="0" fontId="174" fillId="0" borderId="0" xfId="0" applyFont="1" applyFill="1" applyBorder="1" applyAlignment="1">
      <alignment horizontal="center" vertical="center"/>
    </xf>
    <xf numFmtId="0" fontId="260" fillId="0" borderId="0" xfId="0" applyFont="1" applyAlignment="1">
      <alignment horizontal="center" vertical="center"/>
    </xf>
    <xf numFmtId="0" fontId="262" fillId="0" borderId="67" xfId="0" applyFont="1" applyFill="1" applyBorder="1" applyAlignment="1">
      <alignment horizontal="center" vertical="center" wrapText="1"/>
    </xf>
    <xf numFmtId="236" fontId="142" fillId="0" borderId="0" xfId="0" applyNumberFormat="1" applyFont="1" applyFill="1" applyBorder="1" applyAlignment="1">
      <alignment horizontal="center"/>
    </xf>
    <xf numFmtId="0" fontId="130" fillId="0" borderId="0" xfId="0" applyFont="1" applyFill="1" applyBorder="1" applyAlignment="1">
      <alignment horizontal="right"/>
    </xf>
    <xf numFmtId="0" fontId="148" fillId="0" borderId="3" xfId="0" applyFont="1" applyFill="1" applyBorder="1" applyAlignment="1">
      <alignment horizontal="center" vertical="center"/>
    </xf>
    <xf numFmtId="0" fontId="148" fillId="0" borderId="25" xfId="0" applyFont="1" applyFill="1" applyBorder="1" applyAlignment="1">
      <alignment horizontal="center" vertical="center"/>
    </xf>
    <xf numFmtId="0" fontId="148" fillId="0" borderId="3" xfId="0" applyFont="1" applyFill="1" applyBorder="1" applyAlignment="1">
      <alignment horizontal="center" vertical="center" wrapText="1"/>
    </xf>
    <xf numFmtId="0" fontId="148" fillId="0" borderId="55" xfId="0" applyFont="1" applyFill="1" applyBorder="1" applyAlignment="1">
      <alignment horizontal="center" vertical="center"/>
    </xf>
    <xf numFmtId="0" fontId="148" fillId="0" borderId="61" xfId="0" applyFont="1" applyFill="1" applyBorder="1" applyAlignment="1">
      <alignment horizontal="center" vertical="center"/>
    </xf>
    <xf numFmtId="0" fontId="148" fillId="0" borderId="58" xfId="0" applyFont="1" applyFill="1" applyBorder="1" applyAlignment="1">
      <alignment horizontal="center" vertical="center"/>
    </xf>
    <xf numFmtId="236" fontId="130" fillId="0" borderId="0" xfId="0" applyNumberFormat="1" applyFont="1" applyFill="1" applyBorder="1" applyAlignment="1">
      <alignment horizontal="center"/>
    </xf>
    <xf numFmtId="0" fontId="187" fillId="0" borderId="0" xfId="0" applyFont="1" applyFill="1" applyBorder="1" applyAlignment="1">
      <alignment horizontal="right" vertical="center"/>
    </xf>
    <xf numFmtId="0" fontId="148" fillId="0" borderId="60" xfId="0" applyFont="1" applyFill="1" applyBorder="1" applyAlignment="1">
      <alignment horizontal="center" vertical="center"/>
    </xf>
    <xf numFmtId="49" fontId="262" fillId="0" borderId="67" xfId="0" applyNumberFormat="1" applyFont="1" applyFill="1" applyBorder="1" applyAlignment="1">
      <alignment horizontal="center" vertical="center" wrapText="1"/>
    </xf>
    <xf numFmtId="3" fontId="171" fillId="0" borderId="71" xfId="527" applyNumberFormat="1" applyFont="1" applyFill="1" applyBorder="1" applyAlignment="1">
      <alignment horizontal="center" vertical="center" wrapText="1"/>
    </xf>
    <xf numFmtId="3" fontId="171" fillId="0" borderId="85" xfId="527" applyNumberFormat="1" applyFont="1" applyFill="1" applyBorder="1" applyAlignment="1">
      <alignment horizontal="center" vertical="center" wrapText="1"/>
    </xf>
    <xf numFmtId="3" fontId="171" fillId="0" borderId="73" xfId="527" applyNumberFormat="1" applyFont="1" applyFill="1" applyBorder="1" applyAlignment="1">
      <alignment horizontal="center" vertical="center" wrapText="1"/>
    </xf>
    <xf numFmtId="3" fontId="171" fillId="0" borderId="104" xfId="527" applyNumberFormat="1" applyFont="1" applyFill="1" applyBorder="1" applyAlignment="1">
      <alignment horizontal="center" vertical="center" wrapText="1"/>
    </xf>
    <xf numFmtId="3" fontId="171" fillId="0" borderId="72" xfId="527" applyNumberFormat="1" applyFont="1" applyFill="1" applyBorder="1" applyAlignment="1">
      <alignment horizontal="center" vertical="center" wrapText="1"/>
    </xf>
    <xf numFmtId="3" fontId="171" fillId="0" borderId="105" xfId="527" applyNumberFormat="1" applyFont="1" applyFill="1" applyBorder="1" applyAlignment="1">
      <alignment horizontal="center" vertical="center" wrapText="1"/>
    </xf>
    <xf numFmtId="0" fontId="212" fillId="0" borderId="0" xfId="527" applyFont="1" applyFill="1" applyBorder="1" applyAlignment="1">
      <alignment horizontal="center" vertical="top" wrapText="1"/>
    </xf>
    <xf numFmtId="3" fontId="212" fillId="0" borderId="0" xfId="534" applyNumberFormat="1" applyFont="1" applyFill="1" applyBorder="1" applyAlignment="1">
      <alignment horizontal="center" vertical="top" wrapText="1"/>
    </xf>
    <xf numFmtId="3" fontId="178" fillId="0" borderId="0" xfId="527" applyNumberFormat="1" applyFont="1" applyFill="1" applyBorder="1" applyAlignment="1">
      <alignment horizontal="center" vertical="center" wrapText="1"/>
    </xf>
    <xf numFmtId="3" fontId="208" fillId="0" borderId="0" xfId="527" applyNumberFormat="1" applyFont="1" applyFill="1" applyBorder="1" applyAlignment="1">
      <alignment horizontal="center" vertical="center" wrapText="1"/>
    </xf>
    <xf numFmtId="0" fontId="178" fillId="0" borderId="0" xfId="529" quotePrefix="1" applyNumberFormat="1" applyFont="1" applyFill="1" applyBorder="1" applyAlignment="1">
      <alignment horizontal="center" vertical="center" wrapText="1"/>
    </xf>
    <xf numFmtId="3" fontId="171" fillId="0" borderId="96" xfId="527" applyNumberFormat="1" applyFont="1" applyFill="1" applyBorder="1" applyAlignment="1">
      <alignment horizontal="center" vertical="center" wrapText="1"/>
    </xf>
    <xf numFmtId="3" fontId="171" fillId="0" borderId="97" xfId="527" applyNumberFormat="1" applyFont="1" applyFill="1" applyBorder="1" applyAlignment="1">
      <alignment horizontal="center" vertical="center" wrapText="1"/>
    </xf>
    <xf numFmtId="49" fontId="171" fillId="0" borderId="71" xfId="527" applyNumberFormat="1" applyFont="1" applyFill="1" applyBorder="1" applyAlignment="1">
      <alignment horizontal="center" vertical="center" wrapText="1"/>
    </xf>
    <xf numFmtId="49" fontId="171" fillId="0" borderId="85" xfId="527" applyNumberFormat="1" applyFont="1" applyFill="1" applyBorder="1" applyAlignment="1">
      <alignment horizontal="center" vertical="center" wrapText="1"/>
    </xf>
    <xf numFmtId="49" fontId="171" fillId="0" borderId="73" xfId="527" applyNumberFormat="1" applyFont="1" applyFill="1" applyBorder="1" applyAlignment="1">
      <alignment horizontal="center" vertical="center" wrapText="1"/>
    </xf>
    <xf numFmtId="1" fontId="171" fillId="0" borderId="71" xfId="527" applyNumberFormat="1" applyFont="1" applyFill="1" applyBorder="1" applyAlignment="1">
      <alignment horizontal="center" vertical="center" wrapText="1"/>
    </xf>
    <xf numFmtId="1" fontId="171" fillId="0" borderId="85" xfId="527" applyNumberFormat="1" applyFont="1" applyFill="1" applyBorder="1" applyAlignment="1">
      <alignment horizontal="center" vertical="center" wrapText="1"/>
    </xf>
    <xf numFmtId="1" fontId="171" fillId="0" borderId="73" xfId="527" applyNumberFormat="1" applyFont="1" applyFill="1" applyBorder="1" applyAlignment="1">
      <alignment horizontal="center" vertical="center" wrapText="1"/>
    </xf>
    <xf numFmtId="49" fontId="241" fillId="0" borderId="0" xfId="527" applyNumberFormat="1" applyFont="1" applyFill="1" applyAlignment="1">
      <alignment horizontal="center" vertical="center" wrapText="1"/>
    </xf>
    <xf numFmtId="49" fontId="175" fillId="0" borderId="0" xfId="527" applyNumberFormat="1" applyFont="1" applyFill="1" applyAlignment="1">
      <alignment horizontal="center" vertical="center" wrapText="1"/>
    </xf>
    <xf numFmtId="0" fontId="175" fillId="0" borderId="0" xfId="527" applyFont="1" applyFill="1" applyAlignment="1">
      <alignment horizontal="center" wrapText="1"/>
    </xf>
    <xf numFmtId="0" fontId="175" fillId="0" borderId="0" xfId="527" applyFont="1" applyFill="1" applyAlignment="1">
      <alignment horizontal="center"/>
    </xf>
    <xf numFmtId="0" fontId="175" fillId="0" borderId="0" xfId="527" applyFont="1" applyFill="1" applyAlignment="1">
      <alignment horizontal="left" wrapText="1"/>
    </xf>
    <xf numFmtId="0" fontId="175" fillId="0" borderId="0" xfId="527" applyFont="1" applyFill="1" applyAlignment="1">
      <alignment horizontal="left"/>
    </xf>
    <xf numFmtId="3" fontId="242" fillId="0" borderId="72" xfId="527" applyNumberFormat="1" applyFont="1" applyFill="1" applyBorder="1" applyAlignment="1">
      <alignment horizontal="right" vertical="center"/>
    </xf>
    <xf numFmtId="3" fontId="169" fillId="0" borderId="0" xfId="527" applyNumberFormat="1" applyFont="1" applyFill="1" applyAlignment="1">
      <alignment horizontal="right" vertical="center" wrapText="1"/>
    </xf>
    <xf numFmtId="3" fontId="170" fillId="0" borderId="72" xfId="527" applyNumberFormat="1" applyFont="1" applyFill="1" applyBorder="1" applyAlignment="1">
      <alignment horizontal="center"/>
    </xf>
    <xf numFmtId="3" fontId="215" fillId="0" borderId="72" xfId="527" applyNumberFormat="1" applyFont="1" applyFill="1" applyBorder="1" applyAlignment="1">
      <alignment horizontal="right" vertical="center"/>
    </xf>
    <xf numFmtId="3" fontId="171" fillId="0" borderId="82" xfId="527" applyNumberFormat="1" applyFont="1" applyFill="1" applyBorder="1" applyAlignment="1">
      <alignment horizontal="center" vertical="center" wrapText="1"/>
    </xf>
    <xf numFmtId="3" fontId="171" fillId="0" borderId="83" xfId="527" applyNumberFormat="1" applyFont="1" applyFill="1" applyBorder="1" applyAlignment="1">
      <alignment horizontal="center" vertical="center" wrapText="1"/>
    </xf>
    <xf numFmtId="3" fontId="171" fillId="0" borderId="79" xfId="527" applyNumberFormat="1" applyFont="1" applyFill="1" applyBorder="1" applyAlignment="1">
      <alignment horizontal="center" vertical="center" wrapText="1"/>
    </xf>
    <xf numFmtId="0" fontId="144" fillId="0" borderId="0" xfId="365" applyFont="1" applyFill="1" applyBorder="1" applyAlignment="1">
      <alignment horizontal="center" wrapText="1"/>
    </xf>
    <xf numFmtId="0" fontId="143" fillId="0" borderId="3" xfId="365" applyFont="1" applyFill="1" applyBorder="1" applyAlignment="1">
      <alignment horizontal="center"/>
    </xf>
    <xf numFmtId="0" fontId="144" fillId="0" borderId="0" xfId="0" applyFont="1" applyFill="1" applyBorder="1" applyAlignment="1">
      <alignment horizontal="center"/>
    </xf>
    <xf numFmtId="0" fontId="144" fillId="0" borderId="3" xfId="0" applyFont="1" applyBorder="1" applyAlignment="1">
      <alignment horizontal="center" vertical="center"/>
    </xf>
    <xf numFmtId="0" fontId="142" fillId="0" borderId="3" xfId="0" applyFont="1" applyBorder="1" applyAlignment="1">
      <alignment horizontal="center" vertical="center"/>
    </xf>
    <xf numFmtId="0" fontId="155" fillId="0" borderId="18" xfId="0" applyFont="1" applyBorder="1" applyAlignment="1">
      <alignment horizontal="center" vertical="center"/>
    </xf>
    <xf numFmtId="0" fontId="142" fillId="0" borderId="55" xfId="0" applyFont="1" applyBorder="1" applyAlignment="1">
      <alignment horizontal="center" vertical="center"/>
    </xf>
    <xf numFmtId="0" fontId="155" fillId="0" borderId="3" xfId="0" applyFont="1" applyBorder="1" applyAlignment="1">
      <alignment horizontal="center" vertical="center"/>
    </xf>
    <xf numFmtId="0" fontId="161" fillId="0" borderId="67" xfId="0" applyFont="1" applyBorder="1" applyAlignment="1">
      <alignment horizontal="center"/>
    </xf>
    <xf numFmtId="0" fontId="146" fillId="0" borderId="0" xfId="365" applyFont="1" applyBorder="1" applyAlignment="1">
      <alignment horizontal="center"/>
    </xf>
    <xf numFmtId="0" fontId="142" fillId="0" borderId="0" xfId="365" applyFont="1" applyBorder="1" applyAlignment="1">
      <alignment horizontal="center"/>
    </xf>
    <xf numFmtId="0" fontId="142" fillId="0" borderId="69" xfId="0" applyFont="1" applyBorder="1" applyAlignment="1">
      <alignment horizontal="center" vertical="center"/>
    </xf>
    <xf numFmtId="0" fontId="142" fillId="0" borderId="70" xfId="0" applyFont="1" applyBorder="1" applyAlignment="1">
      <alignment horizontal="center" vertical="center"/>
    </xf>
    <xf numFmtId="0" fontId="167" fillId="0" borderId="68" xfId="574" applyFont="1" applyBorder="1" applyAlignment="1">
      <alignment horizontal="left" wrapText="1"/>
    </xf>
    <xf numFmtId="0" fontId="208" fillId="0" borderId="0" xfId="574" applyFont="1" applyAlignment="1">
      <alignment horizontal="center"/>
    </xf>
    <xf numFmtId="0" fontId="178" fillId="0" borderId="0" xfId="574" applyFont="1" applyAlignment="1">
      <alignment horizontal="center"/>
    </xf>
    <xf numFmtId="0" fontId="176" fillId="0" borderId="0" xfId="574" applyFont="1" applyAlignment="1">
      <alignment horizontal="center"/>
    </xf>
    <xf numFmtId="0" fontId="173" fillId="0" borderId="0" xfId="574" applyFont="1" applyAlignment="1">
      <alignment horizontal="center" vertical="center"/>
    </xf>
    <xf numFmtId="0" fontId="175" fillId="0" borderId="0" xfId="574" applyFont="1" applyAlignment="1">
      <alignment horizontal="center" vertical="center"/>
    </xf>
    <xf numFmtId="0" fontId="172" fillId="0" borderId="0" xfId="574" applyFont="1" applyAlignment="1">
      <alignment horizontal="right"/>
    </xf>
    <xf numFmtId="0" fontId="169" fillId="0" borderId="67" xfId="574" applyFont="1" applyBorder="1" applyAlignment="1">
      <alignment horizontal="center" vertical="center"/>
    </xf>
    <xf numFmtId="0" fontId="169" fillId="0" borderId="67" xfId="574" applyFont="1" applyBorder="1" applyAlignment="1">
      <alignment horizontal="center"/>
    </xf>
    <xf numFmtId="0" fontId="188" fillId="0" borderId="71" xfId="523" applyFont="1" applyBorder="1" applyAlignment="1">
      <alignment horizontal="center" vertical="center" wrapText="1"/>
    </xf>
    <xf numFmtId="0" fontId="188" fillId="0" borderId="73" xfId="523" applyFont="1" applyBorder="1" applyAlignment="1">
      <alignment horizontal="center" vertical="center" wrapText="1"/>
    </xf>
    <xf numFmtId="0" fontId="174" fillId="0" borderId="0" xfId="523" applyFont="1" applyAlignment="1">
      <alignment horizontal="center"/>
    </xf>
    <xf numFmtId="0" fontId="185" fillId="0" borderId="0" xfId="523" applyFont="1" applyAlignment="1">
      <alignment horizontal="center"/>
    </xf>
    <xf numFmtId="0" fontId="168" fillId="0" borderId="0" xfId="523" applyFont="1" applyAlignment="1">
      <alignment horizontal="center"/>
    </xf>
    <xf numFmtId="0" fontId="183" fillId="0" borderId="0" xfId="523" applyFont="1" applyAlignment="1">
      <alignment horizontal="center"/>
    </xf>
    <xf numFmtId="0" fontId="188" fillId="0" borderId="85" xfId="523" applyFont="1" applyBorder="1" applyAlignment="1">
      <alignment horizontal="center" vertical="center" wrapText="1"/>
    </xf>
    <xf numFmtId="0" fontId="188" fillId="0" borderId="82" xfId="523" applyFont="1" applyBorder="1" applyAlignment="1">
      <alignment horizontal="center" vertical="center" wrapText="1"/>
    </xf>
    <xf numFmtId="0" fontId="188" fillId="0" borderId="79" xfId="523" applyFont="1" applyBorder="1" applyAlignment="1">
      <alignment horizontal="center" vertical="center" wrapText="1"/>
    </xf>
    <xf numFmtId="0" fontId="199" fillId="0" borderId="0" xfId="526" applyFont="1" applyAlignment="1">
      <alignment horizontal="center" vertical="center" wrapText="1"/>
    </xf>
    <xf numFmtId="0" fontId="200" fillId="0" borderId="0" xfId="526" applyFont="1" applyAlignment="1">
      <alignment horizontal="right" vertical="top" wrapText="1"/>
    </xf>
    <xf numFmtId="0" fontId="181" fillId="0" borderId="0" xfId="526" applyFont="1" applyAlignment="1">
      <alignment horizontal="center" vertical="center" wrapText="1"/>
    </xf>
    <xf numFmtId="0" fontId="181" fillId="0" borderId="0" xfId="526" applyFont="1" applyAlignment="1">
      <alignment horizontal="center" vertical="top" wrapText="1"/>
    </xf>
    <xf numFmtId="0" fontId="203" fillId="0" borderId="92" xfId="526" applyFont="1" applyBorder="1" applyAlignment="1">
      <alignment horizontal="center" vertical="center" wrapText="1"/>
    </xf>
    <xf numFmtId="0" fontId="203" fillId="0" borderId="99" xfId="526" applyFont="1" applyBorder="1" applyAlignment="1">
      <alignment horizontal="center" vertical="center" wrapText="1"/>
    </xf>
    <xf numFmtId="0" fontId="203" fillId="0" borderId="108" xfId="526" applyFont="1" applyBorder="1" applyAlignment="1">
      <alignment horizontal="center" vertical="center" wrapText="1"/>
    </xf>
    <xf numFmtId="0" fontId="203" fillId="0" borderId="95" xfId="526" applyFont="1" applyBorder="1" applyAlignment="1">
      <alignment horizontal="center" vertical="center" wrapText="1"/>
    </xf>
    <xf numFmtId="0" fontId="203" fillId="0" borderId="101" xfId="526" applyFont="1" applyBorder="1" applyAlignment="1">
      <alignment horizontal="center" vertical="center" wrapText="1"/>
    </xf>
    <xf numFmtId="0" fontId="199" fillId="37" borderId="0" xfId="526" applyFont="1" applyFill="1" applyAlignment="1">
      <alignment horizontal="center" wrapText="1"/>
    </xf>
    <xf numFmtId="0" fontId="199" fillId="37" borderId="0" xfId="526" applyFont="1" applyFill="1" applyAlignment="1">
      <alignment horizontal="center"/>
    </xf>
    <xf numFmtId="0" fontId="203" fillId="0" borderId="100" xfId="526" applyFont="1" applyBorder="1" applyAlignment="1">
      <alignment horizontal="center" vertical="center" wrapText="1"/>
    </xf>
    <xf numFmtId="0" fontId="203" fillId="0" borderId="109" xfId="526" applyFont="1" applyBorder="1" applyAlignment="1">
      <alignment horizontal="center" vertical="center" wrapText="1"/>
    </xf>
    <xf numFmtId="0" fontId="203" fillId="0" borderId="93" xfId="526" applyFont="1" applyBorder="1" applyAlignment="1">
      <alignment horizontal="center" vertical="center" wrapText="1"/>
    </xf>
    <xf numFmtId="0" fontId="203" fillId="0" borderId="94" xfId="526" applyFont="1" applyBorder="1" applyAlignment="1">
      <alignment horizontal="center" vertical="center" wrapText="1"/>
    </xf>
    <xf numFmtId="0" fontId="203" fillId="0" borderId="0" xfId="526" applyFont="1" applyBorder="1" applyAlignment="1">
      <alignment horizontal="center" vertical="center" wrapText="1"/>
    </xf>
    <xf numFmtId="0" fontId="203" fillId="0" borderId="110" xfId="526" applyFont="1" applyBorder="1" applyAlignment="1">
      <alignment horizontal="center" vertical="center" wrapText="1"/>
    </xf>
    <xf numFmtId="0" fontId="203" fillId="0" borderId="71" xfId="526" applyFont="1" applyBorder="1" applyAlignment="1">
      <alignment horizontal="center" vertical="center" wrapText="1"/>
    </xf>
    <xf numFmtId="0" fontId="203" fillId="0" borderId="73" xfId="526" applyFont="1" applyBorder="1" applyAlignment="1">
      <alignment horizontal="center" vertical="center" wrapText="1"/>
    </xf>
    <xf numFmtId="0" fontId="203" fillId="0" borderId="106" xfId="526" applyFont="1" applyBorder="1" applyAlignment="1">
      <alignment horizontal="center" vertical="center" wrapText="1"/>
    </xf>
    <xf numFmtId="0" fontId="203" fillId="0" borderId="98" xfId="526" applyFont="1" applyBorder="1" applyAlignment="1">
      <alignment horizontal="center" vertical="center" wrapText="1"/>
    </xf>
    <xf numFmtId="0" fontId="203" fillId="0" borderId="107" xfId="526" applyFont="1" applyBorder="1" applyAlignment="1">
      <alignment horizontal="center" vertical="center" wrapText="1"/>
    </xf>
    <xf numFmtId="0" fontId="206" fillId="0" borderId="0" xfId="526" applyFont="1" applyAlignment="1">
      <alignment horizontal="center" indent="1"/>
    </xf>
    <xf numFmtId="0" fontId="198" fillId="0" borderId="0" xfId="526" applyFont="1" applyAlignment="1">
      <alignment horizontal="center" wrapText="1"/>
    </xf>
    <xf numFmtId="0" fontId="199" fillId="0" borderId="0" xfId="526" applyFont="1" applyAlignment="1">
      <alignment horizontal="center" vertical="top" wrapText="1"/>
    </xf>
    <xf numFmtId="0" fontId="178" fillId="37" borderId="0" xfId="526" applyFont="1" applyFill="1" applyAlignment="1">
      <alignment horizontal="center"/>
    </xf>
    <xf numFmtId="0" fontId="208" fillId="37" borderId="0" xfId="526" applyFont="1" applyFill="1" applyAlignment="1">
      <alignment horizontal="center" vertical="center" wrapText="1"/>
    </xf>
    <xf numFmtId="0" fontId="178" fillId="37" borderId="0" xfId="526" applyFont="1" applyFill="1" applyAlignment="1">
      <alignment horizontal="center" wrapText="1"/>
    </xf>
    <xf numFmtId="0" fontId="203" fillId="0" borderId="96" xfId="526" applyFont="1" applyBorder="1" applyAlignment="1">
      <alignment horizontal="center" vertical="center" wrapText="1"/>
    </xf>
    <xf numFmtId="0" fontId="203" fillId="0" borderId="68" xfId="526" applyFont="1" applyBorder="1" applyAlignment="1">
      <alignment horizontal="center" vertical="center" wrapText="1"/>
    </xf>
    <xf numFmtId="0" fontId="203" fillId="0" borderId="97" xfId="526" applyFont="1" applyBorder="1" applyAlignment="1">
      <alignment horizontal="center" vertical="center" wrapText="1"/>
    </xf>
    <xf numFmtId="0" fontId="203" fillId="0" borderId="102" xfId="526" applyFont="1" applyBorder="1" applyAlignment="1">
      <alignment horizontal="center" vertical="center" wrapText="1"/>
    </xf>
    <xf numFmtId="0" fontId="203" fillId="0" borderId="103" xfId="526" applyFont="1" applyBorder="1" applyAlignment="1">
      <alignment horizontal="center" vertical="center" wrapText="1"/>
    </xf>
    <xf numFmtId="0" fontId="203" fillId="0" borderId="104" xfId="526" applyFont="1" applyBorder="1" applyAlignment="1">
      <alignment horizontal="center" vertical="center" wrapText="1"/>
    </xf>
    <xf numFmtId="0" fontId="203" fillId="0" borderId="72" xfId="526" applyFont="1" applyBorder="1" applyAlignment="1">
      <alignment horizontal="center" vertical="center" wrapText="1"/>
    </xf>
    <xf numFmtId="0" fontId="203" fillId="0" borderId="105" xfId="526" applyFont="1" applyBorder="1" applyAlignment="1">
      <alignment horizontal="center" vertical="center" wrapText="1"/>
    </xf>
    <xf numFmtId="0" fontId="182" fillId="0" borderId="0" xfId="0" applyFont="1" applyAlignment="1">
      <alignment horizontal="center"/>
    </xf>
    <xf numFmtId="0" fontId="176" fillId="0" borderId="0" xfId="0" applyFont="1" applyAlignment="1">
      <alignment horizontal="left" vertical="center" wrapText="1"/>
    </xf>
    <xf numFmtId="0" fontId="176" fillId="0" borderId="0" xfId="0" applyFont="1" applyAlignment="1">
      <alignment horizontal="left" vertical="center"/>
    </xf>
    <xf numFmtId="0" fontId="176" fillId="0" borderId="0" xfId="0" applyFont="1" applyAlignment="1">
      <alignment horizontal="center" vertical="center"/>
    </xf>
    <xf numFmtId="0" fontId="182" fillId="0" borderId="0" xfId="0" applyFont="1" applyAlignment="1">
      <alignment horizontal="center" wrapText="1"/>
    </xf>
    <xf numFmtId="0" fontId="179" fillId="0" borderId="72" xfId="0" applyFont="1" applyBorder="1" applyAlignment="1">
      <alignment horizontal="right"/>
    </xf>
    <xf numFmtId="0" fontId="179" fillId="0" borderId="0" xfId="0" applyFont="1" applyAlignment="1">
      <alignment horizontal="center"/>
    </xf>
    <xf numFmtId="227" fontId="68" fillId="0" borderId="0" xfId="0" applyNumberFormat="1" applyFont="1"/>
    <xf numFmtId="0" fontId="189" fillId="0" borderId="67" xfId="362" applyFont="1" applyFill="1" applyBorder="1" applyAlignment="1">
      <alignment horizontal="center" vertical="center" wrapText="1"/>
    </xf>
    <xf numFmtId="0" fontId="189" fillId="0" borderId="67" xfId="362" applyFont="1" applyFill="1" applyBorder="1" applyAlignment="1">
      <alignment horizontal="justify" vertical="center" wrapText="1"/>
    </xf>
    <xf numFmtId="0" fontId="68" fillId="0" borderId="0" xfId="0" applyFont="1" applyFill="1"/>
    <xf numFmtId="0" fontId="274" fillId="0" borderId="67" xfId="0" applyFont="1" applyBorder="1" applyAlignment="1">
      <alignment horizontal="center" vertical="center" wrapText="1"/>
    </xf>
    <xf numFmtId="0" fontId="254" fillId="0" borderId="67" xfId="0" applyFont="1" applyBorder="1" applyAlignment="1">
      <alignment horizontal="center" vertical="center" wrapText="1"/>
    </xf>
    <xf numFmtId="0" fontId="146" fillId="0" borderId="72" xfId="0" applyFont="1" applyBorder="1" applyAlignment="1">
      <alignment horizontal="right"/>
    </xf>
    <xf numFmtId="0" fontId="168" fillId="0" borderId="0" xfId="0" applyFont="1" applyFill="1" applyAlignment="1">
      <alignment horizontal="right" vertical="center"/>
    </xf>
    <xf numFmtId="0" fontId="261" fillId="0" borderId="0" xfId="0" applyFont="1" applyAlignment="1">
      <alignment horizontal="center" vertical="center"/>
    </xf>
    <xf numFmtId="0" fontId="277" fillId="0" borderId="0" xfId="0" applyFont="1" applyAlignment="1">
      <alignment horizontal="center" vertical="center" wrapText="1"/>
    </xf>
    <xf numFmtId="0" fontId="277" fillId="0" borderId="0" xfId="0" applyFont="1" applyAlignment="1">
      <alignment horizontal="center" vertical="center"/>
    </xf>
  </cellXfs>
  <cellStyles count="575">
    <cellStyle name="_x0001_" xfId="1"/>
    <cellStyle name="          _x000d__x000a_shell=progman.exe_x000d__x000a_m" xfId="2"/>
    <cellStyle name="_x0001_ 2" xfId="3"/>
    <cellStyle name="#,##0" xfId="535"/>
    <cellStyle name="??" xfId="4"/>
    <cellStyle name="?? [0.00]_ Att. 1- Cover" xfId="5"/>
    <cellStyle name="?? [0]" xfId="6"/>
    <cellStyle name="?? [0] 2" xfId="7"/>
    <cellStyle name="?? 2" xfId="8"/>
    <cellStyle name="?? 3" xfId="9"/>
    <cellStyle name="?_x001d_??%U©÷u&amp;H©÷9_x0008_? s_x000a__x0007__x0001__x0001_" xfId="10"/>
    <cellStyle name="?_x001d_??%U©÷u&amp;H©÷9_x0008_?_x0009_s_x000a__x0007__x0001__x0001_" xfId="536"/>
    <cellStyle name="???? [0.00]_PRODUCT DETAIL Q1" xfId="11"/>
    <cellStyle name="????_??" xfId="12"/>
    <cellStyle name="???[0]_?? DI" xfId="13"/>
    <cellStyle name="???_?? DI" xfId="14"/>
    <cellStyle name="??[0]_BRE" xfId="15"/>
    <cellStyle name="??_ ??? ???? " xfId="537"/>
    <cellStyle name="??A? [0]_ÿÿÿÿÿÿ_1_¢¬???¢â? " xfId="16"/>
    <cellStyle name="??A?_ÿÿÿÿÿÿ_1_¢¬???¢â? " xfId="17"/>
    <cellStyle name="?¡±¢¥?_?¨ù??¢´¢¥_¢¬???¢â? " xfId="18"/>
    <cellStyle name="?ðÇ%U?&amp;H?_x0008_?s_x000a__x0007__x0001__x0001_" xfId="19"/>
    <cellStyle name="_x0001_@_x0001_@_x0001_@_x0001_@_x0001_@_x0001_@_x0001_@_x0001_@_x0001_@_x0001_@_x0001_@_x0001_@_x0001_@_x0001_@_x0001_@_x0001_@_x0001_@_x0001_@_x0001_@_x0001_@_x0001_@_x0001_@_x0001_@_x0001_@_x0001_@_x0001_@_x0001_@_x0001_@_x0001_@_x0001_@_x0001_@_x0001_@" xfId="20"/>
    <cellStyle name="_x0001_@_x0001_@_x0001_@_x0001_@_x0001_@_x0001_@_x0001_@_x0001_@_x0001_@_x0001_@_x0001_@_x0001_@_x0001_@_x0001_@_x0001_@_x0001_@_x0001_@_x0001_@_x0001_@_x0001_@_x0001_@_x0001_@_x0001_@_x0001_@_x0001_@_x0001_@_x0001_@_x0001_@_x0001_@_x0001_Canon" xfId="21"/>
    <cellStyle name="_x0001_@_x0001_@_x0001_@_x0001_@_x0001_@_x0001_@_x0001_@_x0001_@_x0001_@_x0001_@_x0001_@_x0001_@_x0001_@_x0001_@_x0001_@_x0001_@_x0001_@_x0001_@_x0001_@_x0001_@_x0001_@_x0001_Canon LBP-" xfId="22"/>
    <cellStyle name="_x0001_@_x0001_@_x0001_@_x0001_@_x0001_@_x0001_@_x0001_@_x0001_@_x0001_@_x0001_@_x0001_@_x0001_@_x0001_@_x0001_Canon LBP-" xfId="23"/>
    <cellStyle name="_x0001_@_x0001_@_x0001_@_x0001_@_x0001_Canon LBP-" xfId="24"/>
    <cellStyle name="_Book1" xfId="25"/>
    <cellStyle name="_Book1_1" xfId="26"/>
    <cellStyle name="_Book1_2" xfId="27"/>
    <cellStyle name="_Book1_3" xfId="28"/>
    <cellStyle name="_Book1_TKHC-THOIQUAN-05-04-2004" xfId="29"/>
    <cellStyle name="_Huong CHI tieu Nhiem vu CTMTQG 2014(1)" xfId="538"/>
    <cellStyle name="_KH.DTC.gd2016-2020 tinh (T2-2015)" xfId="539"/>
    <cellStyle name="_KT (2)" xfId="30"/>
    <cellStyle name="_KT (2)_1" xfId="31"/>
    <cellStyle name="_KT (2)_1 2" xfId="32"/>
    <cellStyle name="_KT (2)_2" xfId="33"/>
    <cellStyle name="_KT (2)_2 2" xfId="34"/>
    <cellStyle name="_KT (2)_2_TG-TH" xfId="35"/>
    <cellStyle name="_KT (2)_2_TG-TH_Book1" xfId="36"/>
    <cellStyle name="_KT (2)_2_TG-TH_Book1_1" xfId="37"/>
    <cellStyle name="_KT (2)_2_TG-TH_Book1_TKHC-THOIQUAN-05-04-2004" xfId="38"/>
    <cellStyle name="_KT (2)_2_TG-TH_TKHC-THOIQUAN-05-04-2004" xfId="39"/>
    <cellStyle name="_KT (2)_3" xfId="40"/>
    <cellStyle name="_KT (2)_3 2" xfId="41"/>
    <cellStyle name="_KT (2)_3_TG-TH" xfId="42"/>
    <cellStyle name="_KT (2)_3_TG-TH_Book1" xfId="43"/>
    <cellStyle name="_KT (2)_3_TG-TH_Book1_1" xfId="44"/>
    <cellStyle name="_KT (2)_3_TG-TH_Book1_TKHC-THOIQUAN-05-04-2004" xfId="45"/>
    <cellStyle name="_KT (2)_3_TG-TH_TKHC-THOIQUAN-05-04-2004" xfId="46"/>
    <cellStyle name="_KT (2)_4" xfId="47"/>
    <cellStyle name="_KT (2)_4_Book1" xfId="48"/>
    <cellStyle name="_KT (2)_4_Book1_1" xfId="49"/>
    <cellStyle name="_KT (2)_4_Book1_TKHC-THOIQUAN-05-04-2004" xfId="50"/>
    <cellStyle name="_KT (2)_4_TG-TH" xfId="51"/>
    <cellStyle name="_KT (2)_4_TG-TH 2" xfId="52"/>
    <cellStyle name="_KT (2)_4_TKHC-THOIQUAN-05-04-2004" xfId="53"/>
    <cellStyle name="_KT (2)_5" xfId="54"/>
    <cellStyle name="_KT (2)_5_Book1" xfId="55"/>
    <cellStyle name="_KT (2)_5_Book1_1" xfId="56"/>
    <cellStyle name="_KT (2)_5_Book1_TKHC-THOIQUAN-05-04-2004" xfId="57"/>
    <cellStyle name="_KT (2)_5_TKHC-THOIQUAN-05-04-2004" xfId="58"/>
    <cellStyle name="_KT (2)_Book1" xfId="59"/>
    <cellStyle name="_KT (2)_Book1_1" xfId="60"/>
    <cellStyle name="_KT (2)_Book1_TKHC-THOIQUAN-05-04-2004" xfId="61"/>
    <cellStyle name="_KT (2)_TG-TH" xfId="62"/>
    <cellStyle name="_KT (2)_TG-TH 2" xfId="63"/>
    <cellStyle name="_KT (2)_TKHC-THOIQUAN-05-04-2004" xfId="64"/>
    <cellStyle name="_KT_TG" xfId="65"/>
    <cellStyle name="_KT_TG 2" xfId="66"/>
    <cellStyle name="_KT_TG_1" xfId="67"/>
    <cellStyle name="_KT_TG_1_Book1" xfId="68"/>
    <cellStyle name="_KT_TG_1_Book1_1" xfId="69"/>
    <cellStyle name="_KT_TG_1_Book1_TKHC-THOIQUAN-05-04-2004" xfId="70"/>
    <cellStyle name="_KT_TG_1_TKHC-THOIQUAN-05-04-2004" xfId="71"/>
    <cellStyle name="_KT_TG_2" xfId="72"/>
    <cellStyle name="_KT_TG_2_Book1" xfId="73"/>
    <cellStyle name="_KT_TG_2_Book1_1" xfId="74"/>
    <cellStyle name="_KT_TG_2_Book1_TKHC-THOIQUAN-05-04-2004" xfId="75"/>
    <cellStyle name="_KT_TG_2_TKHC-THOIQUAN-05-04-2004" xfId="76"/>
    <cellStyle name="_KT_TG_3" xfId="77"/>
    <cellStyle name="_KT_TG_3 2" xfId="78"/>
    <cellStyle name="_KT_TG_4" xfId="79"/>
    <cellStyle name="_KT_TG_4 2" xfId="80"/>
    <cellStyle name="_TG-TH" xfId="81"/>
    <cellStyle name="_TG-TH 2" xfId="82"/>
    <cellStyle name="_TG-TH_1" xfId="83"/>
    <cellStyle name="_TG-TH_1_Book1" xfId="84"/>
    <cellStyle name="_TG-TH_1_Book1_1" xfId="85"/>
    <cellStyle name="_TG-TH_1_Book1_TKHC-THOIQUAN-05-04-2004" xfId="86"/>
    <cellStyle name="_TG-TH_1_TKHC-THOIQUAN-05-04-2004" xfId="87"/>
    <cellStyle name="_TG-TH_2" xfId="88"/>
    <cellStyle name="_TG-TH_2_Book1" xfId="89"/>
    <cellStyle name="_TG-TH_2_Book1_1" xfId="90"/>
    <cellStyle name="_TG-TH_2_Book1_TKHC-THOIQUAN-05-04-2004" xfId="91"/>
    <cellStyle name="_TG-TH_2_TKHC-THOIQUAN-05-04-2004" xfId="92"/>
    <cellStyle name="_TG-TH_3" xfId="93"/>
    <cellStyle name="_TG-TH_3 2" xfId="94"/>
    <cellStyle name="_TG-TH_4" xfId="95"/>
    <cellStyle name="_TG-TH_4 2" xfId="96"/>
    <cellStyle name="_TKHC-THOIQUAN-05-04-2004" xfId="97"/>
    <cellStyle name="•W€_’·Šú‰p•¶" xfId="98"/>
    <cellStyle name="•W_’·Šú‰p•¶" xfId="99"/>
    <cellStyle name="W_STDFOR" xfId="540"/>
    <cellStyle name="0" xfId="100"/>
    <cellStyle name="0.0" xfId="541"/>
    <cellStyle name="0.00" xfId="542"/>
    <cellStyle name="1" xfId="101"/>
    <cellStyle name="¹éºÐÀ²_      " xfId="102"/>
    <cellStyle name="2" xfId="103"/>
    <cellStyle name="20" xfId="104"/>
    <cellStyle name="20% - Accent1 2" xfId="105"/>
    <cellStyle name="20% - Accent2 2" xfId="106"/>
    <cellStyle name="20% - Accent3 2" xfId="107"/>
    <cellStyle name="20% - Accent4 2" xfId="108"/>
    <cellStyle name="20% - Accent5 2" xfId="109"/>
    <cellStyle name="20% - Accent6 2" xfId="110"/>
    <cellStyle name="20% - Nhấn1" xfId="111"/>
    <cellStyle name="20% - Nhấn2" xfId="112"/>
    <cellStyle name="20% - Nhấn3" xfId="113"/>
    <cellStyle name="20% - Nhấn4" xfId="114"/>
    <cellStyle name="20% - Nhấn5" xfId="115"/>
    <cellStyle name="20% - Nhấn6" xfId="116"/>
    <cellStyle name="3" xfId="117"/>
    <cellStyle name="4" xfId="118"/>
    <cellStyle name="40% - Accent1 2" xfId="119"/>
    <cellStyle name="40% - Accent2 2" xfId="120"/>
    <cellStyle name="40% - Accent3 2" xfId="121"/>
    <cellStyle name="40% - Accent4 2" xfId="122"/>
    <cellStyle name="40% - Accent5 2" xfId="123"/>
    <cellStyle name="40% - Accent6 2" xfId="124"/>
    <cellStyle name="40% - Nhấn1" xfId="125"/>
    <cellStyle name="40% - Nhấn2" xfId="126"/>
    <cellStyle name="40% - Nhấn3" xfId="127"/>
    <cellStyle name="40% - Nhấn4" xfId="128"/>
    <cellStyle name="40% - Nhấn5" xfId="129"/>
    <cellStyle name="40% - Nhấn6" xfId="130"/>
    <cellStyle name="52" xfId="131"/>
    <cellStyle name="6" xfId="132"/>
    <cellStyle name="60% - Accent1 2" xfId="133"/>
    <cellStyle name="60% - Accent2 2" xfId="134"/>
    <cellStyle name="60% - Accent3 2" xfId="135"/>
    <cellStyle name="60% - Accent4 2" xfId="136"/>
    <cellStyle name="60% - Accent5 2" xfId="137"/>
    <cellStyle name="60% - Accent6 2" xfId="138"/>
    <cellStyle name="60% - Nhấn1" xfId="139"/>
    <cellStyle name="60% - Nhấn2" xfId="140"/>
    <cellStyle name="60% - Nhấn3" xfId="141"/>
    <cellStyle name="60% - Nhấn4" xfId="142"/>
    <cellStyle name="60% - Nhấn5" xfId="143"/>
    <cellStyle name="60% - Nhấn6" xfId="144"/>
    <cellStyle name="Accent1 2" xfId="145"/>
    <cellStyle name="Accent2 2" xfId="146"/>
    <cellStyle name="Accent3 2" xfId="147"/>
    <cellStyle name="Accent4 2" xfId="148"/>
    <cellStyle name="Accent5 2" xfId="149"/>
    <cellStyle name="Accent6 2" xfId="150"/>
    <cellStyle name="ÅëÈ­ [0]_      " xfId="151"/>
    <cellStyle name="AeE­ [0]_INQUIRY ¿?¾÷AßAø " xfId="152"/>
    <cellStyle name="ÅëÈ­ [0]_laroux" xfId="153"/>
    <cellStyle name="ÅëÈ­_      " xfId="154"/>
    <cellStyle name="AeE­_INQUIRY ¿?¾÷AßAø " xfId="155"/>
    <cellStyle name="ÅëÈ­_L601CPT" xfId="156"/>
    <cellStyle name="args.style" xfId="157"/>
    <cellStyle name="ÄÞ¸¶ [0]_      " xfId="158"/>
    <cellStyle name="AÞ¸¶ [0]_INQUIRY ¿?¾÷AßAø " xfId="159"/>
    <cellStyle name="ÄÞ¸¶ [0]_L601CPT" xfId="160"/>
    <cellStyle name="ÄÞ¸¶_      " xfId="161"/>
    <cellStyle name="AÞ¸¶_INQUIRY ¿?¾÷AßAø " xfId="162"/>
    <cellStyle name="ÄÞ¸¶_L601CPT" xfId="163"/>
    <cellStyle name="AutoFormat Options" xfId="164"/>
    <cellStyle name="AutoFormat Options 2" xfId="165"/>
    <cellStyle name="Bad 2" xfId="166"/>
    <cellStyle name="BILL제목" xfId="167"/>
    <cellStyle name="Bình thường 2" xfId="168"/>
    <cellStyle name="Body" xfId="169"/>
    <cellStyle name="C?AØ_¿?¾÷CoE² " xfId="170"/>
    <cellStyle name="Ç¥ÁØ_      " xfId="171"/>
    <cellStyle name="C￥AØ_¿μ¾÷CoE² " xfId="172"/>
    <cellStyle name="Ç¥ÁØ_±¸¹Ì´ëÃ¥" xfId="173"/>
    <cellStyle name="C￥AØ_Sheet1_¿μ¾÷CoE² " xfId="174"/>
    <cellStyle name="Calc Currency (0)" xfId="175"/>
    <cellStyle name="Calculation 2" xfId="176"/>
    <cellStyle name="category" xfId="177"/>
    <cellStyle name="category 2" xfId="178"/>
    <cellStyle name="Check Cell 2" xfId="179"/>
    <cellStyle name="Comma" xfId="180" builtinId="3"/>
    <cellStyle name="Comma  - Style1" xfId="181"/>
    <cellStyle name="Comma  - Style2" xfId="182"/>
    <cellStyle name="Comma  - Style3" xfId="183"/>
    <cellStyle name="Comma  - Style4" xfId="184"/>
    <cellStyle name="Comma  - Style5" xfId="185"/>
    <cellStyle name="Comma  - Style6" xfId="186"/>
    <cellStyle name="Comma  - Style7" xfId="187"/>
    <cellStyle name="Comma  - Style8" xfId="188"/>
    <cellStyle name="Comma [ ,]" xfId="189"/>
    <cellStyle name="Comma [0] 2" xfId="190"/>
    <cellStyle name="Comma 10" xfId="191"/>
    <cellStyle name="Comma 10 10" xfId="543"/>
    <cellStyle name="Comma 11" xfId="192"/>
    <cellStyle name="Comma 12" xfId="193"/>
    <cellStyle name="Comma 13" xfId="194"/>
    <cellStyle name="Comma 14" xfId="195"/>
    <cellStyle name="Comma 15" xfId="196"/>
    <cellStyle name="Comma 16" xfId="525"/>
    <cellStyle name="Comma 17" xfId="531"/>
    <cellStyle name="Comma 2" xfId="197"/>
    <cellStyle name="Comma 2 2" xfId="198"/>
    <cellStyle name="Comma 2 28" xfId="544"/>
    <cellStyle name="Comma 2 3" xfId="528"/>
    <cellStyle name="Comma 3" xfId="199"/>
    <cellStyle name="Comma 3 2" xfId="200"/>
    <cellStyle name="Comma 3 3" xfId="201"/>
    <cellStyle name="Comma 3 4" xfId="202"/>
    <cellStyle name="Comma 3 5" xfId="203"/>
    <cellStyle name="Comma 3_PL6-14" xfId="204"/>
    <cellStyle name="Comma 4" xfId="205"/>
    <cellStyle name="Comma 4 2" xfId="206"/>
    <cellStyle name="Comma 4 20" xfId="545"/>
    <cellStyle name="Comma 4 3" xfId="207"/>
    <cellStyle name="Comma 4 4" xfId="208"/>
    <cellStyle name="Comma 5" xfId="209"/>
    <cellStyle name="Comma 5 2" xfId="210"/>
    <cellStyle name="Comma 6" xfId="211"/>
    <cellStyle name="Comma 6 2" xfId="212"/>
    <cellStyle name="Comma 7" xfId="213"/>
    <cellStyle name="Comma 7 2" xfId="214"/>
    <cellStyle name="Comma 8" xfId="215"/>
    <cellStyle name="Comma 9" xfId="216"/>
    <cellStyle name="comma zerodec" xfId="217"/>
    <cellStyle name="Comma_QT tong hop 2004 goi Bo TC" xfId="218"/>
    <cellStyle name="Comma_THCTT" xfId="219"/>
    <cellStyle name="Comma0" xfId="220"/>
    <cellStyle name="Commaɟpldt_6" xfId="221"/>
    <cellStyle name="Copied" xfId="222"/>
    <cellStyle name="Curråncy [0]_FCST_RESULTS" xfId="223"/>
    <cellStyle name="Currency [0]ßmud plant bolted_RESULTS" xfId="224"/>
    <cellStyle name="Currency 2" xfId="225"/>
    <cellStyle name="Currency![0]_FCSt (2)" xfId="226"/>
    <cellStyle name="Currency0" xfId="227"/>
    <cellStyle name="Currency1" xfId="228"/>
    <cellStyle name="Date" xfId="229"/>
    <cellStyle name="Đầu ra" xfId="230"/>
    <cellStyle name="Đầu vào" xfId="231"/>
    <cellStyle name="Dấu_phảy 2" xfId="232"/>
    <cellStyle name="Đề mục 1" xfId="233"/>
    <cellStyle name="Đề mục 2" xfId="234"/>
    <cellStyle name="Đề mục 3" xfId="235"/>
    <cellStyle name="Đề mục 4" xfId="236"/>
    <cellStyle name="Dezimal [0]_NEGS" xfId="237"/>
    <cellStyle name="Dezimal_NEGS" xfId="238"/>
    <cellStyle name="Dollar (zero dec)" xfId="239"/>
    <cellStyle name="Dziesietny [0]_Invoices2001Slovakia" xfId="240"/>
    <cellStyle name="Dziesiętny [0]_Invoices2001Slovakia" xfId="241"/>
    <cellStyle name="Dziesietny_Invoices2001Slovakia" xfId="242"/>
    <cellStyle name="Dziesiętny_Invoices2001Slovakia" xfId="243"/>
    <cellStyle name="Entered" xfId="244"/>
    <cellStyle name="Euro" xfId="546"/>
    <cellStyle name="Excel Built-in Normal" xfId="524"/>
    <cellStyle name="Explanatory Text 2" xfId="245"/>
    <cellStyle name="Fixed" xfId="246"/>
    <cellStyle name="Font Britannic16" xfId="247"/>
    <cellStyle name="Font Britannic18" xfId="248"/>
    <cellStyle name="Font CenturyCond 18" xfId="249"/>
    <cellStyle name="Font Cond20" xfId="250"/>
    <cellStyle name="Font LucidaSans16" xfId="251"/>
    <cellStyle name="Font NewCenturyCond18" xfId="252"/>
    <cellStyle name="Font Ottawa14" xfId="253"/>
    <cellStyle name="Font Ottawa16" xfId="254"/>
    <cellStyle name="Ghi chú" xfId="255"/>
    <cellStyle name="Good 2" xfId="256"/>
    <cellStyle name="Grey" xfId="257"/>
    <cellStyle name="Grey 2" xfId="258"/>
    <cellStyle name="Grey 3" xfId="259"/>
    <cellStyle name="H" xfId="260"/>
    <cellStyle name="ha" xfId="261"/>
    <cellStyle name="hai" xfId="262"/>
    <cellStyle name="Head 1" xfId="263"/>
    <cellStyle name="Head 1 2" xfId="264"/>
    <cellStyle name="HEADER" xfId="265"/>
    <cellStyle name="HEADER 2" xfId="266"/>
    <cellStyle name="Header1" xfId="267"/>
    <cellStyle name="Header2" xfId="268"/>
    <cellStyle name="Heading 1 2" xfId="269"/>
    <cellStyle name="Heading 2 2" xfId="270"/>
    <cellStyle name="Heading 3 2" xfId="271"/>
    <cellStyle name="Heading 4 2" xfId="272"/>
    <cellStyle name="Heading1" xfId="547"/>
    <cellStyle name="HEADING1 1" xfId="273"/>
    <cellStyle name="HEADING2" xfId="274"/>
    <cellStyle name="HEADINGS" xfId="275"/>
    <cellStyle name="HEADINGSTOP" xfId="276"/>
    <cellStyle name="Hoa-Scholl" xfId="277"/>
    <cellStyle name="Hyperlink 2" xfId="278"/>
    <cellStyle name="Hyperlink 3" xfId="279"/>
    <cellStyle name="i·0" xfId="280"/>
    <cellStyle name="_x0001__x0004_Ĭ_x0001__x0001_Ĭ_x0003_" xfId="281"/>
    <cellStyle name="Input [yellow]" xfId="282"/>
    <cellStyle name="Input [yellow] 2" xfId="283"/>
    <cellStyle name="Input [yellow] 3" xfId="284"/>
    <cellStyle name="Input 2" xfId="285"/>
    <cellStyle name="Input 3" xfId="286"/>
    <cellStyle name="khanh" xfId="287"/>
    <cellStyle name="Kiểm tra Ô" xfId="288"/>
    <cellStyle name="kien1" xfId="289"/>
    <cellStyle name="Ledger 17 x 11 in" xfId="548"/>
    <cellStyle name="Ledger 17 x 11 in 2" xfId="549"/>
    <cellStyle name="Ledger 17 x 11 in 3" xfId="550"/>
    <cellStyle name="Line" xfId="290"/>
    <cellStyle name="Linked Cell 2" xfId="291"/>
    <cellStyle name="Loai CBDT" xfId="292"/>
    <cellStyle name="Loai CT" xfId="293"/>
    <cellStyle name="Loai GD" xfId="294"/>
    <cellStyle name="Migliaia (0)_CALPREZZ" xfId="551"/>
    <cellStyle name="Migliaia_ PESO ELETTR." xfId="552"/>
    <cellStyle name="Millares [0]_Well Timing" xfId="295"/>
    <cellStyle name="Millares_Well Timing" xfId="296"/>
    <cellStyle name="Model" xfId="297"/>
    <cellStyle name="Model 2" xfId="298"/>
    <cellStyle name="moi" xfId="299"/>
    <cellStyle name="Moneda [0]_Well Timing" xfId="300"/>
    <cellStyle name="Moneda_Well Timing" xfId="301"/>
    <cellStyle name="Monétaire [0]_TARIFFS DB" xfId="302"/>
    <cellStyle name="Monétaire_TARIFFS DB" xfId="303"/>
    <cellStyle name="n" xfId="304"/>
    <cellStyle name="Neutral 2" xfId="305"/>
    <cellStyle name="New Times Roman" xfId="306"/>
    <cellStyle name="Nhấn1" xfId="307"/>
    <cellStyle name="Nhấn2" xfId="308"/>
    <cellStyle name="Nhấn3" xfId="309"/>
    <cellStyle name="Nhấn4" xfId="310"/>
    <cellStyle name="Nhấn5" xfId="311"/>
    <cellStyle name="Nhấn6" xfId="312"/>
    <cellStyle name="no dec" xfId="313"/>
    <cellStyle name="Normal" xfId="0" builtinId="0"/>
    <cellStyle name="Normal - Style1" xfId="314"/>
    <cellStyle name="Normal - Style1 2" xfId="315"/>
    <cellStyle name="Normal - Style1 3" xfId="316"/>
    <cellStyle name="Normal - Style1 4" xfId="317"/>
    <cellStyle name="Normal - Style1_bIEU-02" xfId="318"/>
    <cellStyle name="Normal 10" xfId="319"/>
    <cellStyle name="Normal 10 2" xfId="320"/>
    <cellStyle name="Normal 10 3" xfId="321"/>
    <cellStyle name="Normal 10 4" xfId="529"/>
    <cellStyle name="Normal 11" xfId="322"/>
    <cellStyle name="Normal 12" xfId="323"/>
    <cellStyle name="Normal 13" xfId="324"/>
    <cellStyle name="Normal 14" xfId="325"/>
    <cellStyle name="Normal 15" xfId="326"/>
    <cellStyle name="Normal 16" xfId="327"/>
    <cellStyle name="Normal 17" xfId="328"/>
    <cellStyle name="Normal 18" xfId="329"/>
    <cellStyle name="Normal 19" xfId="330"/>
    <cellStyle name="Normal 2" xfId="331"/>
    <cellStyle name="Normal 2 2" xfId="332"/>
    <cellStyle name="Normal 2 3" xfId="333"/>
    <cellStyle name="Normal 2 3 2" xfId="553"/>
    <cellStyle name="Normal 2 4" xfId="334"/>
    <cellStyle name="Normal 2 5" xfId="530"/>
    <cellStyle name="Normal 2_14 " xfId="335"/>
    <cellStyle name="Normal 20" xfId="336"/>
    <cellStyle name="Normal 21" xfId="337"/>
    <cellStyle name="Normal 22" xfId="338"/>
    <cellStyle name="Normal 23" xfId="339"/>
    <cellStyle name="Normal 24" xfId="340"/>
    <cellStyle name="Normal 25" xfId="341"/>
    <cellStyle name="Normal 26" xfId="342"/>
    <cellStyle name="Normal 27" xfId="523"/>
    <cellStyle name="Normal 28" xfId="526"/>
    <cellStyle name="Normal 29" xfId="527"/>
    <cellStyle name="Normal 3" xfId="343"/>
    <cellStyle name="Normal 3 2" xfId="344"/>
    <cellStyle name="Normal 3_bIEU-02" xfId="345"/>
    <cellStyle name="Normal 30" xfId="554"/>
    <cellStyle name="Normal 31" xfId="555"/>
    <cellStyle name="Normal 32" xfId="556"/>
    <cellStyle name="Normal 33" xfId="574"/>
    <cellStyle name="Normal 4" xfId="346"/>
    <cellStyle name="Normal 4 2" xfId="347"/>
    <cellStyle name="Normal 4 2 2" xfId="534"/>
    <cellStyle name="Normal 4 3" xfId="348"/>
    <cellStyle name="Normal 4 4" xfId="349"/>
    <cellStyle name="Normal 4_14 " xfId="350"/>
    <cellStyle name="Normal 5" xfId="351"/>
    <cellStyle name="Normal 5 2" xfId="352"/>
    <cellStyle name="Normal 5_Sheet2" xfId="353"/>
    <cellStyle name="Normal 6" xfId="354"/>
    <cellStyle name="Normal 7" xfId="355"/>
    <cellStyle name="Normal 7 2" xfId="356"/>
    <cellStyle name="Normal 7_bIEU-02" xfId="357"/>
    <cellStyle name="Normal 8" xfId="358"/>
    <cellStyle name="Normal 9" xfId="359"/>
    <cellStyle name="Normal 9 2" xfId="557"/>
    <cellStyle name="Normal 9_BieuHD2016-2020Tquang2(OK)" xfId="558"/>
    <cellStyle name="Normal_6 thang" xfId="360"/>
    <cellStyle name="Normal_Bao cao XDCB 6 thang 2004" xfId="361"/>
    <cellStyle name="Normal_Bieu mau (CV ) 2" xfId="533"/>
    <cellStyle name="Normal_Cong khai tai chinh 2004" xfId="362"/>
    <cellStyle name="Normal_Du toan NSNN 2003" xfId="363"/>
    <cellStyle name="Normal_QT 2011 trinh HDND" xfId="364"/>
    <cellStyle name="Normal_Sheet1 2" xfId="532"/>
    <cellStyle name="Normal_THCTT" xfId="365"/>
    <cellStyle name="Normal1" xfId="366"/>
    <cellStyle name="Normale_ PESO ELETTR." xfId="559"/>
    <cellStyle name="Normalny_Cennik obowiazuje od 06-08-2001 r (1)" xfId="367"/>
    <cellStyle name="Note 2" xfId="368"/>
    <cellStyle name="Ô Được nối kết" xfId="369"/>
    <cellStyle name="Œ…‹æØ‚è [0.00]_ÆÂ¹²" xfId="370"/>
    <cellStyle name="Œ…‹æØ‚è_laroux" xfId="560"/>
    <cellStyle name="oft Excel]_x000d__x000a_Comment=The open=/f lines load custom functions into the Paste Function list._x000d__x000a_Maximized=2_x000d__x000a_Basics=1_x000d__x000a_A" xfId="371"/>
    <cellStyle name="oft Excel]_x000d__x000a_Comment=The open=/f lines load custom functions into the Paste Function list._x000d__x000a_Maximized=3_x000d__x000a_Basics=1_x000d__x000a_A" xfId="372"/>
    <cellStyle name="omma [0]_Mktg Prog" xfId="561"/>
    <cellStyle name="on LBP-" xfId="373"/>
    <cellStyle name="ormal_Sheet1_1" xfId="562"/>
    <cellStyle name="Output 2" xfId="374"/>
    <cellStyle name="Pattern" xfId="375"/>
    <cellStyle name="per.style" xfId="376"/>
    <cellStyle name="Percent [2]" xfId="377"/>
    <cellStyle name="Percent [2] 2" xfId="378"/>
    <cellStyle name="Percent [2] 3" xfId="379"/>
    <cellStyle name="Percent 2" xfId="380"/>
    <cellStyle name="Percent 3" xfId="381"/>
    <cellStyle name="Percent 4" xfId="382"/>
    <cellStyle name="regstoresfromspecstores" xfId="383"/>
    <cellStyle name="RevList" xfId="384"/>
    <cellStyle name="S—_x0008_" xfId="385"/>
    <cellStyle name="s]_x000d__x000a_spooler=yes_x000d__x000a_load=_x000d__x000a_Beep=yes_x000d__x000a_NullPort=None_x000d__x000a_BorderWidth=3_x000d__x000a_CursorBlinkRate=1200_x000d__x000a_DoubleClickSpeed=452_x000d__x000a_Programs=co" xfId="386"/>
    <cellStyle name="SAPBEXaggData" xfId="387"/>
    <cellStyle name="SAPBEXaggDataEmph" xfId="388"/>
    <cellStyle name="SAPBEXaggItem" xfId="389"/>
    <cellStyle name="SAPBEXchaText" xfId="390"/>
    <cellStyle name="SAPBEXexcBad7" xfId="391"/>
    <cellStyle name="SAPBEXexcBad8" xfId="392"/>
    <cellStyle name="SAPBEXexcBad9" xfId="393"/>
    <cellStyle name="SAPBEXexcCritical4" xfId="394"/>
    <cellStyle name="SAPBEXexcCritical5" xfId="395"/>
    <cellStyle name="SAPBEXexcCritical6" xfId="396"/>
    <cellStyle name="SAPBEXexcGood1" xfId="397"/>
    <cellStyle name="SAPBEXexcGood2" xfId="398"/>
    <cellStyle name="SAPBEXexcGood3" xfId="399"/>
    <cellStyle name="SAPBEXfilterDrill" xfId="400"/>
    <cellStyle name="SAPBEXfilterItem" xfId="401"/>
    <cellStyle name="SAPBEXfilterText" xfId="402"/>
    <cellStyle name="SAPBEXformats" xfId="403"/>
    <cellStyle name="SAPBEXheaderItem" xfId="404"/>
    <cellStyle name="SAPBEXheaderText" xfId="405"/>
    <cellStyle name="SAPBEXresData" xfId="406"/>
    <cellStyle name="SAPBEXresDataEmph" xfId="407"/>
    <cellStyle name="SAPBEXresItem" xfId="408"/>
    <cellStyle name="SAPBEXstdData" xfId="409"/>
    <cellStyle name="SAPBEXstdDataEmph" xfId="410"/>
    <cellStyle name="SAPBEXstdItem" xfId="411"/>
    <cellStyle name="SAPBEXtitle" xfId="412"/>
    <cellStyle name="SAPBEXundefined" xfId="413"/>
    <cellStyle name="SHADEDSTORES" xfId="414"/>
    <cellStyle name="specstores" xfId="415"/>
    <cellStyle name="Standard_NEGS" xfId="416"/>
    <cellStyle name="STTDG" xfId="417"/>
    <cellStyle name="style" xfId="563"/>
    <cellStyle name="Style 1" xfId="418"/>
    <cellStyle name="Style 10" xfId="419"/>
    <cellStyle name="Style 11" xfId="420"/>
    <cellStyle name="Style 12" xfId="421"/>
    <cellStyle name="Style 13" xfId="422"/>
    <cellStyle name="Style 14" xfId="423"/>
    <cellStyle name="Style 15" xfId="424"/>
    <cellStyle name="Style 16" xfId="425"/>
    <cellStyle name="Style 17" xfId="426"/>
    <cellStyle name="Style 18" xfId="427"/>
    <cellStyle name="Style 19" xfId="428"/>
    <cellStyle name="Style 2" xfId="429"/>
    <cellStyle name="Style 20" xfId="430"/>
    <cellStyle name="Style 21" xfId="431"/>
    <cellStyle name="Style 3" xfId="432"/>
    <cellStyle name="Style 4" xfId="433"/>
    <cellStyle name="Style 5" xfId="434"/>
    <cellStyle name="Style 6" xfId="435"/>
    <cellStyle name="Style 7" xfId="436"/>
    <cellStyle name="Style 8" xfId="437"/>
    <cellStyle name="Style 9" xfId="438"/>
    <cellStyle name="subhead" xfId="439"/>
    <cellStyle name="subhead 2" xfId="440"/>
    <cellStyle name="Subtotal" xfId="441"/>
    <cellStyle name="T" xfId="442"/>
    <cellStyle name="T 2" xfId="443"/>
    <cellStyle name="T_BC QT VON DAU TU XDCB NAM 2014 (PDT)" xfId="444"/>
    <cellStyle name="T_BenxuatXM2" xfId="445"/>
    <cellStyle name="T_Book1" xfId="446"/>
    <cellStyle name="T_Book1 2" xfId="447"/>
    <cellStyle name="T_Book1_BC QT VON DAU TU XDCB NAM 2014 (PDT)" xfId="448"/>
    <cellStyle name="T_Book1_Copy of Mau Dau tu TT59" xfId="449"/>
    <cellStyle name="T_Book1_Copy of Mau Dau tu TT59_QT NSNN NAM 2016 (12-5-2017 KTNN)" xfId="450"/>
    <cellStyle name="T_Book1_QT NSNN NAM 2016 (12-5-2017 KTNN)" xfId="451"/>
    <cellStyle name="T_Book1_QT VON DAU TU XDCB NAM 2011" xfId="452"/>
    <cellStyle name="T_Book1_QT VON DAU TU XDCB NAM 2013(09-10-2014)" xfId="453"/>
    <cellStyle name="T_Book1_Quy_t toán 210- 2015 -Si-CSL1" xfId="454"/>
    <cellStyle name="T_Copy of Mau Dau tu TT59" xfId="455"/>
    <cellStyle name="T_QT VON DAU TU XDCB NAM 2011" xfId="456"/>
    <cellStyle name="T_QT VON DAU TU XDCB NAM 2013(09-10-2014)" xfId="457"/>
    <cellStyle name="T_Quy_t toán 210- 2015 -Si-CSL1" xfId="458"/>
    <cellStyle name="T_Tongdutoans" xfId="459"/>
    <cellStyle name="th" xfId="460"/>
    <cellStyle name="th 2" xfId="461"/>
    <cellStyle name="þ_x001d_ð¤_x000c_¯þ_x0014__x000d_¨þU_x0001_À_x0004_ _x0015__x000f__x0001__x0001_" xfId="462"/>
    <cellStyle name="þ_x001d_ð·_x000c_æþ'_x000d_ßþU_x0001_Ø_x0005_ü_x0014__x0007__x0001__x0001_" xfId="463"/>
    <cellStyle name="þ_x001d_ðÇ%Uý—&amp;Hý9_x0008_Ÿ_x0009_s_x000a__x0007__x0001__x0001_" xfId="564"/>
    <cellStyle name="thuong-10" xfId="464"/>
    <cellStyle name="thuong-11" xfId="465"/>
    <cellStyle name="Thuyet minh" xfId="466"/>
    <cellStyle name="Tiêu đề" xfId="467"/>
    <cellStyle name="Tính toán" xfId="468"/>
    <cellStyle name="tit1" xfId="469"/>
    <cellStyle name="tit2" xfId="470"/>
    <cellStyle name="tit3" xfId="471"/>
    <cellStyle name="tit4" xfId="472"/>
    <cellStyle name="Title 2" xfId="473"/>
    <cellStyle name="Tổng" xfId="474"/>
    <cellStyle name="Tong so" xfId="475"/>
    <cellStyle name="tong so 1" xfId="476"/>
    <cellStyle name="Tongcong" xfId="477"/>
    <cellStyle name="Tốt" xfId="478"/>
    <cellStyle name="Total 2" xfId="479"/>
    <cellStyle name="Trung tính" xfId="480"/>
    <cellStyle name="tt1" xfId="481"/>
    <cellStyle name="Valuta (0)_CALPREZZ" xfId="565"/>
    <cellStyle name="Valuta_ PESO ELETTR." xfId="566"/>
    <cellStyle name="Văn bản Cảnh báo" xfId="482"/>
    <cellStyle name="Văn bản Giải thích" xfId="483"/>
    <cellStyle name="VANG1" xfId="484"/>
    <cellStyle name="viet" xfId="485"/>
    <cellStyle name="viet 2" xfId="486"/>
    <cellStyle name="viet2" xfId="487"/>
    <cellStyle name="viet2 2" xfId="488"/>
    <cellStyle name="Vn Time 13" xfId="489"/>
    <cellStyle name="Vn Time 14" xfId="490"/>
    <cellStyle name="vnhead1" xfId="491"/>
    <cellStyle name="vnhead3" xfId="492"/>
    <cellStyle name="vntxt1" xfId="493"/>
    <cellStyle name="Währung [0]_UXO VII" xfId="567"/>
    <cellStyle name="Währung_UXO VII" xfId="568"/>
    <cellStyle name="Walutowy [0]_Invoices2001Slovakia" xfId="494"/>
    <cellStyle name="Walutowy_Invoices2001Slovakia" xfId="495"/>
    <cellStyle name="Warning Text 2" xfId="496"/>
    <cellStyle name="xan1" xfId="497"/>
    <cellStyle name="Xấu" xfId="498"/>
    <cellStyle name="xuan" xfId="499"/>
    <cellStyle name=" [0.00]_ Att. 1- Cover" xfId="500"/>
    <cellStyle name="_ Att. 1- Cover" xfId="501"/>
    <cellStyle name="?_ Att. 1- Cover" xfId="502"/>
    <cellStyle name="똿뗦먛귟 [0.00]_PRODUCT DETAIL Q1" xfId="503"/>
    <cellStyle name="똿뗦먛귟_PRODUCT DETAIL Q1" xfId="504"/>
    <cellStyle name="믅됞 [0.00]_PRODUCT DETAIL Q1" xfId="505"/>
    <cellStyle name="믅됞_PRODUCT DETAIL Q1" xfId="506"/>
    <cellStyle name="백분율_95" xfId="507"/>
    <cellStyle name="뷭?_BOOKSHIP" xfId="508"/>
    <cellStyle name="안건회계법인" xfId="569"/>
    <cellStyle name="콤맀_Sheet1_총괄표 (수출입) (2)" xfId="509"/>
    <cellStyle name="콤마 [0]_ 비목별 월별기술 " xfId="570"/>
    <cellStyle name="콤마_ 비목별 월별기술 " xfId="571"/>
    <cellStyle name="통화 [0]_1202" xfId="510"/>
    <cellStyle name="통화_1202" xfId="511"/>
    <cellStyle name="표섀_변경(최종)" xfId="512"/>
    <cellStyle name="표준_(정보부문)월별인원계획" xfId="513"/>
    <cellStyle name="표줠_Sheet1_1_총괄표 (수출입) (2)" xfId="514"/>
    <cellStyle name="一般_00Q3902REV.1" xfId="515"/>
    <cellStyle name="千分位[0]_00Q3902REV.1" xfId="516"/>
    <cellStyle name="千分位_00Q3902REV.1" xfId="517"/>
    <cellStyle name="常规_GL ACM Master OCT08" xfId="518"/>
    <cellStyle name="桁区切り_NADUONG BQ (Draft)" xfId="572"/>
    <cellStyle name="標準_2110-5" xfId="519"/>
    <cellStyle name="貨幣 [0]_00Q3902REV.1" xfId="520"/>
    <cellStyle name="貨幣[0]_BRE" xfId="521"/>
    <cellStyle name="貨幣_00Q3902REV.1" xfId="522"/>
    <cellStyle name="通貨_MITSUI1_BQ" xfId="57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DFDFE0"/>
      <rgbColor rgb="00800000"/>
      <rgbColor rgb="00008000"/>
      <rgbColor rgb="00000080"/>
      <rgbColor rgb="007F7F80"/>
      <rgbColor rgb="00800080"/>
      <rgbColor rgb="00008080"/>
      <rgbColor rgb="00C0C0C0"/>
      <rgbColor rgb="00808080"/>
      <rgbColor rgb="007FB2FF"/>
      <rgbColor rgb="00993366"/>
      <rgbColor rgb="00FFFFCC"/>
      <rgbColor rgb="00CCFFFF"/>
      <rgbColor rgb="00660066"/>
      <rgbColor rgb="00FF8080"/>
      <rgbColor rgb="000066CC"/>
      <rgbColor rgb="00CCCCFF"/>
      <rgbColor rgb="00000080"/>
      <rgbColor rgb="00FF00FF"/>
      <rgbColor rgb="00FFC000"/>
      <rgbColor rgb="0000FFFF"/>
      <rgbColor rgb="00800080"/>
      <rgbColor rgb="00800000"/>
      <rgbColor rgb="00376092"/>
      <rgbColor rgb="000000FF"/>
      <rgbColor rgb="0000CCFF"/>
      <rgbColor rgb="00DF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1</xdr:col>
      <xdr:colOff>200025</xdr:colOff>
      <xdr:row>2</xdr:row>
      <xdr:rowOff>47625</xdr:rowOff>
    </xdr:from>
    <xdr:to>
      <xdr:col>1</xdr:col>
      <xdr:colOff>812025</xdr:colOff>
      <xdr:row>2</xdr:row>
      <xdr:rowOff>47625</xdr:rowOff>
    </xdr:to>
    <xdr:cxnSp macro="">
      <xdr:nvCxnSpPr>
        <xdr:cNvPr id="2" name="Straight Connector 1"/>
        <xdr:cNvCxnSpPr/>
      </xdr:nvCxnSpPr>
      <xdr:spPr bwMode="auto">
        <a:xfrm>
          <a:off x="514350" y="466725"/>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2141214</xdr:colOff>
      <xdr:row>5</xdr:row>
      <xdr:rowOff>38100</xdr:rowOff>
    </xdr:from>
    <xdr:to>
      <xdr:col>3</xdr:col>
      <xdr:colOff>585336</xdr:colOff>
      <xdr:row>5</xdr:row>
      <xdr:rowOff>38100</xdr:rowOff>
    </xdr:to>
    <xdr:cxnSp macro="">
      <xdr:nvCxnSpPr>
        <xdr:cNvPr id="3" name="Straight Connector 2"/>
        <xdr:cNvCxnSpPr/>
      </xdr:nvCxnSpPr>
      <xdr:spPr bwMode="auto">
        <a:xfrm>
          <a:off x="2455539" y="1400175"/>
          <a:ext cx="1587372"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205154</xdr:colOff>
      <xdr:row>2</xdr:row>
      <xdr:rowOff>35902</xdr:rowOff>
    </xdr:from>
    <xdr:to>
      <xdr:col>1</xdr:col>
      <xdr:colOff>817154</xdr:colOff>
      <xdr:row>2</xdr:row>
      <xdr:rowOff>35902</xdr:rowOff>
    </xdr:to>
    <xdr:cxnSp macro="">
      <xdr:nvCxnSpPr>
        <xdr:cNvPr id="2" name="Straight Connector 1"/>
        <xdr:cNvCxnSpPr/>
      </xdr:nvCxnSpPr>
      <xdr:spPr bwMode="auto">
        <a:xfrm flipV="1">
          <a:off x="512885" y="460864"/>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2156153</xdr:colOff>
      <xdr:row>5</xdr:row>
      <xdr:rowOff>57150</xdr:rowOff>
    </xdr:from>
    <xdr:to>
      <xdr:col>1</xdr:col>
      <xdr:colOff>3740153</xdr:colOff>
      <xdr:row>5</xdr:row>
      <xdr:rowOff>57150</xdr:rowOff>
    </xdr:to>
    <xdr:cxnSp macro="">
      <xdr:nvCxnSpPr>
        <xdr:cNvPr id="3" name="Straight Connector 2"/>
        <xdr:cNvCxnSpPr/>
      </xdr:nvCxnSpPr>
      <xdr:spPr bwMode="auto">
        <a:xfrm flipV="1">
          <a:off x="2463884" y="1449265"/>
          <a:ext cx="1584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57150</xdr:colOff>
      <xdr:row>2</xdr:row>
      <xdr:rowOff>57150</xdr:rowOff>
    </xdr:from>
    <xdr:to>
      <xdr:col>1</xdr:col>
      <xdr:colOff>669150</xdr:colOff>
      <xdr:row>2</xdr:row>
      <xdr:rowOff>57150</xdr:rowOff>
    </xdr:to>
    <xdr:cxnSp macro="">
      <xdr:nvCxnSpPr>
        <xdr:cNvPr id="3" name="Straight Connector 2"/>
        <xdr:cNvCxnSpPr/>
      </xdr:nvCxnSpPr>
      <xdr:spPr bwMode="auto">
        <a:xfrm>
          <a:off x="523875" y="476250"/>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1394619</xdr:colOff>
      <xdr:row>5</xdr:row>
      <xdr:rowOff>57150</xdr:rowOff>
    </xdr:from>
    <xdr:to>
      <xdr:col>3</xdr:col>
      <xdr:colOff>1484331</xdr:colOff>
      <xdr:row>5</xdr:row>
      <xdr:rowOff>57150</xdr:rowOff>
    </xdr:to>
    <xdr:cxnSp macro="">
      <xdr:nvCxnSpPr>
        <xdr:cNvPr id="4" name="Straight Connector 3"/>
        <xdr:cNvCxnSpPr/>
      </xdr:nvCxnSpPr>
      <xdr:spPr bwMode="auto">
        <a:xfrm>
          <a:off x="3985419" y="1619250"/>
          <a:ext cx="1547037"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265144</xdr:colOff>
      <xdr:row>2</xdr:row>
      <xdr:rowOff>54559</xdr:rowOff>
    </xdr:from>
    <xdr:to>
      <xdr:col>1</xdr:col>
      <xdr:colOff>877144</xdr:colOff>
      <xdr:row>2</xdr:row>
      <xdr:rowOff>54559</xdr:rowOff>
    </xdr:to>
    <xdr:cxnSp macro="">
      <xdr:nvCxnSpPr>
        <xdr:cNvPr id="2" name="Straight Connector 1"/>
        <xdr:cNvCxnSpPr/>
      </xdr:nvCxnSpPr>
      <xdr:spPr bwMode="auto">
        <a:xfrm>
          <a:off x="522319" y="473659"/>
          <a:ext cx="612000" cy="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8</xdr:col>
      <xdr:colOff>209831</xdr:colOff>
      <xdr:row>5</xdr:row>
      <xdr:rowOff>60148</xdr:rowOff>
    </xdr:from>
    <xdr:to>
      <xdr:col>11</xdr:col>
      <xdr:colOff>504871</xdr:colOff>
      <xdr:row>5</xdr:row>
      <xdr:rowOff>60148</xdr:rowOff>
    </xdr:to>
    <xdr:cxnSp macro="">
      <xdr:nvCxnSpPr>
        <xdr:cNvPr id="3" name="Straight Connector 2"/>
        <xdr:cNvCxnSpPr/>
      </xdr:nvCxnSpPr>
      <xdr:spPr bwMode="auto">
        <a:xfrm>
          <a:off x="4029356" y="1546048"/>
          <a:ext cx="1695215" cy="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1123004</xdr:colOff>
      <xdr:row>2</xdr:row>
      <xdr:rowOff>80818</xdr:rowOff>
    </xdr:from>
    <xdr:to>
      <xdr:col>1</xdr:col>
      <xdr:colOff>1627829</xdr:colOff>
      <xdr:row>2</xdr:row>
      <xdr:rowOff>80818</xdr:rowOff>
    </xdr:to>
    <xdr:cxnSp macro="">
      <xdr:nvCxnSpPr>
        <xdr:cNvPr id="2" name="Straight Connector 1"/>
        <xdr:cNvCxnSpPr/>
      </xdr:nvCxnSpPr>
      <xdr:spPr>
        <a:xfrm>
          <a:off x="1491304" y="487218"/>
          <a:ext cx="50482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1590675</xdr:colOff>
      <xdr:row>146</xdr:row>
      <xdr:rowOff>0</xdr:rowOff>
    </xdr:from>
    <xdr:to>
      <xdr:col>1</xdr:col>
      <xdr:colOff>1590675</xdr:colOff>
      <xdr:row>149</xdr:row>
      <xdr:rowOff>133350</xdr:rowOff>
    </xdr:to>
    <xdr:sp macro="" textlink="">
      <xdr:nvSpPr>
        <xdr:cNvPr id="3" name="Text Box 2"/>
        <xdr:cNvSpPr txBox="1">
          <a:spLocks noChangeArrowheads="1"/>
        </xdr:cNvSpPr>
      </xdr:nvSpPr>
      <xdr:spPr bwMode="auto">
        <a:xfrm>
          <a:off x="1952625" y="585882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146</xdr:row>
      <xdr:rowOff>0</xdr:rowOff>
    </xdr:from>
    <xdr:to>
      <xdr:col>1</xdr:col>
      <xdr:colOff>1590675</xdr:colOff>
      <xdr:row>149</xdr:row>
      <xdr:rowOff>133350</xdr:rowOff>
    </xdr:to>
    <xdr:sp macro="" textlink="">
      <xdr:nvSpPr>
        <xdr:cNvPr id="4" name="Text Box 3"/>
        <xdr:cNvSpPr txBox="1">
          <a:spLocks noChangeArrowheads="1"/>
        </xdr:cNvSpPr>
      </xdr:nvSpPr>
      <xdr:spPr bwMode="auto">
        <a:xfrm>
          <a:off x="1952625" y="585882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146</xdr:row>
      <xdr:rowOff>0</xdr:rowOff>
    </xdr:from>
    <xdr:to>
      <xdr:col>1</xdr:col>
      <xdr:colOff>1590675</xdr:colOff>
      <xdr:row>149</xdr:row>
      <xdr:rowOff>133350</xdr:rowOff>
    </xdr:to>
    <xdr:sp macro="" textlink="">
      <xdr:nvSpPr>
        <xdr:cNvPr id="5" name="Text Box 41"/>
        <xdr:cNvSpPr txBox="1">
          <a:spLocks noChangeArrowheads="1"/>
        </xdr:cNvSpPr>
      </xdr:nvSpPr>
      <xdr:spPr bwMode="auto">
        <a:xfrm>
          <a:off x="1952625" y="585882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146</xdr:row>
      <xdr:rowOff>0</xdr:rowOff>
    </xdr:from>
    <xdr:to>
      <xdr:col>1</xdr:col>
      <xdr:colOff>1590675</xdr:colOff>
      <xdr:row>149</xdr:row>
      <xdr:rowOff>133350</xdr:rowOff>
    </xdr:to>
    <xdr:sp macro="" textlink="">
      <xdr:nvSpPr>
        <xdr:cNvPr id="6" name="Text Box 42"/>
        <xdr:cNvSpPr txBox="1">
          <a:spLocks noChangeArrowheads="1"/>
        </xdr:cNvSpPr>
      </xdr:nvSpPr>
      <xdr:spPr bwMode="auto">
        <a:xfrm>
          <a:off x="1952625" y="585882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146</xdr:row>
      <xdr:rowOff>0</xdr:rowOff>
    </xdr:from>
    <xdr:to>
      <xdr:col>1</xdr:col>
      <xdr:colOff>1590675</xdr:colOff>
      <xdr:row>149</xdr:row>
      <xdr:rowOff>133350</xdr:rowOff>
    </xdr:to>
    <xdr:sp macro="" textlink="">
      <xdr:nvSpPr>
        <xdr:cNvPr id="7" name="Text Box 2"/>
        <xdr:cNvSpPr txBox="1">
          <a:spLocks noChangeArrowheads="1"/>
        </xdr:cNvSpPr>
      </xdr:nvSpPr>
      <xdr:spPr bwMode="auto">
        <a:xfrm>
          <a:off x="1952625" y="585882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146</xdr:row>
      <xdr:rowOff>0</xdr:rowOff>
    </xdr:from>
    <xdr:to>
      <xdr:col>1</xdr:col>
      <xdr:colOff>1590675</xdr:colOff>
      <xdr:row>149</xdr:row>
      <xdr:rowOff>133350</xdr:rowOff>
    </xdr:to>
    <xdr:sp macro="" textlink="">
      <xdr:nvSpPr>
        <xdr:cNvPr id="8" name="Text Box 3"/>
        <xdr:cNvSpPr txBox="1">
          <a:spLocks noChangeArrowheads="1"/>
        </xdr:cNvSpPr>
      </xdr:nvSpPr>
      <xdr:spPr bwMode="auto">
        <a:xfrm>
          <a:off x="1952625" y="585882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146</xdr:row>
      <xdr:rowOff>0</xdr:rowOff>
    </xdr:from>
    <xdr:to>
      <xdr:col>1</xdr:col>
      <xdr:colOff>1590675</xdr:colOff>
      <xdr:row>149</xdr:row>
      <xdr:rowOff>133350</xdr:rowOff>
    </xdr:to>
    <xdr:sp macro="" textlink="">
      <xdr:nvSpPr>
        <xdr:cNvPr id="9" name="Text Box 41"/>
        <xdr:cNvSpPr txBox="1">
          <a:spLocks noChangeArrowheads="1"/>
        </xdr:cNvSpPr>
      </xdr:nvSpPr>
      <xdr:spPr bwMode="auto">
        <a:xfrm>
          <a:off x="1952625" y="585882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146</xdr:row>
      <xdr:rowOff>0</xdr:rowOff>
    </xdr:from>
    <xdr:to>
      <xdr:col>1</xdr:col>
      <xdr:colOff>1590675</xdr:colOff>
      <xdr:row>149</xdr:row>
      <xdr:rowOff>133350</xdr:rowOff>
    </xdr:to>
    <xdr:sp macro="" textlink="">
      <xdr:nvSpPr>
        <xdr:cNvPr id="10" name="Text Box 42"/>
        <xdr:cNvSpPr txBox="1">
          <a:spLocks noChangeArrowheads="1"/>
        </xdr:cNvSpPr>
      </xdr:nvSpPr>
      <xdr:spPr bwMode="auto">
        <a:xfrm>
          <a:off x="1952625" y="585882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146</xdr:row>
      <xdr:rowOff>0</xdr:rowOff>
    </xdr:from>
    <xdr:to>
      <xdr:col>1</xdr:col>
      <xdr:colOff>1590675</xdr:colOff>
      <xdr:row>149</xdr:row>
      <xdr:rowOff>133350</xdr:rowOff>
    </xdr:to>
    <xdr:sp macro="" textlink="">
      <xdr:nvSpPr>
        <xdr:cNvPr id="11" name="Text Box 2"/>
        <xdr:cNvSpPr txBox="1">
          <a:spLocks noChangeArrowheads="1"/>
        </xdr:cNvSpPr>
      </xdr:nvSpPr>
      <xdr:spPr bwMode="auto">
        <a:xfrm>
          <a:off x="1952625" y="585882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146</xdr:row>
      <xdr:rowOff>0</xdr:rowOff>
    </xdr:from>
    <xdr:to>
      <xdr:col>1</xdr:col>
      <xdr:colOff>1590675</xdr:colOff>
      <xdr:row>149</xdr:row>
      <xdr:rowOff>133350</xdr:rowOff>
    </xdr:to>
    <xdr:sp macro="" textlink="">
      <xdr:nvSpPr>
        <xdr:cNvPr id="12" name="Text Box 3"/>
        <xdr:cNvSpPr txBox="1">
          <a:spLocks noChangeArrowheads="1"/>
        </xdr:cNvSpPr>
      </xdr:nvSpPr>
      <xdr:spPr bwMode="auto">
        <a:xfrm>
          <a:off x="1952625" y="585882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146</xdr:row>
      <xdr:rowOff>0</xdr:rowOff>
    </xdr:from>
    <xdr:to>
      <xdr:col>1</xdr:col>
      <xdr:colOff>1590675</xdr:colOff>
      <xdr:row>149</xdr:row>
      <xdr:rowOff>133350</xdr:rowOff>
    </xdr:to>
    <xdr:sp macro="" textlink="">
      <xdr:nvSpPr>
        <xdr:cNvPr id="13" name="Text Box 41"/>
        <xdr:cNvSpPr txBox="1">
          <a:spLocks noChangeArrowheads="1"/>
        </xdr:cNvSpPr>
      </xdr:nvSpPr>
      <xdr:spPr bwMode="auto">
        <a:xfrm>
          <a:off x="1952625" y="585882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146</xdr:row>
      <xdr:rowOff>0</xdr:rowOff>
    </xdr:from>
    <xdr:to>
      <xdr:col>1</xdr:col>
      <xdr:colOff>1590675</xdr:colOff>
      <xdr:row>149</xdr:row>
      <xdr:rowOff>133350</xdr:rowOff>
    </xdr:to>
    <xdr:sp macro="" textlink="">
      <xdr:nvSpPr>
        <xdr:cNvPr id="14" name="Text Box 42"/>
        <xdr:cNvSpPr txBox="1">
          <a:spLocks noChangeArrowheads="1"/>
        </xdr:cNvSpPr>
      </xdr:nvSpPr>
      <xdr:spPr bwMode="auto">
        <a:xfrm>
          <a:off x="1952625" y="585882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146</xdr:row>
      <xdr:rowOff>0</xdr:rowOff>
    </xdr:from>
    <xdr:to>
      <xdr:col>1</xdr:col>
      <xdr:colOff>1590675</xdr:colOff>
      <xdr:row>149</xdr:row>
      <xdr:rowOff>133350</xdr:rowOff>
    </xdr:to>
    <xdr:sp macro="" textlink="">
      <xdr:nvSpPr>
        <xdr:cNvPr id="15" name="Text Box 2"/>
        <xdr:cNvSpPr txBox="1">
          <a:spLocks noChangeArrowheads="1"/>
        </xdr:cNvSpPr>
      </xdr:nvSpPr>
      <xdr:spPr bwMode="auto">
        <a:xfrm>
          <a:off x="1952625" y="585882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146</xdr:row>
      <xdr:rowOff>0</xdr:rowOff>
    </xdr:from>
    <xdr:to>
      <xdr:col>1</xdr:col>
      <xdr:colOff>1590675</xdr:colOff>
      <xdr:row>149</xdr:row>
      <xdr:rowOff>133350</xdr:rowOff>
    </xdr:to>
    <xdr:sp macro="" textlink="">
      <xdr:nvSpPr>
        <xdr:cNvPr id="16" name="Text Box 3"/>
        <xdr:cNvSpPr txBox="1">
          <a:spLocks noChangeArrowheads="1"/>
        </xdr:cNvSpPr>
      </xdr:nvSpPr>
      <xdr:spPr bwMode="auto">
        <a:xfrm>
          <a:off x="1952625" y="585882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146</xdr:row>
      <xdr:rowOff>0</xdr:rowOff>
    </xdr:from>
    <xdr:to>
      <xdr:col>1</xdr:col>
      <xdr:colOff>1590675</xdr:colOff>
      <xdr:row>149</xdr:row>
      <xdr:rowOff>133350</xdr:rowOff>
    </xdr:to>
    <xdr:sp macro="" textlink="">
      <xdr:nvSpPr>
        <xdr:cNvPr id="17" name="Text Box 41"/>
        <xdr:cNvSpPr txBox="1">
          <a:spLocks noChangeArrowheads="1"/>
        </xdr:cNvSpPr>
      </xdr:nvSpPr>
      <xdr:spPr bwMode="auto">
        <a:xfrm>
          <a:off x="1952625" y="585882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146</xdr:row>
      <xdr:rowOff>0</xdr:rowOff>
    </xdr:from>
    <xdr:to>
      <xdr:col>1</xdr:col>
      <xdr:colOff>1590675</xdr:colOff>
      <xdr:row>149</xdr:row>
      <xdr:rowOff>133350</xdr:rowOff>
    </xdr:to>
    <xdr:sp macro="" textlink="">
      <xdr:nvSpPr>
        <xdr:cNvPr id="18" name="Text Box 42"/>
        <xdr:cNvSpPr txBox="1">
          <a:spLocks noChangeArrowheads="1"/>
        </xdr:cNvSpPr>
      </xdr:nvSpPr>
      <xdr:spPr bwMode="auto">
        <a:xfrm>
          <a:off x="1952625" y="585882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153</xdr:row>
      <xdr:rowOff>0</xdr:rowOff>
    </xdr:from>
    <xdr:to>
      <xdr:col>1</xdr:col>
      <xdr:colOff>1666875</xdr:colOff>
      <xdr:row>153</xdr:row>
      <xdr:rowOff>190500</xdr:rowOff>
    </xdr:to>
    <xdr:sp macro="" textlink="">
      <xdr:nvSpPr>
        <xdr:cNvPr id="19" name="Text Box 1297"/>
        <xdr:cNvSpPr txBox="1">
          <a:spLocks noChangeArrowheads="1"/>
        </xdr:cNvSpPr>
      </xdr:nvSpPr>
      <xdr:spPr bwMode="auto">
        <a:xfrm>
          <a:off x="1952625" y="60988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153</xdr:row>
      <xdr:rowOff>0</xdr:rowOff>
    </xdr:from>
    <xdr:to>
      <xdr:col>1</xdr:col>
      <xdr:colOff>1666875</xdr:colOff>
      <xdr:row>153</xdr:row>
      <xdr:rowOff>190500</xdr:rowOff>
    </xdr:to>
    <xdr:sp macro="" textlink="">
      <xdr:nvSpPr>
        <xdr:cNvPr id="20" name="Text Box 1298"/>
        <xdr:cNvSpPr txBox="1">
          <a:spLocks noChangeArrowheads="1"/>
        </xdr:cNvSpPr>
      </xdr:nvSpPr>
      <xdr:spPr bwMode="auto">
        <a:xfrm>
          <a:off x="1952625" y="60988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176</xdr:row>
      <xdr:rowOff>0</xdr:rowOff>
    </xdr:from>
    <xdr:to>
      <xdr:col>1</xdr:col>
      <xdr:colOff>1666875</xdr:colOff>
      <xdr:row>176</xdr:row>
      <xdr:rowOff>190500</xdr:rowOff>
    </xdr:to>
    <xdr:sp macro="" textlink="">
      <xdr:nvSpPr>
        <xdr:cNvPr id="21" name="Text Box 714"/>
        <xdr:cNvSpPr txBox="1">
          <a:spLocks noChangeArrowheads="1"/>
        </xdr:cNvSpPr>
      </xdr:nvSpPr>
      <xdr:spPr bwMode="auto">
        <a:xfrm>
          <a:off x="1952625" y="691896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176</xdr:row>
      <xdr:rowOff>0</xdr:rowOff>
    </xdr:from>
    <xdr:to>
      <xdr:col>1</xdr:col>
      <xdr:colOff>1666875</xdr:colOff>
      <xdr:row>176</xdr:row>
      <xdr:rowOff>190500</xdr:rowOff>
    </xdr:to>
    <xdr:sp macro="" textlink="">
      <xdr:nvSpPr>
        <xdr:cNvPr id="22" name="Text Box 715"/>
        <xdr:cNvSpPr txBox="1">
          <a:spLocks noChangeArrowheads="1"/>
        </xdr:cNvSpPr>
      </xdr:nvSpPr>
      <xdr:spPr bwMode="auto">
        <a:xfrm>
          <a:off x="1952625" y="691896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205</xdr:row>
      <xdr:rowOff>0</xdr:rowOff>
    </xdr:from>
    <xdr:to>
      <xdr:col>1</xdr:col>
      <xdr:colOff>1666875</xdr:colOff>
      <xdr:row>205</xdr:row>
      <xdr:rowOff>190500</xdr:rowOff>
    </xdr:to>
    <xdr:sp macro="" textlink="">
      <xdr:nvSpPr>
        <xdr:cNvPr id="23" name="Text Box 1159"/>
        <xdr:cNvSpPr txBox="1">
          <a:spLocks noChangeArrowheads="1"/>
        </xdr:cNvSpPr>
      </xdr:nvSpPr>
      <xdr:spPr bwMode="auto">
        <a:xfrm>
          <a:off x="1952625" y="79990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205</xdr:row>
      <xdr:rowOff>0</xdr:rowOff>
    </xdr:from>
    <xdr:to>
      <xdr:col>1</xdr:col>
      <xdr:colOff>1666875</xdr:colOff>
      <xdr:row>205</xdr:row>
      <xdr:rowOff>190500</xdr:rowOff>
    </xdr:to>
    <xdr:sp macro="" textlink="">
      <xdr:nvSpPr>
        <xdr:cNvPr id="24" name="Text Box 1160"/>
        <xdr:cNvSpPr txBox="1">
          <a:spLocks noChangeArrowheads="1"/>
        </xdr:cNvSpPr>
      </xdr:nvSpPr>
      <xdr:spPr bwMode="auto">
        <a:xfrm>
          <a:off x="1952625" y="79990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205</xdr:row>
      <xdr:rowOff>0</xdr:rowOff>
    </xdr:from>
    <xdr:to>
      <xdr:col>1</xdr:col>
      <xdr:colOff>1666875</xdr:colOff>
      <xdr:row>205</xdr:row>
      <xdr:rowOff>190500</xdr:rowOff>
    </xdr:to>
    <xdr:sp macro="" textlink="">
      <xdr:nvSpPr>
        <xdr:cNvPr id="25" name="Text Box 1157"/>
        <xdr:cNvSpPr txBox="1">
          <a:spLocks noChangeArrowheads="1"/>
        </xdr:cNvSpPr>
      </xdr:nvSpPr>
      <xdr:spPr bwMode="auto">
        <a:xfrm>
          <a:off x="1952625" y="79990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205</xdr:row>
      <xdr:rowOff>0</xdr:rowOff>
    </xdr:from>
    <xdr:to>
      <xdr:col>1</xdr:col>
      <xdr:colOff>1666875</xdr:colOff>
      <xdr:row>205</xdr:row>
      <xdr:rowOff>190500</xdr:rowOff>
    </xdr:to>
    <xdr:sp macro="" textlink="">
      <xdr:nvSpPr>
        <xdr:cNvPr id="26" name="Text Box 1159"/>
        <xdr:cNvSpPr txBox="1">
          <a:spLocks noChangeArrowheads="1"/>
        </xdr:cNvSpPr>
      </xdr:nvSpPr>
      <xdr:spPr bwMode="auto">
        <a:xfrm>
          <a:off x="1952625" y="79990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205</xdr:row>
      <xdr:rowOff>0</xdr:rowOff>
    </xdr:from>
    <xdr:to>
      <xdr:col>1</xdr:col>
      <xdr:colOff>1666875</xdr:colOff>
      <xdr:row>205</xdr:row>
      <xdr:rowOff>190500</xdr:rowOff>
    </xdr:to>
    <xdr:sp macro="" textlink="">
      <xdr:nvSpPr>
        <xdr:cNvPr id="27" name="Text Box 1160"/>
        <xdr:cNvSpPr txBox="1">
          <a:spLocks noChangeArrowheads="1"/>
        </xdr:cNvSpPr>
      </xdr:nvSpPr>
      <xdr:spPr bwMode="auto">
        <a:xfrm>
          <a:off x="1952625" y="79990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258</xdr:row>
      <xdr:rowOff>0</xdr:rowOff>
    </xdr:from>
    <xdr:to>
      <xdr:col>1</xdr:col>
      <xdr:colOff>1666875</xdr:colOff>
      <xdr:row>258</xdr:row>
      <xdr:rowOff>190500</xdr:rowOff>
    </xdr:to>
    <xdr:sp macro="" textlink="">
      <xdr:nvSpPr>
        <xdr:cNvPr id="28" name="Text Box 703"/>
        <xdr:cNvSpPr txBox="1">
          <a:spLocks noChangeArrowheads="1"/>
        </xdr:cNvSpPr>
      </xdr:nvSpPr>
      <xdr:spPr bwMode="auto">
        <a:xfrm>
          <a:off x="1952625" y="985932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258</xdr:row>
      <xdr:rowOff>0</xdr:rowOff>
    </xdr:from>
    <xdr:to>
      <xdr:col>1</xdr:col>
      <xdr:colOff>1666875</xdr:colOff>
      <xdr:row>258</xdr:row>
      <xdr:rowOff>190500</xdr:rowOff>
    </xdr:to>
    <xdr:sp macro="" textlink="">
      <xdr:nvSpPr>
        <xdr:cNvPr id="29" name="Text Box 705"/>
        <xdr:cNvSpPr txBox="1">
          <a:spLocks noChangeArrowheads="1"/>
        </xdr:cNvSpPr>
      </xdr:nvSpPr>
      <xdr:spPr bwMode="auto">
        <a:xfrm>
          <a:off x="1952625" y="985932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258</xdr:row>
      <xdr:rowOff>0</xdr:rowOff>
    </xdr:from>
    <xdr:to>
      <xdr:col>1</xdr:col>
      <xdr:colOff>1666875</xdr:colOff>
      <xdr:row>258</xdr:row>
      <xdr:rowOff>190500</xdr:rowOff>
    </xdr:to>
    <xdr:sp macro="" textlink="">
      <xdr:nvSpPr>
        <xdr:cNvPr id="30" name="Text Box 706"/>
        <xdr:cNvSpPr txBox="1">
          <a:spLocks noChangeArrowheads="1"/>
        </xdr:cNvSpPr>
      </xdr:nvSpPr>
      <xdr:spPr bwMode="auto">
        <a:xfrm>
          <a:off x="1952625" y="985932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284</xdr:row>
      <xdr:rowOff>0</xdr:rowOff>
    </xdr:from>
    <xdr:to>
      <xdr:col>1</xdr:col>
      <xdr:colOff>1666875</xdr:colOff>
      <xdr:row>284</xdr:row>
      <xdr:rowOff>190500</xdr:rowOff>
    </xdr:to>
    <xdr:sp macro="" textlink="">
      <xdr:nvSpPr>
        <xdr:cNvPr id="31" name="Text Box 1157"/>
        <xdr:cNvSpPr txBox="1">
          <a:spLocks noChangeArrowheads="1"/>
        </xdr:cNvSpPr>
      </xdr:nvSpPr>
      <xdr:spPr bwMode="auto">
        <a:xfrm>
          <a:off x="1952625" y="1081944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284</xdr:row>
      <xdr:rowOff>0</xdr:rowOff>
    </xdr:from>
    <xdr:to>
      <xdr:col>1</xdr:col>
      <xdr:colOff>1666875</xdr:colOff>
      <xdr:row>284</xdr:row>
      <xdr:rowOff>190500</xdr:rowOff>
    </xdr:to>
    <xdr:sp macro="" textlink="">
      <xdr:nvSpPr>
        <xdr:cNvPr id="32" name="Text Box 1159"/>
        <xdr:cNvSpPr txBox="1">
          <a:spLocks noChangeArrowheads="1"/>
        </xdr:cNvSpPr>
      </xdr:nvSpPr>
      <xdr:spPr bwMode="auto">
        <a:xfrm>
          <a:off x="1952625" y="1081944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284</xdr:row>
      <xdr:rowOff>0</xdr:rowOff>
    </xdr:from>
    <xdr:to>
      <xdr:col>1</xdr:col>
      <xdr:colOff>1666875</xdr:colOff>
      <xdr:row>284</xdr:row>
      <xdr:rowOff>190500</xdr:rowOff>
    </xdr:to>
    <xdr:sp macro="" textlink="">
      <xdr:nvSpPr>
        <xdr:cNvPr id="33" name="Text Box 1160"/>
        <xdr:cNvSpPr txBox="1">
          <a:spLocks noChangeArrowheads="1"/>
        </xdr:cNvSpPr>
      </xdr:nvSpPr>
      <xdr:spPr bwMode="auto">
        <a:xfrm>
          <a:off x="1952625" y="1081944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346</xdr:row>
      <xdr:rowOff>0</xdr:rowOff>
    </xdr:from>
    <xdr:to>
      <xdr:col>1</xdr:col>
      <xdr:colOff>1666875</xdr:colOff>
      <xdr:row>346</xdr:row>
      <xdr:rowOff>190500</xdr:rowOff>
    </xdr:to>
    <xdr:sp macro="" textlink="">
      <xdr:nvSpPr>
        <xdr:cNvPr id="34" name="Text Box 1157"/>
        <xdr:cNvSpPr txBox="1">
          <a:spLocks noChangeArrowheads="1"/>
        </xdr:cNvSpPr>
      </xdr:nvSpPr>
      <xdr:spPr bwMode="auto">
        <a:xfrm>
          <a:off x="1952625" y="127196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346</xdr:row>
      <xdr:rowOff>0</xdr:rowOff>
    </xdr:from>
    <xdr:to>
      <xdr:col>1</xdr:col>
      <xdr:colOff>1666875</xdr:colOff>
      <xdr:row>346</xdr:row>
      <xdr:rowOff>190500</xdr:rowOff>
    </xdr:to>
    <xdr:sp macro="" textlink="">
      <xdr:nvSpPr>
        <xdr:cNvPr id="35" name="Text Box 1159"/>
        <xdr:cNvSpPr txBox="1">
          <a:spLocks noChangeArrowheads="1"/>
        </xdr:cNvSpPr>
      </xdr:nvSpPr>
      <xdr:spPr bwMode="auto">
        <a:xfrm>
          <a:off x="1952625" y="127196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346</xdr:row>
      <xdr:rowOff>0</xdr:rowOff>
    </xdr:from>
    <xdr:to>
      <xdr:col>1</xdr:col>
      <xdr:colOff>1666875</xdr:colOff>
      <xdr:row>346</xdr:row>
      <xdr:rowOff>190500</xdr:rowOff>
    </xdr:to>
    <xdr:sp macro="" textlink="">
      <xdr:nvSpPr>
        <xdr:cNvPr id="36" name="Text Box 1160"/>
        <xdr:cNvSpPr txBox="1">
          <a:spLocks noChangeArrowheads="1"/>
        </xdr:cNvSpPr>
      </xdr:nvSpPr>
      <xdr:spPr bwMode="auto">
        <a:xfrm>
          <a:off x="1952625" y="127196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680</xdr:row>
      <xdr:rowOff>0</xdr:rowOff>
    </xdr:from>
    <xdr:to>
      <xdr:col>1</xdr:col>
      <xdr:colOff>1666875</xdr:colOff>
      <xdr:row>680</xdr:row>
      <xdr:rowOff>190500</xdr:rowOff>
    </xdr:to>
    <xdr:sp macro="" textlink="">
      <xdr:nvSpPr>
        <xdr:cNvPr id="37" name="Text Box 1157"/>
        <xdr:cNvSpPr txBox="1">
          <a:spLocks noChangeArrowheads="1"/>
        </xdr:cNvSpPr>
      </xdr:nvSpPr>
      <xdr:spPr bwMode="auto">
        <a:xfrm>
          <a:off x="1952625" y="2412396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680</xdr:row>
      <xdr:rowOff>0</xdr:rowOff>
    </xdr:from>
    <xdr:to>
      <xdr:col>1</xdr:col>
      <xdr:colOff>1666875</xdr:colOff>
      <xdr:row>680</xdr:row>
      <xdr:rowOff>190500</xdr:rowOff>
    </xdr:to>
    <xdr:sp macro="" textlink="">
      <xdr:nvSpPr>
        <xdr:cNvPr id="38" name="Text Box 1159"/>
        <xdr:cNvSpPr txBox="1">
          <a:spLocks noChangeArrowheads="1"/>
        </xdr:cNvSpPr>
      </xdr:nvSpPr>
      <xdr:spPr bwMode="auto">
        <a:xfrm>
          <a:off x="1952625" y="2412396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680</xdr:row>
      <xdr:rowOff>0</xdr:rowOff>
    </xdr:from>
    <xdr:to>
      <xdr:col>1</xdr:col>
      <xdr:colOff>1666875</xdr:colOff>
      <xdr:row>680</xdr:row>
      <xdr:rowOff>190500</xdr:rowOff>
    </xdr:to>
    <xdr:sp macro="" textlink="">
      <xdr:nvSpPr>
        <xdr:cNvPr id="39" name="Text Box 1160"/>
        <xdr:cNvSpPr txBox="1">
          <a:spLocks noChangeArrowheads="1"/>
        </xdr:cNvSpPr>
      </xdr:nvSpPr>
      <xdr:spPr bwMode="auto">
        <a:xfrm>
          <a:off x="1952625" y="2412396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687</xdr:row>
      <xdr:rowOff>0</xdr:rowOff>
    </xdr:from>
    <xdr:to>
      <xdr:col>1</xdr:col>
      <xdr:colOff>1666875</xdr:colOff>
      <xdr:row>687</xdr:row>
      <xdr:rowOff>190500</xdr:rowOff>
    </xdr:to>
    <xdr:sp macro="" textlink="">
      <xdr:nvSpPr>
        <xdr:cNvPr id="40" name="Text Box 1157"/>
        <xdr:cNvSpPr txBox="1">
          <a:spLocks noChangeArrowheads="1"/>
        </xdr:cNvSpPr>
      </xdr:nvSpPr>
      <xdr:spPr bwMode="auto">
        <a:xfrm>
          <a:off x="1952625" y="24404002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687</xdr:row>
      <xdr:rowOff>0</xdr:rowOff>
    </xdr:from>
    <xdr:to>
      <xdr:col>1</xdr:col>
      <xdr:colOff>1666875</xdr:colOff>
      <xdr:row>687</xdr:row>
      <xdr:rowOff>190500</xdr:rowOff>
    </xdr:to>
    <xdr:sp macro="" textlink="">
      <xdr:nvSpPr>
        <xdr:cNvPr id="41" name="Text Box 1159"/>
        <xdr:cNvSpPr txBox="1">
          <a:spLocks noChangeArrowheads="1"/>
        </xdr:cNvSpPr>
      </xdr:nvSpPr>
      <xdr:spPr bwMode="auto">
        <a:xfrm>
          <a:off x="1952625" y="24404002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687</xdr:row>
      <xdr:rowOff>0</xdr:rowOff>
    </xdr:from>
    <xdr:to>
      <xdr:col>1</xdr:col>
      <xdr:colOff>1666875</xdr:colOff>
      <xdr:row>687</xdr:row>
      <xdr:rowOff>190500</xdr:rowOff>
    </xdr:to>
    <xdr:sp macro="" textlink="">
      <xdr:nvSpPr>
        <xdr:cNvPr id="42" name="Text Box 1160"/>
        <xdr:cNvSpPr txBox="1">
          <a:spLocks noChangeArrowheads="1"/>
        </xdr:cNvSpPr>
      </xdr:nvSpPr>
      <xdr:spPr bwMode="auto">
        <a:xfrm>
          <a:off x="1952625" y="24404002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688</xdr:row>
      <xdr:rowOff>0</xdr:rowOff>
    </xdr:from>
    <xdr:to>
      <xdr:col>1</xdr:col>
      <xdr:colOff>1666875</xdr:colOff>
      <xdr:row>688</xdr:row>
      <xdr:rowOff>190500</xdr:rowOff>
    </xdr:to>
    <xdr:sp macro="" textlink="">
      <xdr:nvSpPr>
        <xdr:cNvPr id="43" name="Text Box 1157"/>
        <xdr:cNvSpPr txBox="1">
          <a:spLocks noChangeArrowheads="1"/>
        </xdr:cNvSpPr>
      </xdr:nvSpPr>
      <xdr:spPr bwMode="auto">
        <a:xfrm>
          <a:off x="1952625" y="244240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688</xdr:row>
      <xdr:rowOff>0</xdr:rowOff>
    </xdr:from>
    <xdr:to>
      <xdr:col>1</xdr:col>
      <xdr:colOff>1666875</xdr:colOff>
      <xdr:row>688</xdr:row>
      <xdr:rowOff>190500</xdr:rowOff>
    </xdr:to>
    <xdr:sp macro="" textlink="">
      <xdr:nvSpPr>
        <xdr:cNvPr id="44" name="Text Box 1159"/>
        <xdr:cNvSpPr txBox="1">
          <a:spLocks noChangeArrowheads="1"/>
        </xdr:cNvSpPr>
      </xdr:nvSpPr>
      <xdr:spPr bwMode="auto">
        <a:xfrm>
          <a:off x="1952625" y="244240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688</xdr:row>
      <xdr:rowOff>0</xdr:rowOff>
    </xdr:from>
    <xdr:to>
      <xdr:col>1</xdr:col>
      <xdr:colOff>1666875</xdr:colOff>
      <xdr:row>688</xdr:row>
      <xdr:rowOff>190500</xdr:rowOff>
    </xdr:to>
    <xdr:sp macro="" textlink="">
      <xdr:nvSpPr>
        <xdr:cNvPr id="45" name="Text Box 1160"/>
        <xdr:cNvSpPr txBox="1">
          <a:spLocks noChangeArrowheads="1"/>
        </xdr:cNvSpPr>
      </xdr:nvSpPr>
      <xdr:spPr bwMode="auto">
        <a:xfrm>
          <a:off x="1952625" y="244240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692</xdr:row>
      <xdr:rowOff>0</xdr:rowOff>
    </xdr:from>
    <xdr:to>
      <xdr:col>1</xdr:col>
      <xdr:colOff>1666875</xdr:colOff>
      <xdr:row>692</xdr:row>
      <xdr:rowOff>190500</xdr:rowOff>
    </xdr:to>
    <xdr:sp macro="" textlink="">
      <xdr:nvSpPr>
        <xdr:cNvPr id="46" name="Text Box 1157"/>
        <xdr:cNvSpPr txBox="1">
          <a:spLocks noChangeArrowheads="1"/>
        </xdr:cNvSpPr>
      </xdr:nvSpPr>
      <xdr:spPr bwMode="auto">
        <a:xfrm>
          <a:off x="1952625" y="24564022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692</xdr:row>
      <xdr:rowOff>0</xdr:rowOff>
    </xdr:from>
    <xdr:to>
      <xdr:col>1</xdr:col>
      <xdr:colOff>1666875</xdr:colOff>
      <xdr:row>692</xdr:row>
      <xdr:rowOff>190500</xdr:rowOff>
    </xdr:to>
    <xdr:sp macro="" textlink="">
      <xdr:nvSpPr>
        <xdr:cNvPr id="47" name="Text Box 1159"/>
        <xdr:cNvSpPr txBox="1">
          <a:spLocks noChangeArrowheads="1"/>
        </xdr:cNvSpPr>
      </xdr:nvSpPr>
      <xdr:spPr bwMode="auto">
        <a:xfrm>
          <a:off x="1952625" y="24564022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692</xdr:row>
      <xdr:rowOff>0</xdr:rowOff>
    </xdr:from>
    <xdr:to>
      <xdr:col>1</xdr:col>
      <xdr:colOff>1666875</xdr:colOff>
      <xdr:row>692</xdr:row>
      <xdr:rowOff>190500</xdr:rowOff>
    </xdr:to>
    <xdr:sp macro="" textlink="">
      <xdr:nvSpPr>
        <xdr:cNvPr id="48" name="Text Box 1160"/>
        <xdr:cNvSpPr txBox="1">
          <a:spLocks noChangeArrowheads="1"/>
        </xdr:cNvSpPr>
      </xdr:nvSpPr>
      <xdr:spPr bwMode="auto">
        <a:xfrm>
          <a:off x="1952625" y="24564022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696</xdr:row>
      <xdr:rowOff>0</xdr:rowOff>
    </xdr:from>
    <xdr:to>
      <xdr:col>1</xdr:col>
      <xdr:colOff>1666875</xdr:colOff>
      <xdr:row>696</xdr:row>
      <xdr:rowOff>190500</xdr:rowOff>
    </xdr:to>
    <xdr:sp macro="" textlink="">
      <xdr:nvSpPr>
        <xdr:cNvPr id="49" name="Text Box 1157"/>
        <xdr:cNvSpPr txBox="1">
          <a:spLocks noChangeArrowheads="1"/>
        </xdr:cNvSpPr>
      </xdr:nvSpPr>
      <xdr:spPr bwMode="auto">
        <a:xfrm>
          <a:off x="1952625" y="2470404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696</xdr:row>
      <xdr:rowOff>0</xdr:rowOff>
    </xdr:from>
    <xdr:to>
      <xdr:col>1</xdr:col>
      <xdr:colOff>1666875</xdr:colOff>
      <xdr:row>696</xdr:row>
      <xdr:rowOff>190500</xdr:rowOff>
    </xdr:to>
    <xdr:sp macro="" textlink="">
      <xdr:nvSpPr>
        <xdr:cNvPr id="50" name="Text Box 1159"/>
        <xdr:cNvSpPr txBox="1">
          <a:spLocks noChangeArrowheads="1"/>
        </xdr:cNvSpPr>
      </xdr:nvSpPr>
      <xdr:spPr bwMode="auto">
        <a:xfrm>
          <a:off x="1952625" y="2470404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696</xdr:row>
      <xdr:rowOff>0</xdr:rowOff>
    </xdr:from>
    <xdr:to>
      <xdr:col>1</xdr:col>
      <xdr:colOff>1666875</xdr:colOff>
      <xdr:row>696</xdr:row>
      <xdr:rowOff>190500</xdr:rowOff>
    </xdr:to>
    <xdr:sp macro="" textlink="">
      <xdr:nvSpPr>
        <xdr:cNvPr id="51" name="Text Box 1160"/>
        <xdr:cNvSpPr txBox="1">
          <a:spLocks noChangeArrowheads="1"/>
        </xdr:cNvSpPr>
      </xdr:nvSpPr>
      <xdr:spPr bwMode="auto">
        <a:xfrm>
          <a:off x="1952625" y="2470404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700</xdr:row>
      <xdr:rowOff>0</xdr:rowOff>
    </xdr:from>
    <xdr:to>
      <xdr:col>1</xdr:col>
      <xdr:colOff>1666875</xdr:colOff>
      <xdr:row>700</xdr:row>
      <xdr:rowOff>190500</xdr:rowOff>
    </xdr:to>
    <xdr:sp macro="" textlink="">
      <xdr:nvSpPr>
        <xdr:cNvPr id="52" name="Text Box 1157"/>
        <xdr:cNvSpPr txBox="1">
          <a:spLocks noChangeArrowheads="1"/>
        </xdr:cNvSpPr>
      </xdr:nvSpPr>
      <xdr:spPr bwMode="auto">
        <a:xfrm>
          <a:off x="1952625" y="2482405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700</xdr:row>
      <xdr:rowOff>0</xdr:rowOff>
    </xdr:from>
    <xdr:to>
      <xdr:col>1</xdr:col>
      <xdr:colOff>1666875</xdr:colOff>
      <xdr:row>700</xdr:row>
      <xdr:rowOff>190500</xdr:rowOff>
    </xdr:to>
    <xdr:sp macro="" textlink="">
      <xdr:nvSpPr>
        <xdr:cNvPr id="53" name="Text Box 1159"/>
        <xdr:cNvSpPr txBox="1">
          <a:spLocks noChangeArrowheads="1"/>
        </xdr:cNvSpPr>
      </xdr:nvSpPr>
      <xdr:spPr bwMode="auto">
        <a:xfrm>
          <a:off x="1952625" y="2482405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700</xdr:row>
      <xdr:rowOff>0</xdr:rowOff>
    </xdr:from>
    <xdr:to>
      <xdr:col>1</xdr:col>
      <xdr:colOff>1666875</xdr:colOff>
      <xdr:row>700</xdr:row>
      <xdr:rowOff>190500</xdr:rowOff>
    </xdr:to>
    <xdr:sp macro="" textlink="">
      <xdr:nvSpPr>
        <xdr:cNvPr id="54" name="Text Box 1160"/>
        <xdr:cNvSpPr txBox="1">
          <a:spLocks noChangeArrowheads="1"/>
        </xdr:cNvSpPr>
      </xdr:nvSpPr>
      <xdr:spPr bwMode="auto">
        <a:xfrm>
          <a:off x="1952625" y="2482405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703</xdr:row>
      <xdr:rowOff>0</xdr:rowOff>
    </xdr:from>
    <xdr:to>
      <xdr:col>1</xdr:col>
      <xdr:colOff>1666875</xdr:colOff>
      <xdr:row>703</xdr:row>
      <xdr:rowOff>190500</xdr:rowOff>
    </xdr:to>
    <xdr:sp macro="" textlink="">
      <xdr:nvSpPr>
        <xdr:cNvPr id="55" name="Text Box 1157"/>
        <xdr:cNvSpPr txBox="1">
          <a:spLocks noChangeArrowheads="1"/>
        </xdr:cNvSpPr>
      </xdr:nvSpPr>
      <xdr:spPr bwMode="auto">
        <a:xfrm>
          <a:off x="1952625" y="24964072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703</xdr:row>
      <xdr:rowOff>0</xdr:rowOff>
    </xdr:from>
    <xdr:to>
      <xdr:col>1</xdr:col>
      <xdr:colOff>1666875</xdr:colOff>
      <xdr:row>703</xdr:row>
      <xdr:rowOff>190500</xdr:rowOff>
    </xdr:to>
    <xdr:sp macro="" textlink="">
      <xdr:nvSpPr>
        <xdr:cNvPr id="56" name="Text Box 1159"/>
        <xdr:cNvSpPr txBox="1">
          <a:spLocks noChangeArrowheads="1"/>
        </xdr:cNvSpPr>
      </xdr:nvSpPr>
      <xdr:spPr bwMode="auto">
        <a:xfrm>
          <a:off x="1952625" y="24964072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703</xdr:row>
      <xdr:rowOff>0</xdr:rowOff>
    </xdr:from>
    <xdr:to>
      <xdr:col>1</xdr:col>
      <xdr:colOff>1666875</xdr:colOff>
      <xdr:row>703</xdr:row>
      <xdr:rowOff>190500</xdr:rowOff>
    </xdr:to>
    <xdr:sp macro="" textlink="">
      <xdr:nvSpPr>
        <xdr:cNvPr id="57" name="Text Box 1160"/>
        <xdr:cNvSpPr txBox="1">
          <a:spLocks noChangeArrowheads="1"/>
        </xdr:cNvSpPr>
      </xdr:nvSpPr>
      <xdr:spPr bwMode="auto">
        <a:xfrm>
          <a:off x="1952625" y="24964072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704</xdr:row>
      <xdr:rowOff>0</xdr:rowOff>
    </xdr:from>
    <xdr:to>
      <xdr:col>1</xdr:col>
      <xdr:colOff>1666875</xdr:colOff>
      <xdr:row>704</xdr:row>
      <xdr:rowOff>190500</xdr:rowOff>
    </xdr:to>
    <xdr:sp macro="" textlink="">
      <xdr:nvSpPr>
        <xdr:cNvPr id="58" name="Text Box 1159"/>
        <xdr:cNvSpPr txBox="1">
          <a:spLocks noChangeArrowheads="1"/>
        </xdr:cNvSpPr>
      </xdr:nvSpPr>
      <xdr:spPr bwMode="auto">
        <a:xfrm>
          <a:off x="1952625" y="2498407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704</xdr:row>
      <xdr:rowOff>0</xdr:rowOff>
    </xdr:from>
    <xdr:to>
      <xdr:col>1</xdr:col>
      <xdr:colOff>1666875</xdr:colOff>
      <xdr:row>704</xdr:row>
      <xdr:rowOff>190500</xdr:rowOff>
    </xdr:to>
    <xdr:sp macro="" textlink="">
      <xdr:nvSpPr>
        <xdr:cNvPr id="59" name="Text Box 1160"/>
        <xdr:cNvSpPr txBox="1">
          <a:spLocks noChangeArrowheads="1"/>
        </xdr:cNvSpPr>
      </xdr:nvSpPr>
      <xdr:spPr bwMode="auto">
        <a:xfrm>
          <a:off x="1952625" y="2498407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704</xdr:row>
      <xdr:rowOff>0</xdr:rowOff>
    </xdr:from>
    <xdr:to>
      <xdr:col>1</xdr:col>
      <xdr:colOff>1666875</xdr:colOff>
      <xdr:row>704</xdr:row>
      <xdr:rowOff>190500</xdr:rowOff>
    </xdr:to>
    <xdr:sp macro="" textlink="">
      <xdr:nvSpPr>
        <xdr:cNvPr id="60" name="Text Box 1157"/>
        <xdr:cNvSpPr txBox="1">
          <a:spLocks noChangeArrowheads="1"/>
        </xdr:cNvSpPr>
      </xdr:nvSpPr>
      <xdr:spPr bwMode="auto">
        <a:xfrm>
          <a:off x="1952625" y="2498407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704</xdr:row>
      <xdr:rowOff>0</xdr:rowOff>
    </xdr:from>
    <xdr:to>
      <xdr:col>1</xdr:col>
      <xdr:colOff>1666875</xdr:colOff>
      <xdr:row>704</xdr:row>
      <xdr:rowOff>190500</xdr:rowOff>
    </xdr:to>
    <xdr:sp macro="" textlink="">
      <xdr:nvSpPr>
        <xdr:cNvPr id="61" name="Text Box 1159"/>
        <xdr:cNvSpPr txBox="1">
          <a:spLocks noChangeArrowheads="1"/>
        </xdr:cNvSpPr>
      </xdr:nvSpPr>
      <xdr:spPr bwMode="auto">
        <a:xfrm>
          <a:off x="1952625" y="2498407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704</xdr:row>
      <xdr:rowOff>0</xdr:rowOff>
    </xdr:from>
    <xdr:to>
      <xdr:col>1</xdr:col>
      <xdr:colOff>1666875</xdr:colOff>
      <xdr:row>704</xdr:row>
      <xdr:rowOff>190500</xdr:rowOff>
    </xdr:to>
    <xdr:sp macro="" textlink="">
      <xdr:nvSpPr>
        <xdr:cNvPr id="62" name="Text Box 1160"/>
        <xdr:cNvSpPr txBox="1">
          <a:spLocks noChangeArrowheads="1"/>
        </xdr:cNvSpPr>
      </xdr:nvSpPr>
      <xdr:spPr bwMode="auto">
        <a:xfrm>
          <a:off x="1952625" y="2498407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705</xdr:row>
      <xdr:rowOff>0</xdr:rowOff>
    </xdr:from>
    <xdr:to>
      <xdr:col>1</xdr:col>
      <xdr:colOff>1666875</xdr:colOff>
      <xdr:row>705</xdr:row>
      <xdr:rowOff>190500</xdr:rowOff>
    </xdr:to>
    <xdr:sp macro="" textlink="">
      <xdr:nvSpPr>
        <xdr:cNvPr id="63" name="Text Box 1159"/>
        <xdr:cNvSpPr txBox="1">
          <a:spLocks noChangeArrowheads="1"/>
        </xdr:cNvSpPr>
      </xdr:nvSpPr>
      <xdr:spPr bwMode="auto">
        <a:xfrm>
          <a:off x="1952625" y="2500407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705</xdr:row>
      <xdr:rowOff>0</xdr:rowOff>
    </xdr:from>
    <xdr:to>
      <xdr:col>1</xdr:col>
      <xdr:colOff>1666875</xdr:colOff>
      <xdr:row>705</xdr:row>
      <xdr:rowOff>190500</xdr:rowOff>
    </xdr:to>
    <xdr:sp macro="" textlink="">
      <xdr:nvSpPr>
        <xdr:cNvPr id="64" name="Text Box 1157"/>
        <xdr:cNvSpPr txBox="1">
          <a:spLocks noChangeArrowheads="1"/>
        </xdr:cNvSpPr>
      </xdr:nvSpPr>
      <xdr:spPr bwMode="auto">
        <a:xfrm>
          <a:off x="1952625" y="2500407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705</xdr:row>
      <xdr:rowOff>0</xdr:rowOff>
    </xdr:from>
    <xdr:to>
      <xdr:col>1</xdr:col>
      <xdr:colOff>1666875</xdr:colOff>
      <xdr:row>705</xdr:row>
      <xdr:rowOff>190500</xdr:rowOff>
    </xdr:to>
    <xdr:sp macro="" textlink="">
      <xdr:nvSpPr>
        <xdr:cNvPr id="65" name="Text Box 1159"/>
        <xdr:cNvSpPr txBox="1">
          <a:spLocks noChangeArrowheads="1"/>
        </xdr:cNvSpPr>
      </xdr:nvSpPr>
      <xdr:spPr bwMode="auto">
        <a:xfrm>
          <a:off x="1952625" y="2500407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705</xdr:row>
      <xdr:rowOff>0</xdr:rowOff>
    </xdr:from>
    <xdr:to>
      <xdr:col>1</xdr:col>
      <xdr:colOff>1666875</xdr:colOff>
      <xdr:row>705</xdr:row>
      <xdr:rowOff>190500</xdr:rowOff>
    </xdr:to>
    <xdr:sp macro="" textlink="">
      <xdr:nvSpPr>
        <xdr:cNvPr id="66" name="Text Box 1160"/>
        <xdr:cNvSpPr txBox="1">
          <a:spLocks noChangeArrowheads="1"/>
        </xdr:cNvSpPr>
      </xdr:nvSpPr>
      <xdr:spPr bwMode="auto">
        <a:xfrm>
          <a:off x="1952625" y="2500407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706</xdr:row>
      <xdr:rowOff>0</xdr:rowOff>
    </xdr:from>
    <xdr:to>
      <xdr:col>1</xdr:col>
      <xdr:colOff>1666875</xdr:colOff>
      <xdr:row>706</xdr:row>
      <xdr:rowOff>190500</xdr:rowOff>
    </xdr:to>
    <xdr:sp macro="" textlink="">
      <xdr:nvSpPr>
        <xdr:cNvPr id="67" name="Text Box 1159"/>
        <xdr:cNvSpPr txBox="1">
          <a:spLocks noChangeArrowheads="1"/>
        </xdr:cNvSpPr>
      </xdr:nvSpPr>
      <xdr:spPr bwMode="auto">
        <a:xfrm>
          <a:off x="1952625" y="25044082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706</xdr:row>
      <xdr:rowOff>0</xdr:rowOff>
    </xdr:from>
    <xdr:to>
      <xdr:col>1</xdr:col>
      <xdr:colOff>1666875</xdr:colOff>
      <xdr:row>706</xdr:row>
      <xdr:rowOff>190500</xdr:rowOff>
    </xdr:to>
    <xdr:sp macro="" textlink="">
      <xdr:nvSpPr>
        <xdr:cNvPr id="68" name="Text Box 1160"/>
        <xdr:cNvSpPr txBox="1">
          <a:spLocks noChangeArrowheads="1"/>
        </xdr:cNvSpPr>
      </xdr:nvSpPr>
      <xdr:spPr bwMode="auto">
        <a:xfrm>
          <a:off x="1952625" y="25044082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706</xdr:row>
      <xdr:rowOff>0</xdr:rowOff>
    </xdr:from>
    <xdr:to>
      <xdr:col>1</xdr:col>
      <xdr:colOff>1666875</xdr:colOff>
      <xdr:row>706</xdr:row>
      <xdr:rowOff>190500</xdr:rowOff>
    </xdr:to>
    <xdr:sp macro="" textlink="">
      <xdr:nvSpPr>
        <xdr:cNvPr id="69" name="Text Box 1157"/>
        <xdr:cNvSpPr txBox="1">
          <a:spLocks noChangeArrowheads="1"/>
        </xdr:cNvSpPr>
      </xdr:nvSpPr>
      <xdr:spPr bwMode="auto">
        <a:xfrm>
          <a:off x="1952625" y="25044082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706</xdr:row>
      <xdr:rowOff>0</xdr:rowOff>
    </xdr:from>
    <xdr:to>
      <xdr:col>1</xdr:col>
      <xdr:colOff>1666875</xdr:colOff>
      <xdr:row>706</xdr:row>
      <xdr:rowOff>190500</xdr:rowOff>
    </xdr:to>
    <xdr:sp macro="" textlink="">
      <xdr:nvSpPr>
        <xdr:cNvPr id="70" name="Text Box 1159"/>
        <xdr:cNvSpPr txBox="1">
          <a:spLocks noChangeArrowheads="1"/>
        </xdr:cNvSpPr>
      </xdr:nvSpPr>
      <xdr:spPr bwMode="auto">
        <a:xfrm>
          <a:off x="1952625" y="25044082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706</xdr:row>
      <xdr:rowOff>0</xdr:rowOff>
    </xdr:from>
    <xdr:to>
      <xdr:col>1</xdr:col>
      <xdr:colOff>1666875</xdr:colOff>
      <xdr:row>706</xdr:row>
      <xdr:rowOff>190500</xdr:rowOff>
    </xdr:to>
    <xdr:sp macro="" textlink="">
      <xdr:nvSpPr>
        <xdr:cNvPr id="71" name="Text Box 1160"/>
        <xdr:cNvSpPr txBox="1">
          <a:spLocks noChangeArrowheads="1"/>
        </xdr:cNvSpPr>
      </xdr:nvSpPr>
      <xdr:spPr bwMode="auto">
        <a:xfrm>
          <a:off x="1952625" y="25044082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708</xdr:row>
      <xdr:rowOff>0</xdr:rowOff>
    </xdr:from>
    <xdr:to>
      <xdr:col>1</xdr:col>
      <xdr:colOff>1666875</xdr:colOff>
      <xdr:row>708</xdr:row>
      <xdr:rowOff>190500</xdr:rowOff>
    </xdr:to>
    <xdr:sp macro="" textlink="">
      <xdr:nvSpPr>
        <xdr:cNvPr id="72" name="Text Box 1159"/>
        <xdr:cNvSpPr txBox="1">
          <a:spLocks noChangeArrowheads="1"/>
        </xdr:cNvSpPr>
      </xdr:nvSpPr>
      <xdr:spPr bwMode="auto">
        <a:xfrm>
          <a:off x="1952625" y="2510409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708</xdr:row>
      <xdr:rowOff>0</xdr:rowOff>
    </xdr:from>
    <xdr:to>
      <xdr:col>1</xdr:col>
      <xdr:colOff>1666875</xdr:colOff>
      <xdr:row>708</xdr:row>
      <xdr:rowOff>190500</xdr:rowOff>
    </xdr:to>
    <xdr:sp macro="" textlink="">
      <xdr:nvSpPr>
        <xdr:cNvPr id="73" name="Text Box 1160"/>
        <xdr:cNvSpPr txBox="1">
          <a:spLocks noChangeArrowheads="1"/>
        </xdr:cNvSpPr>
      </xdr:nvSpPr>
      <xdr:spPr bwMode="auto">
        <a:xfrm>
          <a:off x="1952625" y="2510409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708</xdr:row>
      <xdr:rowOff>0</xdr:rowOff>
    </xdr:from>
    <xdr:to>
      <xdr:col>1</xdr:col>
      <xdr:colOff>1666875</xdr:colOff>
      <xdr:row>708</xdr:row>
      <xdr:rowOff>190500</xdr:rowOff>
    </xdr:to>
    <xdr:sp macro="" textlink="">
      <xdr:nvSpPr>
        <xdr:cNvPr id="74" name="Text Box 1157"/>
        <xdr:cNvSpPr txBox="1">
          <a:spLocks noChangeArrowheads="1"/>
        </xdr:cNvSpPr>
      </xdr:nvSpPr>
      <xdr:spPr bwMode="auto">
        <a:xfrm>
          <a:off x="1952625" y="2510409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708</xdr:row>
      <xdr:rowOff>0</xdr:rowOff>
    </xdr:from>
    <xdr:to>
      <xdr:col>1</xdr:col>
      <xdr:colOff>1666875</xdr:colOff>
      <xdr:row>708</xdr:row>
      <xdr:rowOff>190500</xdr:rowOff>
    </xdr:to>
    <xdr:sp macro="" textlink="">
      <xdr:nvSpPr>
        <xdr:cNvPr id="75" name="Text Box 1159"/>
        <xdr:cNvSpPr txBox="1">
          <a:spLocks noChangeArrowheads="1"/>
        </xdr:cNvSpPr>
      </xdr:nvSpPr>
      <xdr:spPr bwMode="auto">
        <a:xfrm>
          <a:off x="1952625" y="2510409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708</xdr:row>
      <xdr:rowOff>0</xdr:rowOff>
    </xdr:from>
    <xdr:to>
      <xdr:col>1</xdr:col>
      <xdr:colOff>1666875</xdr:colOff>
      <xdr:row>708</xdr:row>
      <xdr:rowOff>190500</xdr:rowOff>
    </xdr:to>
    <xdr:sp macro="" textlink="">
      <xdr:nvSpPr>
        <xdr:cNvPr id="76" name="Text Box 1160"/>
        <xdr:cNvSpPr txBox="1">
          <a:spLocks noChangeArrowheads="1"/>
        </xdr:cNvSpPr>
      </xdr:nvSpPr>
      <xdr:spPr bwMode="auto">
        <a:xfrm>
          <a:off x="1952625" y="2510409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708</xdr:row>
      <xdr:rowOff>0</xdr:rowOff>
    </xdr:from>
    <xdr:to>
      <xdr:col>1</xdr:col>
      <xdr:colOff>1666875</xdr:colOff>
      <xdr:row>708</xdr:row>
      <xdr:rowOff>190500</xdr:rowOff>
    </xdr:to>
    <xdr:sp macro="" textlink="">
      <xdr:nvSpPr>
        <xdr:cNvPr id="77" name="Text Box 1157"/>
        <xdr:cNvSpPr txBox="1">
          <a:spLocks noChangeArrowheads="1"/>
        </xdr:cNvSpPr>
      </xdr:nvSpPr>
      <xdr:spPr bwMode="auto">
        <a:xfrm>
          <a:off x="1952625" y="2510409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708</xdr:row>
      <xdr:rowOff>0</xdr:rowOff>
    </xdr:from>
    <xdr:to>
      <xdr:col>1</xdr:col>
      <xdr:colOff>1666875</xdr:colOff>
      <xdr:row>708</xdr:row>
      <xdr:rowOff>190500</xdr:rowOff>
    </xdr:to>
    <xdr:sp macro="" textlink="">
      <xdr:nvSpPr>
        <xdr:cNvPr id="78" name="Text Box 1159"/>
        <xdr:cNvSpPr txBox="1">
          <a:spLocks noChangeArrowheads="1"/>
        </xdr:cNvSpPr>
      </xdr:nvSpPr>
      <xdr:spPr bwMode="auto">
        <a:xfrm>
          <a:off x="1952625" y="2510409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708</xdr:row>
      <xdr:rowOff>0</xdr:rowOff>
    </xdr:from>
    <xdr:to>
      <xdr:col>1</xdr:col>
      <xdr:colOff>1666875</xdr:colOff>
      <xdr:row>708</xdr:row>
      <xdr:rowOff>190500</xdr:rowOff>
    </xdr:to>
    <xdr:sp macro="" textlink="">
      <xdr:nvSpPr>
        <xdr:cNvPr id="79" name="Text Box 1160"/>
        <xdr:cNvSpPr txBox="1">
          <a:spLocks noChangeArrowheads="1"/>
        </xdr:cNvSpPr>
      </xdr:nvSpPr>
      <xdr:spPr bwMode="auto">
        <a:xfrm>
          <a:off x="1952625" y="2510409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709</xdr:row>
      <xdr:rowOff>0</xdr:rowOff>
    </xdr:from>
    <xdr:to>
      <xdr:col>1</xdr:col>
      <xdr:colOff>1666875</xdr:colOff>
      <xdr:row>709</xdr:row>
      <xdr:rowOff>190500</xdr:rowOff>
    </xdr:to>
    <xdr:sp macro="" textlink="">
      <xdr:nvSpPr>
        <xdr:cNvPr id="80" name="Text Box 1159"/>
        <xdr:cNvSpPr txBox="1">
          <a:spLocks noChangeArrowheads="1"/>
        </xdr:cNvSpPr>
      </xdr:nvSpPr>
      <xdr:spPr bwMode="auto">
        <a:xfrm>
          <a:off x="1952625" y="25124092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709</xdr:row>
      <xdr:rowOff>0</xdr:rowOff>
    </xdr:from>
    <xdr:to>
      <xdr:col>1</xdr:col>
      <xdr:colOff>1666875</xdr:colOff>
      <xdr:row>709</xdr:row>
      <xdr:rowOff>190500</xdr:rowOff>
    </xdr:to>
    <xdr:sp macro="" textlink="">
      <xdr:nvSpPr>
        <xdr:cNvPr id="81" name="Text Box 1160"/>
        <xdr:cNvSpPr txBox="1">
          <a:spLocks noChangeArrowheads="1"/>
        </xdr:cNvSpPr>
      </xdr:nvSpPr>
      <xdr:spPr bwMode="auto">
        <a:xfrm>
          <a:off x="1952625" y="25124092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709</xdr:row>
      <xdr:rowOff>0</xdr:rowOff>
    </xdr:from>
    <xdr:to>
      <xdr:col>1</xdr:col>
      <xdr:colOff>1666875</xdr:colOff>
      <xdr:row>709</xdr:row>
      <xdr:rowOff>190500</xdr:rowOff>
    </xdr:to>
    <xdr:sp macro="" textlink="">
      <xdr:nvSpPr>
        <xdr:cNvPr id="82" name="Text Box 1157"/>
        <xdr:cNvSpPr txBox="1">
          <a:spLocks noChangeArrowheads="1"/>
        </xdr:cNvSpPr>
      </xdr:nvSpPr>
      <xdr:spPr bwMode="auto">
        <a:xfrm>
          <a:off x="1952625" y="25124092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709</xdr:row>
      <xdr:rowOff>0</xdr:rowOff>
    </xdr:from>
    <xdr:to>
      <xdr:col>1</xdr:col>
      <xdr:colOff>1666875</xdr:colOff>
      <xdr:row>709</xdr:row>
      <xdr:rowOff>190500</xdr:rowOff>
    </xdr:to>
    <xdr:sp macro="" textlink="">
      <xdr:nvSpPr>
        <xdr:cNvPr id="83" name="Text Box 1159"/>
        <xdr:cNvSpPr txBox="1">
          <a:spLocks noChangeArrowheads="1"/>
        </xdr:cNvSpPr>
      </xdr:nvSpPr>
      <xdr:spPr bwMode="auto">
        <a:xfrm>
          <a:off x="1952625" y="25124092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709</xdr:row>
      <xdr:rowOff>0</xdr:rowOff>
    </xdr:from>
    <xdr:to>
      <xdr:col>1</xdr:col>
      <xdr:colOff>1666875</xdr:colOff>
      <xdr:row>709</xdr:row>
      <xdr:rowOff>190500</xdr:rowOff>
    </xdr:to>
    <xdr:sp macro="" textlink="">
      <xdr:nvSpPr>
        <xdr:cNvPr id="84" name="Text Box 1160"/>
        <xdr:cNvSpPr txBox="1">
          <a:spLocks noChangeArrowheads="1"/>
        </xdr:cNvSpPr>
      </xdr:nvSpPr>
      <xdr:spPr bwMode="auto">
        <a:xfrm>
          <a:off x="1952625" y="25124092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712</xdr:row>
      <xdr:rowOff>0</xdr:rowOff>
    </xdr:from>
    <xdr:to>
      <xdr:col>1</xdr:col>
      <xdr:colOff>1666875</xdr:colOff>
      <xdr:row>712</xdr:row>
      <xdr:rowOff>190500</xdr:rowOff>
    </xdr:to>
    <xdr:sp macro="" textlink="">
      <xdr:nvSpPr>
        <xdr:cNvPr id="85" name="Text Box 1157"/>
        <xdr:cNvSpPr txBox="1">
          <a:spLocks noChangeArrowheads="1"/>
        </xdr:cNvSpPr>
      </xdr:nvSpPr>
      <xdr:spPr bwMode="auto">
        <a:xfrm>
          <a:off x="1952625" y="252241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712</xdr:row>
      <xdr:rowOff>0</xdr:rowOff>
    </xdr:from>
    <xdr:to>
      <xdr:col>1</xdr:col>
      <xdr:colOff>1666875</xdr:colOff>
      <xdr:row>712</xdr:row>
      <xdr:rowOff>190500</xdr:rowOff>
    </xdr:to>
    <xdr:sp macro="" textlink="">
      <xdr:nvSpPr>
        <xdr:cNvPr id="86" name="Text Box 1159"/>
        <xdr:cNvSpPr txBox="1">
          <a:spLocks noChangeArrowheads="1"/>
        </xdr:cNvSpPr>
      </xdr:nvSpPr>
      <xdr:spPr bwMode="auto">
        <a:xfrm>
          <a:off x="1952625" y="252241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712</xdr:row>
      <xdr:rowOff>0</xdr:rowOff>
    </xdr:from>
    <xdr:to>
      <xdr:col>1</xdr:col>
      <xdr:colOff>1666875</xdr:colOff>
      <xdr:row>712</xdr:row>
      <xdr:rowOff>190500</xdr:rowOff>
    </xdr:to>
    <xdr:sp macro="" textlink="">
      <xdr:nvSpPr>
        <xdr:cNvPr id="87" name="Text Box 1160"/>
        <xdr:cNvSpPr txBox="1">
          <a:spLocks noChangeArrowheads="1"/>
        </xdr:cNvSpPr>
      </xdr:nvSpPr>
      <xdr:spPr bwMode="auto">
        <a:xfrm>
          <a:off x="1952625" y="252241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713</xdr:row>
      <xdr:rowOff>0</xdr:rowOff>
    </xdr:from>
    <xdr:to>
      <xdr:col>1</xdr:col>
      <xdr:colOff>1666875</xdr:colOff>
      <xdr:row>713</xdr:row>
      <xdr:rowOff>190500</xdr:rowOff>
    </xdr:to>
    <xdr:sp macro="" textlink="">
      <xdr:nvSpPr>
        <xdr:cNvPr id="88" name="Text Box 1159"/>
        <xdr:cNvSpPr txBox="1">
          <a:spLocks noChangeArrowheads="1"/>
        </xdr:cNvSpPr>
      </xdr:nvSpPr>
      <xdr:spPr bwMode="auto">
        <a:xfrm>
          <a:off x="1952625" y="2524410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713</xdr:row>
      <xdr:rowOff>0</xdr:rowOff>
    </xdr:from>
    <xdr:to>
      <xdr:col>1</xdr:col>
      <xdr:colOff>1666875</xdr:colOff>
      <xdr:row>713</xdr:row>
      <xdr:rowOff>190500</xdr:rowOff>
    </xdr:to>
    <xdr:sp macro="" textlink="">
      <xdr:nvSpPr>
        <xdr:cNvPr id="89" name="Text Box 1160"/>
        <xdr:cNvSpPr txBox="1">
          <a:spLocks noChangeArrowheads="1"/>
        </xdr:cNvSpPr>
      </xdr:nvSpPr>
      <xdr:spPr bwMode="auto">
        <a:xfrm>
          <a:off x="1952625" y="2524410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713</xdr:row>
      <xdr:rowOff>0</xdr:rowOff>
    </xdr:from>
    <xdr:to>
      <xdr:col>1</xdr:col>
      <xdr:colOff>1666875</xdr:colOff>
      <xdr:row>713</xdr:row>
      <xdr:rowOff>190500</xdr:rowOff>
    </xdr:to>
    <xdr:sp macro="" textlink="">
      <xdr:nvSpPr>
        <xdr:cNvPr id="90" name="Text Box 1157"/>
        <xdr:cNvSpPr txBox="1">
          <a:spLocks noChangeArrowheads="1"/>
        </xdr:cNvSpPr>
      </xdr:nvSpPr>
      <xdr:spPr bwMode="auto">
        <a:xfrm>
          <a:off x="1952625" y="2524410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713</xdr:row>
      <xdr:rowOff>0</xdr:rowOff>
    </xdr:from>
    <xdr:to>
      <xdr:col>1</xdr:col>
      <xdr:colOff>1666875</xdr:colOff>
      <xdr:row>713</xdr:row>
      <xdr:rowOff>190500</xdr:rowOff>
    </xdr:to>
    <xdr:sp macro="" textlink="">
      <xdr:nvSpPr>
        <xdr:cNvPr id="91" name="Text Box 1159"/>
        <xdr:cNvSpPr txBox="1">
          <a:spLocks noChangeArrowheads="1"/>
        </xdr:cNvSpPr>
      </xdr:nvSpPr>
      <xdr:spPr bwMode="auto">
        <a:xfrm>
          <a:off x="1952625" y="2524410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713</xdr:row>
      <xdr:rowOff>0</xdr:rowOff>
    </xdr:from>
    <xdr:to>
      <xdr:col>1</xdr:col>
      <xdr:colOff>1666875</xdr:colOff>
      <xdr:row>713</xdr:row>
      <xdr:rowOff>190500</xdr:rowOff>
    </xdr:to>
    <xdr:sp macro="" textlink="">
      <xdr:nvSpPr>
        <xdr:cNvPr id="92" name="Text Box 1160"/>
        <xdr:cNvSpPr txBox="1">
          <a:spLocks noChangeArrowheads="1"/>
        </xdr:cNvSpPr>
      </xdr:nvSpPr>
      <xdr:spPr bwMode="auto">
        <a:xfrm>
          <a:off x="1952625" y="2524410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716</xdr:row>
      <xdr:rowOff>0</xdr:rowOff>
    </xdr:from>
    <xdr:to>
      <xdr:col>1</xdr:col>
      <xdr:colOff>1666875</xdr:colOff>
      <xdr:row>716</xdr:row>
      <xdr:rowOff>190500</xdr:rowOff>
    </xdr:to>
    <xdr:sp macro="" textlink="">
      <xdr:nvSpPr>
        <xdr:cNvPr id="93" name="Text Box 1159"/>
        <xdr:cNvSpPr txBox="1">
          <a:spLocks noChangeArrowheads="1"/>
        </xdr:cNvSpPr>
      </xdr:nvSpPr>
      <xdr:spPr bwMode="auto">
        <a:xfrm>
          <a:off x="1952625" y="2534412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716</xdr:row>
      <xdr:rowOff>0</xdr:rowOff>
    </xdr:from>
    <xdr:to>
      <xdr:col>1</xdr:col>
      <xdr:colOff>1666875</xdr:colOff>
      <xdr:row>716</xdr:row>
      <xdr:rowOff>190500</xdr:rowOff>
    </xdr:to>
    <xdr:sp macro="" textlink="">
      <xdr:nvSpPr>
        <xdr:cNvPr id="94" name="Text Box 1160"/>
        <xdr:cNvSpPr txBox="1">
          <a:spLocks noChangeArrowheads="1"/>
        </xdr:cNvSpPr>
      </xdr:nvSpPr>
      <xdr:spPr bwMode="auto">
        <a:xfrm>
          <a:off x="1952625" y="2534412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716</xdr:row>
      <xdr:rowOff>0</xdr:rowOff>
    </xdr:from>
    <xdr:to>
      <xdr:col>1</xdr:col>
      <xdr:colOff>1666875</xdr:colOff>
      <xdr:row>716</xdr:row>
      <xdr:rowOff>190500</xdr:rowOff>
    </xdr:to>
    <xdr:sp macro="" textlink="">
      <xdr:nvSpPr>
        <xdr:cNvPr id="95" name="Text Box 1157"/>
        <xdr:cNvSpPr txBox="1">
          <a:spLocks noChangeArrowheads="1"/>
        </xdr:cNvSpPr>
      </xdr:nvSpPr>
      <xdr:spPr bwMode="auto">
        <a:xfrm>
          <a:off x="1952625" y="2534412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716</xdr:row>
      <xdr:rowOff>0</xdr:rowOff>
    </xdr:from>
    <xdr:to>
      <xdr:col>1</xdr:col>
      <xdr:colOff>1666875</xdr:colOff>
      <xdr:row>716</xdr:row>
      <xdr:rowOff>190500</xdr:rowOff>
    </xdr:to>
    <xdr:sp macro="" textlink="">
      <xdr:nvSpPr>
        <xdr:cNvPr id="96" name="Text Box 1159"/>
        <xdr:cNvSpPr txBox="1">
          <a:spLocks noChangeArrowheads="1"/>
        </xdr:cNvSpPr>
      </xdr:nvSpPr>
      <xdr:spPr bwMode="auto">
        <a:xfrm>
          <a:off x="1952625" y="2534412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716</xdr:row>
      <xdr:rowOff>0</xdr:rowOff>
    </xdr:from>
    <xdr:to>
      <xdr:col>1</xdr:col>
      <xdr:colOff>1666875</xdr:colOff>
      <xdr:row>716</xdr:row>
      <xdr:rowOff>190500</xdr:rowOff>
    </xdr:to>
    <xdr:sp macro="" textlink="">
      <xdr:nvSpPr>
        <xdr:cNvPr id="97" name="Text Box 1160"/>
        <xdr:cNvSpPr txBox="1">
          <a:spLocks noChangeArrowheads="1"/>
        </xdr:cNvSpPr>
      </xdr:nvSpPr>
      <xdr:spPr bwMode="auto">
        <a:xfrm>
          <a:off x="1952625" y="2534412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743</xdr:row>
      <xdr:rowOff>0</xdr:rowOff>
    </xdr:from>
    <xdr:to>
      <xdr:col>1</xdr:col>
      <xdr:colOff>1666875</xdr:colOff>
      <xdr:row>743</xdr:row>
      <xdr:rowOff>190500</xdr:rowOff>
    </xdr:to>
    <xdr:sp macro="" textlink="">
      <xdr:nvSpPr>
        <xdr:cNvPr id="98" name="Text Box 1157"/>
        <xdr:cNvSpPr txBox="1">
          <a:spLocks noChangeArrowheads="1"/>
        </xdr:cNvSpPr>
      </xdr:nvSpPr>
      <xdr:spPr bwMode="auto">
        <a:xfrm>
          <a:off x="1952625" y="2630424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743</xdr:row>
      <xdr:rowOff>0</xdr:rowOff>
    </xdr:from>
    <xdr:to>
      <xdr:col>1</xdr:col>
      <xdr:colOff>1666875</xdr:colOff>
      <xdr:row>743</xdr:row>
      <xdr:rowOff>190500</xdr:rowOff>
    </xdr:to>
    <xdr:sp macro="" textlink="">
      <xdr:nvSpPr>
        <xdr:cNvPr id="99" name="Text Box 1159"/>
        <xdr:cNvSpPr txBox="1">
          <a:spLocks noChangeArrowheads="1"/>
        </xdr:cNvSpPr>
      </xdr:nvSpPr>
      <xdr:spPr bwMode="auto">
        <a:xfrm>
          <a:off x="1952625" y="2630424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743</xdr:row>
      <xdr:rowOff>0</xdr:rowOff>
    </xdr:from>
    <xdr:to>
      <xdr:col>1</xdr:col>
      <xdr:colOff>1666875</xdr:colOff>
      <xdr:row>743</xdr:row>
      <xdr:rowOff>190500</xdr:rowOff>
    </xdr:to>
    <xdr:sp macro="" textlink="">
      <xdr:nvSpPr>
        <xdr:cNvPr id="100" name="Text Box 1160"/>
        <xdr:cNvSpPr txBox="1">
          <a:spLocks noChangeArrowheads="1"/>
        </xdr:cNvSpPr>
      </xdr:nvSpPr>
      <xdr:spPr bwMode="auto">
        <a:xfrm>
          <a:off x="1952625" y="2630424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743</xdr:row>
      <xdr:rowOff>0</xdr:rowOff>
    </xdr:from>
    <xdr:to>
      <xdr:col>1</xdr:col>
      <xdr:colOff>1666875</xdr:colOff>
      <xdr:row>743</xdr:row>
      <xdr:rowOff>190500</xdr:rowOff>
    </xdr:to>
    <xdr:sp macro="" textlink="">
      <xdr:nvSpPr>
        <xdr:cNvPr id="101" name="Text Box 1157"/>
        <xdr:cNvSpPr txBox="1">
          <a:spLocks noChangeArrowheads="1"/>
        </xdr:cNvSpPr>
      </xdr:nvSpPr>
      <xdr:spPr bwMode="auto">
        <a:xfrm>
          <a:off x="1952625" y="2630424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743</xdr:row>
      <xdr:rowOff>0</xdr:rowOff>
    </xdr:from>
    <xdr:to>
      <xdr:col>1</xdr:col>
      <xdr:colOff>1666875</xdr:colOff>
      <xdr:row>743</xdr:row>
      <xdr:rowOff>190500</xdr:rowOff>
    </xdr:to>
    <xdr:sp macro="" textlink="">
      <xdr:nvSpPr>
        <xdr:cNvPr id="102" name="Text Box 1159"/>
        <xdr:cNvSpPr txBox="1">
          <a:spLocks noChangeArrowheads="1"/>
        </xdr:cNvSpPr>
      </xdr:nvSpPr>
      <xdr:spPr bwMode="auto">
        <a:xfrm>
          <a:off x="1952625" y="2630424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743</xdr:row>
      <xdr:rowOff>0</xdr:rowOff>
    </xdr:from>
    <xdr:to>
      <xdr:col>1</xdr:col>
      <xdr:colOff>1666875</xdr:colOff>
      <xdr:row>743</xdr:row>
      <xdr:rowOff>190500</xdr:rowOff>
    </xdr:to>
    <xdr:sp macro="" textlink="">
      <xdr:nvSpPr>
        <xdr:cNvPr id="103" name="Text Box 1160"/>
        <xdr:cNvSpPr txBox="1">
          <a:spLocks noChangeArrowheads="1"/>
        </xdr:cNvSpPr>
      </xdr:nvSpPr>
      <xdr:spPr bwMode="auto">
        <a:xfrm>
          <a:off x="1952625" y="2630424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762</xdr:row>
      <xdr:rowOff>0</xdr:rowOff>
    </xdr:from>
    <xdr:to>
      <xdr:col>1</xdr:col>
      <xdr:colOff>1666875</xdr:colOff>
      <xdr:row>762</xdr:row>
      <xdr:rowOff>190500</xdr:rowOff>
    </xdr:to>
    <xdr:sp macro="" textlink="">
      <xdr:nvSpPr>
        <xdr:cNvPr id="104" name="Text Box 1157"/>
        <xdr:cNvSpPr txBox="1">
          <a:spLocks noChangeArrowheads="1"/>
        </xdr:cNvSpPr>
      </xdr:nvSpPr>
      <xdr:spPr bwMode="auto">
        <a:xfrm>
          <a:off x="1952625" y="2694432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762</xdr:row>
      <xdr:rowOff>0</xdr:rowOff>
    </xdr:from>
    <xdr:to>
      <xdr:col>1</xdr:col>
      <xdr:colOff>1666875</xdr:colOff>
      <xdr:row>762</xdr:row>
      <xdr:rowOff>190500</xdr:rowOff>
    </xdr:to>
    <xdr:sp macro="" textlink="">
      <xdr:nvSpPr>
        <xdr:cNvPr id="105" name="Text Box 1159"/>
        <xdr:cNvSpPr txBox="1">
          <a:spLocks noChangeArrowheads="1"/>
        </xdr:cNvSpPr>
      </xdr:nvSpPr>
      <xdr:spPr bwMode="auto">
        <a:xfrm>
          <a:off x="1952625" y="2694432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762</xdr:row>
      <xdr:rowOff>0</xdr:rowOff>
    </xdr:from>
    <xdr:to>
      <xdr:col>1</xdr:col>
      <xdr:colOff>1666875</xdr:colOff>
      <xdr:row>762</xdr:row>
      <xdr:rowOff>190500</xdr:rowOff>
    </xdr:to>
    <xdr:sp macro="" textlink="">
      <xdr:nvSpPr>
        <xdr:cNvPr id="106" name="Text Box 1160"/>
        <xdr:cNvSpPr txBox="1">
          <a:spLocks noChangeArrowheads="1"/>
        </xdr:cNvSpPr>
      </xdr:nvSpPr>
      <xdr:spPr bwMode="auto">
        <a:xfrm>
          <a:off x="1952625" y="2694432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763</xdr:row>
      <xdr:rowOff>0</xdr:rowOff>
    </xdr:from>
    <xdr:to>
      <xdr:col>1</xdr:col>
      <xdr:colOff>1666875</xdr:colOff>
      <xdr:row>763</xdr:row>
      <xdr:rowOff>190500</xdr:rowOff>
    </xdr:to>
    <xdr:sp macro="" textlink="">
      <xdr:nvSpPr>
        <xdr:cNvPr id="107" name="Text Box 1157"/>
        <xdr:cNvSpPr txBox="1">
          <a:spLocks noChangeArrowheads="1"/>
        </xdr:cNvSpPr>
      </xdr:nvSpPr>
      <xdr:spPr bwMode="auto">
        <a:xfrm>
          <a:off x="1952625" y="26964322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763</xdr:row>
      <xdr:rowOff>0</xdr:rowOff>
    </xdr:from>
    <xdr:to>
      <xdr:col>1</xdr:col>
      <xdr:colOff>1666875</xdr:colOff>
      <xdr:row>763</xdr:row>
      <xdr:rowOff>190500</xdr:rowOff>
    </xdr:to>
    <xdr:sp macro="" textlink="">
      <xdr:nvSpPr>
        <xdr:cNvPr id="108" name="Text Box 1159"/>
        <xdr:cNvSpPr txBox="1">
          <a:spLocks noChangeArrowheads="1"/>
        </xdr:cNvSpPr>
      </xdr:nvSpPr>
      <xdr:spPr bwMode="auto">
        <a:xfrm>
          <a:off x="1952625" y="26964322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763</xdr:row>
      <xdr:rowOff>0</xdr:rowOff>
    </xdr:from>
    <xdr:to>
      <xdr:col>1</xdr:col>
      <xdr:colOff>1666875</xdr:colOff>
      <xdr:row>763</xdr:row>
      <xdr:rowOff>190500</xdr:rowOff>
    </xdr:to>
    <xdr:sp macro="" textlink="">
      <xdr:nvSpPr>
        <xdr:cNvPr id="109" name="Text Box 1160"/>
        <xdr:cNvSpPr txBox="1">
          <a:spLocks noChangeArrowheads="1"/>
        </xdr:cNvSpPr>
      </xdr:nvSpPr>
      <xdr:spPr bwMode="auto">
        <a:xfrm>
          <a:off x="1952625" y="26964322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762</xdr:row>
      <xdr:rowOff>0</xdr:rowOff>
    </xdr:from>
    <xdr:to>
      <xdr:col>1</xdr:col>
      <xdr:colOff>1666875</xdr:colOff>
      <xdr:row>762</xdr:row>
      <xdr:rowOff>190500</xdr:rowOff>
    </xdr:to>
    <xdr:sp macro="" textlink="">
      <xdr:nvSpPr>
        <xdr:cNvPr id="110" name="Text Box 1157"/>
        <xdr:cNvSpPr txBox="1">
          <a:spLocks noChangeArrowheads="1"/>
        </xdr:cNvSpPr>
      </xdr:nvSpPr>
      <xdr:spPr bwMode="auto">
        <a:xfrm>
          <a:off x="1952625" y="2694432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762</xdr:row>
      <xdr:rowOff>0</xdr:rowOff>
    </xdr:from>
    <xdr:to>
      <xdr:col>1</xdr:col>
      <xdr:colOff>1666875</xdr:colOff>
      <xdr:row>762</xdr:row>
      <xdr:rowOff>190500</xdr:rowOff>
    </xdr:to>
    <xdr:sp macro="" textlink="">
      <xdr:nvSpPr>
        <xdr:cNvPr id="111" name="Text Box 1159"/>
        <xdr:cNvSpPr txBox="1">
          <a:spLocks noChangeArrowheads="1"/>
        </xdr:cNvSpPr>
      </xdr:nvSpPr>
      <xdr:spPr bwMode="auto">
        <a:xfrm>
          <a:off x="1952625" y="2694432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762</xdr:row>
      <xdr:rowOff>0</xdr:rowOff>
    </xdr:from>
    <xdr:to>
      <xdr:col>1</xdr:col>
      <xdr:colOff>1666875</xdr:colOff>
      <xdr:row>762</xdr:row>
      <xdr:rowOff>190500</xdr:rowOff>
    </xdr:to>
    <xdr:sp macro="" textlink="">
      <xdr:nvSpPr>
        <xdr:cNvPr id="112" name="Text Box 1160"/>
        <xdr:cNvSpPr txBox="1">
          <a:spLocks noChangeArrowheads="1"/>
        </xdr:cNvSpPr>
      </xdr:nvSpPr>
      <xdr:spPr bwMode="auto">
        <a:xfrm>
          <a:off x="1952625" y="2694432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763</xdr:row>
      <xdr:rowOff>0</xdr:rowOff>
    </xdr:from>
    <xdr:to>
      <xdr:col>1</xdr:col>
      <xdr:colOff>1666875</xdr:colOff>
      <xdr:row>763</xdr:row>
      <xdr:rowOff>190500</xdr:rowOff>
    </xdr:to>
    <xdr:sp macro="" textlink="">
      <xdr:nvSpPr>
        <xdr:cNvPr id="113" name="Text Box 1157"/>
        <xdr:cNvSpPr txBox="1">
          <a:spLocks noChangeArrowheads="1"/>
        </xdr:cNvSpPr>
      </xdr:nvSpPr>
      <xdr:spPr bwMode="auto">
        <a:xfrm>
          <a:off x="1952625" y="26964322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763</xdr:row>
      <xdr:rowOff>0</xdr:rowOff>
    </xdr:from>
    <xdr:to>
      <xdr:col>1</xdr:col>
      <xdr:colOff>1666875</xdr:colOff>
      <xdr:row>763</xdr:row>
      <xdr:rowOff>190500</xdr:rowOff>
    </xdr:to>
    <xdr:sp macro="" textlink="">
      <xdr:nvSpPr>
        <xdr:cNvPr id="114" name="Text Box 1159"/>
        <xdr:cNvSpPr txBox="1">
          <a:spLocks noChangeArrowheads="1"/>
        </xdr:cNvSpPr>
      </xdr:nvSpPr>
      <xdr:spPr bwMode="auto">
        <a:xfrm>
          <a:off x="1952625" y="26964322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1590675</xdr:colOff>
      <xdr:row>763</xdr:row>
      <xdr:rowOff>0</xdr:rowOff>
    </xdr:from>
    <xdr:to>
      <xdr:col>1</xdr:col>
      <xdr:colOff>1666875</xdr:colOff>
      <xdr:row>763</xdr:row>
      <xdr:rowOff>190500</xdr:rowOff>
    </xdr:to>
    <xdr:sp macro="" textlink="">
      <xdr:nvSpPr>
        <xdr:cNvPr id="115" name="Text Box 1160"/>
        <xdr:cNvSpPr txBox="1">
          <a:spLocks noChangeArrowheads="1"/>
        </xdr:cNvSpPr>
      </xdr:nvSpPr>
      <xdr:spPr bwMode="auto">
        <a:xfrm>
          <a:off x="1952625" y="26964322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295275</xdr:colOff>
      <xdr:row>1</xdr:row>
      <xdr:rowOff>180975</xdr:rowOff>
    </xdr:from>
    <xdr:to>
      <xdr:col>0</xdr:col>
      <xdr:colOff>1085850</xdr:colOff>
      <xdr:row>1</xdr:row>
      <xdr:rowOff>180975</xdr:rowOff>
    </xdr:to>
    <xdr:cxnSp macro="">
      <xdr:nvCxnSpPr>
        <xdr:cNvPr id="3" name="Straight Connector 2"/>
        <xdr:cNvCxnSpPr/>
      </xdr:nvCxnSpPr>
      <xdr:spPr bwMode="auto">
        <a:xfrm>
          <a:off x="295275" y="381000"/>
          <a:ext cx="790575" cy="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371475</xdr:colOff>
      <xdr:row>2</xdr:row>
      <xdr:rowOff>28575</xdr:rowOff>
    </xdr:from>
    <xdr:to>
      <xdr:col>0</xdr:col>
      <xdr:colOff>1247775</xdr:colOff>
      <xdr:row>2</xdr:row>
      <xdr:rowOff>28575</xdr:rowOff>
    </xdr:to>
    <xdr:cxnSp macro="">
      <xdr:nvCxnSpPr>
        <xdr:cNvPr id="3" name="Straight Connector 2"/>
        <xdr:cNvCxnSpPr/>
      </xdr:nvCxnSpPr>
      <xdr:spPr bwMode="auto">
        <a:xfrm>
          <a:off x="371475" y="523875"/>
          <a:ext cx="8763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285750</xdr:colOff>
      <xdr:row>2</xdr:row>
      <xdr:rowOff>28575</xdr:rowOff>
    </xdr:from>
    <xdr:to>
      <xdr:col>1</xdr:col>
      <xdr:colOff>1181100</xdr:colOff>
      <xdr:row>2</xdr:row>
      <xdr:rowOff>28575</xdr:rowOff>
    </xdr:to>
    <xdr:cxnSp macro="">
      <xdr:nvCxnSpPr>
        <xdr:cNvPr id="3" name="Straight Connector 2"/>
        <xdr:cNvCxnSpPr/>
      </xdr:nvCxnSpPr>
      <xdr:spPr bwMode="auto">
        <a:xfrm>
          <a:off x="723900" y="476250"/>
          <a:ext cx="89535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771525</xdr:colOff>
      <xdr:row>2</xdr:row>
      <xdr:rowOff>38101</xdr:rowOff>
    </xdr:from>
    <xdr:to>
      <xdr:col>1</xdr:col>
      <xdr:colOff>1714500</xdr:colOff>
      <xdr:row>2</xdr:row>
      <xdr:rowOff>47625</xdr:rowOff>
    </xdr:to>
    <xdr:cxnSp macro="">
      <xdr:nvCxnSpPr>
        <xdr:cNvPr id="2" name="Straight Connector 1"/>
        <xdr:cNvCxnSpPr/>
      </xdr:nvCxnSpPr>
      <xdr:spPr>
        <a:xfrm>
          <a:off x="1085850" y="457201"/>
          <a:ext cx="942975" cy="95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581304</xdr:colOff>
      <xdr:row>2</xdr:row>
      <xdr:rowOff>154081</xdr:rowOff>
    </xdr:from>
    <xdr:to>
      <xdr:col>1</xdr:col>
      <xdr:colOff>1183620</xdr:colOff>
      <xdr:row>2</xdr:row>
      <xdr:rowOff>154081</xdr:rowOff>
    </xdr:to>
    <xdr:cxnSp macro="">
      <xdr:nvCxnSpPr>
        <xdr:cNvPr id="3" name="Straight Connector 2"/>
        <xdr:cNvCxnSpPr/>
      </xdr:nvCxnSpPr>
      <xdr:spPr bwMode="auto">
        <a:xfrm>
          <a:off x="917480" y="399210"/>
          <a:ext cx="602316"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104775</xdr:colOff>
      <xdr:row>0</xdr:row>
      <xdr:rowOff>485775</xdr:rowOff>
    </xdr:from>
    <xdr:to>
      <xdr:col>1</xdr:col>
      <xdr:colOff>1009650</xdr:colOff>
      <xdr:row>0</xdr:row>
      <xdr:rowOff>485775</xdr:rowOff>
    </xdr:to>
    <xdr:cxnSp macro="">
      <xdr:nvCxnSpPr>
        <xdr:cNvPr id="3" name="Straight Connector 2"/>
        <xdr:cNvCxnSpPr/>
      </xdr:nvCxnSpPr>
      <xdr:spPr bwMode="auto">
        <a:xfrm>
          <a:off x="571500" y="485775"/>
          <a:ext cx="904875" cy="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649431</xdr:colOff>
      <xdr:row>1</xdr:row>
      <xdr:rowOff>17318</xdr:rowOff>
    </xdr:from>
    <xdr:to>
      <xdr:col>0</xdr:col>
      <xdr:colOff>1489363</xdr:colOff>
      <xdr:row>1</xdr:row>
      <xdr:rowOff>17318</xdr:rowOff>
    </xdr:to>
    <xdr:cxnSp macro="">
      <xdr:nvCxnSpPr>
        <xdr:cNvPr id="3" name="Straight Connector 2"/>
        <xdr:cNvCxnSpPr/>
      </xdr:nvCxnSpPr>
      <xdr:spPr bwMode="auto">
        <a:xfrm>
          <a:off x="649431" y="562841"/>
          <a:ext cx="839932" cy="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114300</xdr:colOff>
      <xdr:row>2</xdr:row>
      <xdr:rowOff>47625</xdr:rowOff>
    </xdr:from>
    <xdr:to>
      <xdr:col>1</xdr:col>
      <xdr:colOff>726300</xdr:colOff>
      <xdr:row>2</xdr:row>
      <xdr:rowOff>47625</xdr:rowOff>
    </xdr:to>
    <xdr:cxnSp macro="">
      <xdr:nvCxnSpPr>
        <xdr:cNvPr id="2" name="Straight Connector 1"/>
        <xdr:cNvCxnSpPr/>
      </xdr:nvCxnSpPr>
      <xdr:spPr bwMode="auto">
        <a:xfrm>
          <a:off x="428625" y="466725"/>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2141214</xdr:colOff>
      <xdr:row>5</xdr:row>
      <xdr:rowOff>38100</xdr:rowOff>
    </xdr:from>
    <xdr:to>
      <xdr:col>3</xdr:col>
      <xdr:colOff>585336</xdr:colOff>
      <xdr:row>5</xdr:row>
      <xdr:rowOff>38100</xdr:rowOff>
    </xdr:to>
    <xdr:cxnSp macro="">
      <xdr:nvCxnSpPr>
        <xdr:cNvPr id="3" name="Straight Connector 2"/>
        <xdr:cNvCxnSpPr/>
      </xdr:nvCxnSpPr>
      <xdr:spPr bwMode="auto">
        <a:xfrm>
          <a:off x="2455539" y="1400175"/>
          <a:ext cx="1587372"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447678</xdr:colOff>
      <xdr:row>2</xdr:row>
      <xdr:rowOff>42333</xdr:rowOff>
    </xdr:from>
    <xdr:to>
      <xdr:col>0</xdr:col>
      <xdr:colOff>1059678</xdr:colOff>
      <xdr:row>2</xdr:row>
      <xdr:rowOff>42333</xdr:rowOff>
    </xdr:to>
    <xdr:cxnSp macro="">
      <xdr:nvCxnSpPr>
        <xdr:cNvPr id="2" name="Straight Connector 1"/>
        <xdr:cNvCxnSpPr/>
      </xdr:nvCxnSpPr>
      <xdr:spPr bwMode="auto">
        <a:xfrm>
          <a:off x="447678" y="461433"/>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2336441</xdr:colOff>
      <xdr:row>5</xdr:row>
      <xdr:rowOff>46567</xdr:rowOff>
    </xdr:from>
    <xdr:to>
      <xdr:col>3</xdr:col>
      <xdr:colOff>659816</xdr:colOff>
      <xdr:row>5</xdr:row>
      <xdr:rowOff>46567</xdr:rowOff>
    </xdr:to>
    <xdr:cxnSp macro="">
      <xdr:nvCxnSpPr>
        <xdr:cNvPr id="3" name="Straight Connector 2"/>
        <xdr:cNvCxnSpPr/>
      </xdr:nvCxnSpPr>
      <xdr:spPr bwMode="auto">
        <a:xfrm>
          <a:off x="2336441" y="1484842"/>
          <a:ext cx="1800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218663</xdr:colOff>
      <xdr:row>2</xdr:row>
      <xdr:rowOff>46383</xdr:rowOff>
    </xdr:from>
    <xdr:to>
      <xdr:col>1</xdr:col>
      <xdr:colOff>830663</xdr:colOff>
      <xdr:row>2</xdr:row>
      <xdr:rowOff>46383</xdr:rowOff>
    </xdr:to>
    <xdr:cxnSp macro="">
      <xdr:nvCxnSpPr>
        <xdr:cNvPr id="2" name="Straight Connector 1"/>
        <xdr:cNvCxnSpPr/>
      </xdr:nvCxnSpPr>
      <xdr:spPr bwMode="auto">
        <a:xfrm flipV="1">
          <a:off x="525120" y="460513"/>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3412416</xdr:colOff>
      <xdr:row>5</xdr:row>
      <xdr:rowOff>48867</xdr:rowOff>
    </xdr:from>
    <xdr:to>
      <xdr:col>4</xdr:col>
      <xdr:colOff>591081</xdr:colOff>
      <xdr:row>5</xdr:row>
      <xdr:rowOff>48867</xdr:rowOff>
    </xdr:to>
    <xdr:cxnSp macro="">
      <xdr:nvCxnSpPr>
        <xdr:cNvPr id="3" name="Straight Connector 2"/>
        <xdr:cNvCxnSpPr/>
      </xdr:nvCxnSpPr>
      <xdr:spPr bwMode="auto">
        <a:xfrm flipV="1">
          <a:off x="3718873" y="1614280"/>
          <a:ext cx="1585012"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203200</xdr:colOff>
      <xdr:row>2</xdr:row>
      <xdr:rowOff>41275</xdr:rowOff>
    </xdr:from>
    <xdr:to>
      <xdr:col>1</xdr:col>
      <xdr:colOff>815200</xdr:colOff>
      <xdr:row>2</xdr:row>
      <xdr:rowOff>41275</xdr:rowOff>
    </xdr:to>
    <xdr:cxnSp macro="">
      <xdr:nvCxnSpPr>
        <xdr:cNvPr id="2" name="Straight Connector 1"/>
        <xdr:cNvCxnSpPr/>
      </xdr:nvCxnSpPr>
      <xdr:spPr bwMode="auto">
        <a:xfrm>
          <a:off x="527050" y="460375"/>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2118996</xdr:colOff>
      <xdr:row>5</xdr:row>
      <xdr:rowOff>38100</xdr:rowOff>
    </xdr:from>
    <xdr:to>
      <xdr:col>3</xdr:col>
      <xdr:colOff>129021</xdr:colOff>
      <xdr:row>5</xdr:row>
      <xdr:rowOff>38100</xdr:rowOff>
    </xdr:to>
    <xdr:cxnSp macro="">
      <xdr:nvCxnSpPr>
        <xdr:cNvPr id="3" name="Straight Connector 2"/>
        <xdr:cNvCxnSpPr/>
      </xdr:nvCxnSpPr>
      <xdr:spPr bwMode="auto">
        <a:xfrm>
          <a:off x="2452371" y="1485900"/>
          <a:ext cx="1620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284534</xdr:colOff>
      <xdr:row>2</xdr:row>
      <xdr:rowOff>44822</xdr:rowOff>
    </xdr:from>
    <xdr:to>
      <xdr:col>1</xdr:col>
      <xdr:colOff>896534</xdr:colOff>
      <xdr:row>2</xdr:row>
      <xdr:rowOff>44822</xdr:rowOff>
    </xdr:to>
    <xdr:cxnSp macro="">
      <xdr:nvCxnSpPr>
        <xdr:cNvPr id="2" name="Straight Connector 1"/>
        <xdr:cNvCxnSpPr/>
      </xdr:nvCxnSpPr>
      <xdr:spPr bwMode="auto">
        <a:xfrm flipV="1">
          <a:off x="541295" y="458952"/>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64313</xdr:colOff>
      <xdr:row>5</xdr:row>
      <xdr:rowOff>58148</xdr:rowOff>
    </xdr:from>
    <xdr:to>
      <xdr:col>7</xdr:col>
      <xdr:colOff>329058</xdr:colOff>
      <xdr:row>5</xdr:row>
      <xdr:rowOff>58148</xdr:rowOff>
    </xdr:to>
    <xdr:cxnSp macro="">
      <xdr:nvCxnSpPr>
        <xdr:cNvPr id="3" name="Straight Connector 2"/>
        <xdr:cNvCxnSpPr/>
      </xdr:nvCxnSpPr>
      <xdr:spPr bwMode="auto">
        <a:xfrm flipV="1">
          <a:off x="3981987" y="1375083"/>
          <a:ext cx="1606528"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208684</xdr:colOff>
      <xdr:row>2</xdr:row>
      <xdr:rowOff>0</xdr:rowOff>
    </xdr:from>
    <xdr:to>
      <xdr:col>1</xdr:col>
      <xdr:colOff>820684</xdr:colOff>
      <xdr:row>2</xdr:row>
      <xdr:rowOff>0</xdr:rowOff>
    </xdr:to>
    <xdr:cxnSp macro="">
      <xdr:nvCxnSpPr>
        <xdr:cNvPr id="2" name="Straight Connector 1"/>
        <xdr:cNvCxnSpPr/>
      </xdr:nvCxnSpPr>
      <xdr:spPr bwMode="auto">
        <a:xfrm>
          <a:off x="532534" y="419100"/>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223521</xdr:colOff>
      <xdr:row>4</xdr:row>
      <xdr:rowOff>0</xdr:rowOff>
    </xdr:from>
    <xdr:to>
      <xdr:col>7</xdr:col>
      <xdr:colOff>731380</xdr:colOff>
      <xdr:row>4</xdr:row>
      <xdr:rowOff>0</xdr:rowOff>
    </xdr:to>
    <xdr:cxnSp macro="">
      <xdr:nvCxnSpPr>
        <xdr:cNvPr id="3" name="Straight Connector 2"/>
        <xdr:cNvCxnSpPr/>
      </xdr:nvCxnSpPr>
      <xdr:spPr bwMode="auto">
        <a:xfrm>
          <a:off x="3957321" y="1085850"/>
          <a:ext cx="1727059"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319545</xdr:colOff>
      <xdr:row>2</xdr:row>
      <xdr:rowOff>51546</xdr:rowOff>
    </xdr:from>
    <xdr:to>
      <xdr:col>1</xdr:col>
      <xdr:colOff>931545</xdr:colOff>
      <xdr:row>2</xdr:row>
      <xdr:rowOff>51546</xdr:rowOff>
    </xdr:to>
    <xdr:cxnSp macro="">
      <xdr:nvCxnSpPr>
        <xdr:cNvPr id="2" name="Straight Connector 1"/>
        <xdr:cNvCxnSpPr/>
      </xdr:nvCxnSpPr>
      <xdr:spPr bwMode="auto">
        <a:xfrm>
          <a:off x="517372" y="476508"/>
          <a:ext cx="612000" cy="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16</xdr:col>
      <xdr:colOff>21761</xdr:colOff>
      <xdr:row>5</xdr:row>
      <xdr:rowOff>58271</xdr:rowOff>
    </xdr:from>
    <xdr:to>
      <xdr:col>22</xdr:col>
      <xdr:colOff>168781</xdr:colOff>
      <xdr:row>5</xdr:row>
      <xdr:rowOff>58271</xdr:rowOff>
    </xdr:to>
    <xdr:cxnSp macro="">
      <xdr:nvCxnSpPr>
        <xdr:cNvPr id="3" name="Straight Connector 2"/>
        <xdr:cNvCxnSpPr/>
      </xdr:nvCxnSpPr>
      <xdr:spPr bwMode="auto">
        <a:xfrm>
          <a:off x="4110184" y="1340483"/>
          <a:ext cx="1671020" cy="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5.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6.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9.xml"/><Relationship Id="rId1" Type="http://schemas.openxmlformats.org/officeDocument/2006/relationships/printerSettings" Target="../printerSettings/printerSettings14.bin"/><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0.xml"/><Relationship Id="rId1" Type="http://schemas.openxmlformats.org/officeDocument/2006/relationships/printerSettings" Target="../printerSettings/printerSettings15.bin"/><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1.xml"/><Relationship Id="rId1" Type="http://schemas.openxmlformats.org/officeDocument/2006/relationships/printerSettings" Target="../printerSettings/printerSettings17.bin"/><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3.xml"/><Relationship Id="rId1" Type="http://schemas.openxmlformats.org/officeDocument/2006/relationships/printerSettings" Target="../printerSettings/printerSettings19.bin"/><Relationship Id="rId4" Type="http://schemas.openxmlformats.org/officeDocument/2006/relationships/comments" Target="../comments1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15.xml"/><Relationship Id="rId1" Type="http://schemas.openxmlformats.org/officeDocument/2006/relationships/printerSettings" Target="../printerSettings/printerSettings22.bin"/><Relationship Id="rId4" Type="http://schemas.openxmlformats.org/officeDocument/2006/relationships/comments" Target="../comments19.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16.xml"/><Relationship Id="rId1" Type="http://schemas.openxmlformats.org/officeDocument/2006/relationships/printerSettings" Target="../printerSettings/printerSettings23.bin"/><Relationship Id="rId4" Type="http://schemas.openxmlformats.org/officeDocument/2006/relationships/comments" Target="../comments20.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17.xml"/><Relationship Id="rId1" Type="http://schemas.openxmlformats.org/officeDocument/2006/relationships/printerSettings" Target="../printerSettings/printerSettings25.bin"/><Relationship Id="rId4" Type="http://schemas.openxmlformats.org/officeDocument/2006/relationships/comments" Target="../comments21.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4.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7"/>
  <sheetViews>
    <sheetView topLeftCell="A4" workbookViewId="0">
      <selection activeCell="J27" sqref="J27"/>
    </sheetView>
  </sheetViews>
  <sheetFormatPr defaultRowHeight="15.75"/>
  <cols>
    <col min="1" max="1" width="3.28515625" style="1" customWidth="1"/>
    <col min="2" max="2" width="31.140625" style="1" customWidth="1"/>
    <col min="3" max="3" width="12.85546875" style="1" customWidth="1"/>
    <col min="4" max="4" width="12.28515625" style="1" customWidth="1"/>
    <col min="5" max="5" width="11.140625" style="1" customWidth="1"/>
    <col min="6" max="6" width="11.28515625" style="1" customWidth="1"/>
    <col min="7" max="7" width="3.28515625" style="1" customWidth="1"/>
    <col min="8" max="8" width="28.7109375" style="1" customWidth="1"/>
    <col min="9" max="9" width="12.140625" style="1" customWidth="1"/>
    <col min="10" max="10" width="12.28515625" style="1" customWidth="1"/>
    <col min="11" max="11" width="11.140625" style="1" customWidth="1"/>
    <col min="12" max="12" width="11.7109375" style="1" customWidth="1"/>
    <col min="13" max="13" width="22.42578125" style="1" customWidth="1"/>
    <col min="14" max="14" width="14.140625" style="1" customWidth="1"/>
    <col min="15" max="15" width="9.28515625" style="1" customWidth="1"/>
    <col min="16" max="16" width="14.42578125" style="1" customWidth="1"/>
    <col min="17" max="17" width="9.28515625" style="1" customWidth="1"/>
    <col min="18" max="18" width="12.140625" style="1" customWidth="1"/>
    <col min="19" max="16384" width="9.140625" style="1"/>
  </cols>
  <sheetData>
    <row r="1" spans="1:18" ht="30" customHeight="1">
      <c r="A1" s="1" t="s">
        <v>43</v>
      </c>
      <c r="B1" s="555"/>
      <c r="J1" s="2"/>
      <c r="K1" s="370"/>
      <c r="L1" s="2" t="s">
        <v>539</v>
      </c>
    </row>
    <row r="2" spans="1:18" ht="23.25" customHeight="1">
      <c r="A2" s="1660" t="s">
        <v>912</v>
      </c>
      <c r="B2" s="1660"/>
      <c r="C2" s="1660"/>
      <c r="D2" s="1660"/>
      <c r="E2" s="1660"/>
      <c r="F2" s="1660"/>
      <c r="G2" s="1660"/>
      <c r="H2" s="1660"/>
      <c r="I2" s="1660"/>
      <c r="J2" s="1660"/>
      <c r="K2" s="1660"/>
      <c r="L2" s="1660"/>
      <c r="M2" s="155"/>
    </row>
    <row r="3" spans="1:18" ht="22.5" customHeight="1">
      <c r="A3" s="5"/>
      <c r="B3" s="554"/>
      <c r="C3" s="6"/>
      <c r="D3" s="6"/>
      <c r="E3" s="6"/>
      <c r="F3" s="6"/>
      <c r="G3" s="6"/>
      <c r="H3" s="6"/>
      <c r="I3" s="6"/>
      <c r="J3" s="6"/>
      <c r="K3" s="6"/>
      <c r="L3" s="6"/>
      <c r="M3" s="1" t="s">
        <v>855</v>
      </c>
    </row>
    <row r="4" spans="1:18" ht="23.25" customHeight="1" thickBot="1">
      <c r="B4" s="7"/>
      <c r="C4" s="8"/>
      <c r="D4" s="7"/>
      <c r="E4" s="7"/>
      <c r="F4" s="7"/>
      <c r="H4" s="7"/>
      <c r="I4" s="7"/>
      <c r="J4" s="3"/>
      <c r="K4" s="3"/>
      <c r="L4" s="3" t="s">
        <v>44</v>
      </c>
      <c r="M4" s="1">
        <v>6143.3973079994303</v>
      </c>
    </row>
    <row r="5" spans="1:18" ht="17.25" thickTop="1" thickBot="1">
      <c r="A5" s="1661" t="s">
        <v>45</v>
      </c>
      <c r="B5" s="1662" t="s">
        <v>46</v>
      </c>
      <c r="C5" s="9" t="s">
        <v>47</v>
      </c>
      <c r="D5" s="10" t="s">
        <v>48</v>
      </c>
      <c r="E5" s="10" t="s">
        <v>48</v>
      </c>
      <c r="F5" s="10" t="s">
        <v>48</v>
      </c>
      <c r="G5" s="1661" t="s">
        <v>45</v>
      </c>
      <c r="H5" s="1662" t="s">
        <v>49</v>
      </c>
      <c r="I5" s="9" t="s">
        <v>47</v>
      </c>
      <c r="J5" s="10" t="s">
        <v>50</v>
      </c>
      <c r="K5" s="10" t="s">
        <v>50</v>
      </c>
      <c r="L5" s="11" t="s">
        <v>50</v>
      </c>
      <c r="P5" s="1">
        <v>205638</v>
      </c>
      <c r="Q5" s="1">
        <f>+P5-58000</f>
        <v>147638</v>
      </c>
    </row>
    <row r="6" spans="1:18" ht="18" customHeight="1" thickTop="1" thickBot="1">
      <c r="A6" s="1661"/>
      <c r="B6" s="1662"/>
      <c r="C6" s="12" t="s">
        <v>51</v>
      </c>
      <c r="D6" s="13" t="s">
        <v>52</v>
      </c>
      <c r="E6" s="13" t="s">
        <v>53</v>
      </c>
      <c r="F6" s="14" t="s">
        <v>54</v>
      </c>
      <c r="G6" s="1661"/>
      <c r="H6" s="1662"/>
      <c r="I6" s="12" t="s">
        <v>51</v>
      </c>
      <c r="J6" s="13" t="s">
        <v>52</v>
      </c>
      <c r="K6" s="13" t="s">
        <v>53</v>
      </c>
      <c r="L6" s="15" t="s">
        <v>54</v>
      </c>
      <c r="M6" s="1">
        <v>216445.12283899999</v>
      </c>
    </row>
    <row r="7" spans="1:18" s="25" customFormat="1" ht="23.25" customHeight="1" thickTop="1">
      <c r="A7" s="16"/>
      <c r="B7" s="17" t="s">
        <v>55</v>
      </c>
      <c r="C7" s="18">
        <f>D7+E7+F7</f>
        <v>16774077.404196998</v>
      </c>
      <c r="D7" s="18">
        <f>+D8+D27</f>
        <v>10511816.447145998</v>
      </c>
      <c r="E7" s="18">
        <f>+E8+E27</f>
        <v>5077232.2499320004</v>
      </c>
      <c r="F7" s="19">
        <f>+F8+F27</f>
        <v>1185028.7071189999</v>
      </c>
      <c r="G7" s="20"/>
      <c r="H7" s="21" t="s">
        <v>56</v>
      </c>
      <c r="I7" s="22">
        <f>I8+I27</f>
        <v>16651353.036225999</v>
      </c>
      <c r="J7" s="22">
        <f>+J8+J27</f>
        <v>10505673.049837999</v>
      </c>
      <c r="K7" s="22">
        <f>+K8+K27</f>
        <v>4987347.1970929997</v>
      </c>
      <c r="L7" s="23">
        <f>+L8+L27</f>
        <v>1158332.789295</v>
      </c>
      <c r="M7" s="24" t="e">
        <f>+D7-"#REF!"</f>
        <v>#VALUE!</v>
      </c>
      <c r="N7" s="24" t="e">
        <f>#N/A</f>
        <v>#N/A</v>
      </c>
      <c r="O7" s="25">
        <v>30000</v>
      </c>
      <c r="P7" s="24">
        <f>+I7+O7+Q5</f>
        <v>16828991.036225997</v>
      </c>
    </row>
    <row r="8" spans="1:18" s="25" customFormat="1" ht="24.75" customHeight="1">
      <c r="A8" s="26" t="s">
        <v>57</v>
      </c>
      <c r="B8" s="27" t="s">
        <v>58</v>
      </c>
      <c r="C8" s="28">
        <f>D8+E8+F8</f>
        <v>16774077.404196998</v>
      </c>
      <c r="D8" s="28">
        <f>SUM(D9:D16)+D20</f>
        <v>10511816.447145998</v>
      </c>
      <c r="E8" s="28">
        <f>SUM(E9:E16)+E20</f>
        <v>5077232.2499320004</v>
      </c>
      <c r="F8" s="29">
        <f>SUM(F9:F16)+F20</f>
        <v>1185028.7071189999</v>
      </c>
      <c r="G8" s="30" t="s">
        <v>57</v>
      </c>
      <c r="H8" s="27" t="s">
        <v>494</v>
      </c>
      <c r="I8" s="28">
        <f>+J8+K8+L8</f>
        <v>16564755.349518999</v>
      </c>
      <c r="J8" s="28">
        <f>J9+J12+J13+J14+J15+J16+J10</f>
        <v>10419075.363131</v>
      </c>
      <c r="K8" s="28">
        <f>K9+K12+K13+K14+K15+K16</f>
        <v>4987347.1970929997</v>
      </c>
      <c r="L8" s="29">
        <f>+L9+L12+L13+L14+L15+L16</f>
        <v>1158332.789295</v>
      </c>
      <c r="M8" s="24">
        <f>+D8-J8</f>
        <v>92741.084014998749</v>
      </c>
      <c r="P8" s="24">
        <f>+C7-P7</f>
        <v>-54913.632028998807</v>
      </c>
      <c r="Q8" s="25">
        <v>150000</v>
      </c>
      <c r="R8" s="24">
        <f>+Q8+P8</f>
        <v>95086.367971001193</v>
      </c>
    </row>
    <row r="9" spans="1:18">
      <c r="A9" s="31">
        <v>1</v>
      </c>
      <c r="B9" s="32" t="s">
        <v>1017</v>
      </c>
      <c r="C9" s="33">
        <f t="shared" ref="C9:C14" si="0">SUM(D9:F9)</f>
        <v>1653659.9229969992</v>
      </c>
      <c r="D9" s="33">
        <f>'TH THU_61_342_50_31'!O13</f>
        <v>1223411.8926109993</v>
      </c>
      <c r="E9" s="33">
        <f>'TH THU_61_342_50_31'!O16-F9</f>
        <v>357945.80281199998</v>
      </c>
      <c r="F9" s="34">
        <f>'TH THU_61_342_50_31'!H10</f>
        <v>72302.227574000004</v>
      </c>
      <c r="G9" s="35">
        <v>1</v>
      </c>
      <c r="H9" s="32" t="s">
        <v>59</v>
      </c>
      <c r="I9" s="33">
        <f>+J9+K9+L9</f>
        <v>3016225.2966900002</v>
      </c>
      <c r="J9" s="33">
        <f>'TH CHI_62_342_BTC'!F9</f>
        <v>2336793.7198600001</v>
      </c>
      <c r="K9" s="33">
        <f>'TH CHI_62_342_BTC'!I9</f>
        <v>411592.08420300001</v>
      </c>
      <c r="L9" s="34">
        <f>'TH CHI_62_342_BTC'!L9</f>
        <v>267839.49262699997</v>
      </c>
      <c r="N9" s="36">
        <f>+J9+J27</f>
        <v>2423391.4065669999</v>
      </c>
    </row>
    <row r="10" spans="1:18">
      <c r="A10" s="31">
        <v>2</v>
      </c>
      <c r="B10" s="32" t="s">
        <v>60</v>
      </c>
      <c r="C10" s="33">
        <f t="shared" si="0"/>
        <v>2703345.1109489999</v>
      </c>
      <c r="D10" s="33">
        <f>'TH THU_61_342_50_31'!O14</f>
        <v>2407541.4936799998</v>
      </c>
      <c r="E10" s="33">
        <f>'TH THU_61_342_50_31'!O17</f>
        <v>295803.61726899998</v>
      </c>
      <c r="F10" s="34">
        <v>0</v>
      </c>
      <c r="G10" s="35">
        <v>2</v>
      </c>
      <c r="H10" s="32" t="s">
        <v>1041</v>
      </c>
      <c r="I10" s="33">
        <f t="shared" ref="I10:I13" si="1">+J10+K10+L10</f>
        <v>403.904653</v>
      </c>
      <c r="J10" s="33">
        <v>403.904653</v>
      </c>
      <c r="K10" s="33">
        <v>0</v>
      </c>
      <c r="L10" s="34">
        <v>0</v>
      </c>
      <c r="M10" s="1">
        <v>220274.37127999999</v>
      </c>
      <c r="N10" s="36">
        <f>+N9-1543535</f>
        <v>879856.40656699985</v>
      </c>
    </row>
    <row r="11" spans="1:18" hidden="1">
      <c r="A11" s="31">
        <v>3</v>
      </c>
      <c r="B11" s="32" t="s">
        <v>62</v>
      </c>
      <c r="C11" s="33">
        <f t="shared" si="0"/>
        <v>0</v>
      </c>
      <c r="D11" s="33"/>
      <c r="E11" s="33"/>
      <c r="F11" s="34"/>
      <c r="G11" s="35"/>
      <c r="H11" s="32" t="s">
        <v>63</v>
      </c>
      <c r="I11" s="33">
        <f t="shared" si="1"/>
        <v>0</v>
      </c>
      <c r="J11" s="33"/>
      <c r="K11" s="33"/>
      <c r="L11" s="34"/>
      <c r="M11" s="1">
        <v>222266.79728</v>
      </c>
      <c r="N11" s="36"/>
    </row>
    <row r="12" spans="1:18">
      <c r="A12" s="31">
        <v>4</v>
      </c>
      <c r="B12" s="32" t="s">
        <v>64</v>
      </c>
      <c r="C12" s="33">
        <f t="shared" si="0"/>
        <v>19472</v>
      </c>
      <c r="D12" s="33">
        <f>'TH THU_61_342_50_31'!D88</f>
        <v>19472</v>
      </c>
      <c r="E12" s="33">
        <v>0</v>
      </c>
      <c r="F12" s="34">
        <v>0</v>
      </c>
      <c r="G12" s="35">
        <v>3</v>
      </c>
      <c r="H12" s="32" t="s">
        <v>66</v>
      </c>
      <c r="I12" s="581">
        <f t="shared" si="1"/>
        <v>6374277.4269839991</v>
      </c>
      <c r="J12" s="581">
        <f>'TH CHI_62_342_BTC'!F35</f>
        <v>2144082.4393250002</v>
      </c>
      <c r="K12" s="33">
        <f>'TH CHI_62_342_BTC'!I35</f>
        <v>3361203.6795069994</v>
      </c>
      <c r="L12" s="34">
        <f>'TH CHI_62_342_BTC'!L35</f>
        <v>868991.30815199995</v>
      </c>
      <c r="M12" s="4">
        <v>3179685.9635049999</v>
      </c>
    </row>
    <row r="13" spans="1:18">
      <c r="A13" s="31">
        <v>3</v>
      </c>
      <c r="B13" s="32" t="s">
        <v>65</v>
      </c>
      <c r="C13" s="33">
        <f t="shared" si="0"/>
        <v>269730.17774000001</v>
      </c>
      <c r="D13" s="33">
        <f>'TH THU_61_342_50_31'!F106</f>
        <v>161330.90822799999</v>
      </c>
      <c r="E13" s="33">
        <f>'TH THU_61_342_50_31'!G106</f>
        <v>79963.265299000006</v>
      </c>
      <c r="F13" s="34">
        <f>'TH THU_61_342_50_31'!H106</f>
        <v>28436.004213</v>
      </c>
      <c r="G13" s="35">
        <v>4</v>
      </c>
      <c r="H13" s="32" t="s">
        <v>68</v>
      </c>
      <c r="I13" s="33">
        <f t="shared" si="1"/>
        <v>1000</v>
      </c>
      <c r="J13" s="33">
        <v>1000</v>
      </c>
      <c r="K13" s="33">
        <v>0</v>
      </c>
      <c r="L13" s="34">
        <v>0</v>
      </c>
    </row>
    <row r="14" spans="1:18">
      <c r="A14" s="31">
        <v>4</v>
      </c>
      <c r="B14" s="32" t="s">
        <v>67</v>
      </c>
      <c r="C14" s="33">
        <f t="shared" si="0"/>
        <v>1076220.2512020001</v>
      </c>
      <c r="D14" s="33">
        <f>'TH THU_61_342_50_31'!F105</f>
        <v>868431.32582499995</v>
      </c>
      <c r="E14" s="33">
        <f>'TH THU_61_342_50_31'!G105</f>
        <v>168512.56127999999</v>
      </c>
      <c r="F14" s="34">
        <f>'TH THU_61_342_50_31'!H105</f>
        <v>39276.364096999998</v>
      </c>
      <c r="G14" s="35">
        <v>5</v>
      </c>
      <c r="H14" s="32" t="s">
        <v>72</v>
      </c>
      <c r="I14" s="33">
        <f>+J14+K14+L14</f>
        <v>5202830.0485070003</v>
      </c>
      <c r="J14" s="33">
        <f>'TH CHI_62_342_51_52_53_31'!F102</f>
        <v>4169359.5692720003</v>
      </c>
      <c r="K14" s="33">
        <f>'TH CHI_62_342_51_52_53_31'!I102</f>
        <v>1033470.479235</v>
      </c>
      <c r="L14" s="34">
        <v>0</v>
      </c>
    </row>
    <row r="15" spans="1:18">
      <c r="A15" s="31">
        <v>5</v>
      </c>
      <c r="B15" s="32" t="s">
        <v>69</v>
      </c>
      <c r="C15" s="33">
        <f t="shared" ref="C15:C17" si="2">SUM(D15:F15)</f>
        <v>1815.826802</v>
      </c>
      <c r="D15" s="33">
        <f>'TH THU_61_342_50_31'!F104</f>
        <v>1815.826802</v>
      </c>
      <c r="E15" s="33">
        <f>'TH THU_61_342_50_31'!G104</f>
        <v>0</v>
      </c>
      <c r="F15" s="34">
        <f>'TH THU_61_342_50_31'!H104</f>
        <v>0</v>
      </c>
      <c r="G15" s="35">
        <v>6</v>
      </c>
      <c r="H15" s="32" t="s">
        <v>74</v>
      </c>
      <c r="I15" s="33">
        <f>+J15+K15+L15</f>
        <v>1937171.8458830002</v>
      </c>
      <c r="J15" s="33">
        <f>'TH CHI_62_342_51_52_53_31'!F77</f>
        <v>1736404.7300210001</v>
      </c>
      <c r="K15" s="33">
        <f>'TH CHI_62_342_51_52_53_31'!$I$77</f>
        <v>179265.12734599999</v>
      </c>
      <c r="L15" s="34">
        <f>'TH CHI_62_342_51_52_53_31'!$L$77</f>
        <v>21501.988516000001</v>
      </c>
      <c r="M15" s="36">
        <v>2093720983547</v>
      </c>
    </row>
    <row r="16" spans="1:18">
      <c r="A16" s="31">
        <v>6</v>
      </c>
      <c r="B16" s="32" t="s">
        <v>71</v>
      </c>
      <c r="C16" s="33">
        <f>SUM(D16:F16)</f>
        <v>11032643.048507001</v>
      </c>
      <c r="D16" s="33">
        <f>D17+D18+D19</f>
        <v>5829813</v>
      </c>
      <c r="E16" s="33">
        <f>E17+E18</f>
        <v>4169359.5692720003</v>
      </c>
      <c r="F16" s="34">
        <f>F17+F18</f>
        <v>1033470.479235</v>
      </c>
      <c r="G16" s="38">
        <v>7</v>
      </c>
      <c r="H16" s="39" t="s">
        <v>76</v>
      </c>
      <c r="I16" s="580">
        <f>+J16+K16+L16</f>
        <v>32846.826802000003</v>
      </c>
      <c r="J16" s="580">
        <f>'TH CHI_62_342_51_52_53_31'!$F$107</f>
        <v>31031</v>
      </c>
      <c r="K16" s="580">
        <f>'TH CHI_62_342_51_52_53_31'!$I$107</f>
        <v>1815.826802</v>
      </c>
      <c r="L16" s="40">
        <f>'TH CHI_62_342_51_52_53_31'!$L$107</f>
        <v>0</v>
      </c>
      <c r="M16" s="1">
        <v>735330.57</v>
      </c>
      <c r="N16" s="1">
        <f>379027/2</f>
        <v>189513.5</v>
      </c>
      <c r="O16" s="1">
        <v>150000</v>
      </c>
      <c r="P16" s="1">
        <f>+N16-O16</f>
        <v>39513.5</v>
      </c>
      <c r="Q16" s="1">
        <v>379027</v>
      </c>
      <c r="R16" s="1">
        <f>+Q16-O16</f>
        <v>229027</v>
      </c>
    </row>
    <row r="17" spans="1:14">
      <c r="A17" s="31"/>
      <c r="B17" s="32" t="s">
        <v>73</v>
      </c>
      <c r="C17" s="33">
        <f t="shared" si="2"/>
        <v>6777662.2131140009</v>
      </c>
      <c r="D17" s="33">
        <f>'TH THU_61_342_50_31'!F100</f>
        <v>3398277</v>
      </c>
      <c r="E17" s="33">
        <f>'TH THU_61_342_50_31'!G100</f>
        <v>2795442.0380000002</v>
      </c>
      <c r="F17" s="34">
        <f>'TH THU_61_342_50_31'!H100</f>
        <v>583943.17511399998</v>
      </c>
      <c r="H17" s="513"/>
      <c r="I17" s="605">
        <v>0</v>
      </c>
      <c r="J17" s="605">
        <v>0</v>
      </c>
      <c r="K17" s="605">
        <v>0</v>
      </c>
      <c r="L17" s="928">
        <v>0</v>
      </c>
      <c r="M17" s="36" t="e">
        <f>+M16-#REF!</f>
        <v>#REF!</v>
      </c>
    </row>
    <row r="18" spans="1:14">
      <c r="A18" s="37"/>
      <c r="B18" s="32" t="s">
        <v>75</v>
      </c>
      <c r="C18" s="33">
        <f>SUM(D18:F18)</f>
        <v>4254980.8353929995</v>
      </c>
      <c r="D18" s="33">
        <f>'TH THU_61_342_50_31'!F101</f>
        <v>2431536</v>
      </c>
      <c r="E18" s="33">
        <f>'TH THU_61_342_50_31'!G101</f>
        <v>1373917.5312719999</v>
      </c>
      <c r="F18" s="34">
        <f>'TH THU_61_342_50_31'!H101</f>
        <v>449527.30412099999</v>
      </c>
      <c r="G18" s="512"/>
      <c r="H18" s="513"/>
      <c r="I18" s="605">
        <v>0</v>
      </c>
      <c r="J18" s="605">
        <v>0</v>
      </c>
      <c r="K18" s="605">
        <v>0</v>
      </c>
      <c r="L18" s="928">
        <v>0</v>
      </c>
      <c r="M18" s="1">
        <v>86597.686707000001</v>
      </c>
    </row>
    <row r="19" spans="1:14" hidden="1">
      <c r="A19" s="37"/>
      <c r="B19" s="453" t="s">
        <v>734</v>
      </c>
      <c r="C19" s="33">
        <f>SUM(D19:F19)</f>
        <v>0</v>
      </c>
      <c r="D19" s="33"/>
      <c r="E19" s="33"/>
      <c r="F19" s="34"/>
      <c r="G19" s="449"/>
      <c r="H19" s="450"/>
      <c r="I19" s="605"/>
      <c r="J19" s="605"/>
      <c r="K19" s="605"/>
      <c r="L19" s="928"/>
    </row>
    <row r="20" spans="1:14" ht="25.5">
      <c r="A20" s="41">
        <v>7</v>
      </c>
      <c r="B20" s="39" t="s">
        <v>77</v>
      </c>
      <c r="C20" s="580">
        <f>+D20+E20+F20</f>
        <v>17191.065999999999</v>
      </c>
      <c r="D20" s="580">
        <f>'TH THU_61_342_50_31'!F85</f>
        <v>0</v>
      </c>
      <c r="E20" s="580">
        <f>'TH THU_61_342_50_31'!G85</f>
        <v>5647.4340000000002</v>
      </c>
      <c r="F20" s="40">
        <f>'TH THU_61_342_50_31'!H85</f>
        <v>11543.632</v>
      </c>
      <c r="G20" s="42"/>
      <c r="H20" s="43"/>
      <c r="I20" s="605">
        <v>0</v>
      </c>
      <c r="J20" s="605">
        <v>0</v>
      </c>
      <c r="K20" s="605">
        <v>0</v>
      </c>
      <c r="L20" s="928">
        <v>0</v>
      </c>
      <c r="M20" s="36">
        <f>+K15+L15</f>
        <v>200767.11586200001</v>
      </c>
    </row>
    <row r="21" spans="1:14" s="25" customFormat="1" hidden="1">
      <c r="I21" s="605"/>
      <c r="J21" s="605"/>
      <c r="K21" s="605"/>
      <c r="L21" s="928"/>
    </row>
    <row r="22" spans="1:14" hidden="1">
      <c r="A22" s="37"/>
      <c r="B22" s="32"/>
      <c r="C22" s="33"/>
      <c r="D22" s="33"/>
      <c r="E22" s="33"/>
      <c r="F22" s="34"/>
      <c r="G22" s="35"/>
      <c r="H22" s="32"/>
      <c r="I22" s="605"/>
      <c r="J22" s="605"/>
      <c r="K22" s="605"/>
      <c r="L22" s="928"/>
    </row>
    <row r="23" spans="1:14">
      <c r="A23" s="45"/>
      <c r="B23" s="46" t="s">
        <v>946</v>
      </c>
      <c r="C23" s="47">
        <f>SUM(D23:F23)</f>
        <v>122724.36797100003</v>
      </c>
      <c r="D23" s="47">
        <f>+D7-J7</f>
        <v>6143.3973079994321</v>
      </c>
      <c r="E23" s="47">
        <f>+E7-K7</f>
        <v>89885.052839000709</v>
      </c>
      <c r="F23" s="48">
        <f>+F7-L7</f>
        <v>26695.917823999887</v>
      </c>
      <c r="G23" s="49"/>
      <c r="H23" s="50"/>
      <c r="I23" s="613">
        <v>0</v>
      </c>
      <c r="J23" s="613">
        <v>0</v>
      </c>
      <c r="K23" s="613">
        <v>0</v>
      </c>
      <c r="L23" s="929">
        <v>0</v>
      </c>
      <c r="M23" s="36">
        <f>+E23+F23</f>
        <v>116580.9706630006</v>
      </c>
      <c r="N23" s="1">
        <v>205638</v>
      </c>
    </row>
    <row r="24" spans="1:14" hidden="1">
      <c r="A24" s="53"/>
      <c r="B24" s="54" t="s">
        <v>78</v>
      </c>
      <c r="C24" s="55"/>
      <c r="D24" s="55"/>
      <c r="E24" s="55"/>
      <c r="F24" s="56"/>
      <c r="G24" s="49"/>
      <c r="H24" s="50"/>
      <c r="I24" s="51"/>
      <c r="J24" s="51"/>
      <c r="K24" s="51"/>
      <c r="L24" s="52"/>
      <c r="M24" s="36"/>
    </row>
    <row r="25" spans="1:14" s="67" customFormat="1" hidden="1">
      <c r="A25" s="57"/>
      <c r="B25" s="58" t="s">
        <v>79</v>
      </c>
      <c r="C25" s="59"/>
      <c r="D25" s="60">
        <f>+D23-D26</f>
        <v>-156357.60269200057</v>
      </c>
      <c r="E25" s="59"/>
      <c r="F25" s="61"/>
      <c r="G25" s="62"/>
      <c r="H25" s="63"/>
      <c r="I25" s="64"/>
      <c r="J25" s="64"/>
      <c r="K25" s="64"/>
      <c r="L25" s="65"/>
      <c r="M25" s="66"/>
      <c r="N25" s="66">
        <f>+I9+I15+I27</f>
        <v>5039994.8292800011</v>
      </c>
    </row>
    <row r="26" spans="1:14" s="77" customFormat="1" ht="25.5" hidden="1">
      <c r="A26" s="68"/>
      <c r="B26" s="58" t="s">
        <v>735</v>
      </c>
      <c r="C26" s="69"/>
      <c r="D26" s="70">
        <v>162501</v>
      </c>
      <c r="E26" s="69"/>
      <c r="F26" s="71"/>
      <c r="G26" s="72"/>
      <c r="H26" s="73"/>
      <c r="I26" s="74"/>
      <c r="J26" s="74"/>
      <c r="K26" s="74"/>
      <c r="L26" s="75"/>
      <c r="M26" s="76"/>
    </row>
    <row r="27" spans="1:14" ht="16.5" thickBot="1">
      <c r="A27" s="78" t="s">
        <v>80</v>
      </c>
      <c r="B27" s="79" t="s">
        <v>81</v>
      </c>
      <c r="C27" s="80">
        <f>+D27+E27+F27</f>
        <v>0</v>
      </c>
      <c r="D27" s="80"/>
      <c r="E27" s="80"/>
      <c r="F27" s="81"/>
      <c r="G27" s="82" t="s">
        <v>80</v>
      </c>
      <c r="H27" s="83" t="s">
        <v>82</v>
      </c>
      <c r="I27" s="80">
        <f>SUM(J27:L27)</f>
        <v>86597.686707000001</v>
      </c>
      <c r="J27" s="80">
        <v>86597.686707000001</v>
      </c>
      <c r="K27" s="80">
        <v>0</v>
      </c>
      <c r="L27" s="81">
        <v>0</v>
      </c>
    </row>
    <row r="28" spans="1:14" ht="22.5" customHeight="1" thickTop="1">
      <c r="A28" s="84"/>
      <c r="B28" s="593"/>
      <c r="C28" s="85"/>
      <c r="D28" s="8"/>
      <c r="E28" s="7"/>
      <c r="F28" s="7"/>
      <c r="G28" s="6"/>
      <c r="I28" s="85"/>
      <c r="J28" s="7"/>
      <c r="K28" s="7"/>
      <c r="L28" s="7"/>
      <c r="M28" s="1">
        <v>8482.8799999999992</v>
      </c>
    </row>
    <row r="29" spans="1:14" ht="15" customHeight="1">
      <c r="A29" s="86"/>
      <c r="B29" s="87" t="s">
        <v>2716</v>
      </c>
      <c r="C29" s="88"/>
      <c r="D29" s="8"/>
      <c r="E29" s="7"/>
      <c r="F29" s="89" t="s">
        <v>2717</v>
      </c>
      <c r="G29" s="6"/>
      <c r="I29" s="88"/>
      <c r="J29" s="89" t="s">
        <v>2718</v>
      </c>
      <c r="K29" s="7"/>
      <c r="L29" s="7"/>
      <c r="M29" s="1">
        <v>44171.745375999999</v>
      </c>
    </row>
    <row r="30" spans="1:14" ht="15.75" customHeight="1">
      <c r="A30" s="86"/>
      <c r="B30" s="90" t="s">
        <v>83</v>
      </c>
      <c r="C30" s="88"/>
      <c r="D30" s="8"/>
      <c r="E30" s="7"/>
      <c r="F30" s="553" t="s">
        <v>84</v>
      </c>
      <c r="G30" s="6"/>
      <c r="I30" s="88"/>
      <c r="J30" s="553" t="s">
        <v>85</v>
      </c>
      <c r="K30" s="7"/>
      <c r="L30" s="7"/>
      <c r="M30" s="36">
        <f>+J15+M29</f>
        <v>1780576.4753970001</v>
      </c>
    </row>
    <row r="31" spans="1:14" ht="15" customHeight="1">
      <c r="A31" s="86"/>
      <c r="B31" s="91"/>
      <c r="C31" s="88"/>
      <c r="D31" s="8"/>
      <c r="E31" s="7"/>
      <c r="F31" s="7"/>
      <c r="G31" s="6"/>
      <c r="H31" s="932"/>
      <c r="I31" s="88"/>
      <c r="J31" s="553" t="s">
        <v>86</v>
      </c>
      <c r="K31" s="7"/>
      <c r="L31" s="7"/>
      <c r="M31" s="7">
        <v>833784409269</v>
      </c>
    </row>
    <row r="32" spans="1:14" ht="22.5" customHeight="1">
      <c r="A32" s="86"/>
      <c r="B32" s="462">
        <v>1667548984168</v>
      </c>
      <c r="C32" s="88"/>
      <c r="D32" s="92">
        <f>+E9+F9</f>
        <v>430248.030386</v>
      </c>
      <c r="E32" s="7">
        <v>6143.3973079999996</v>
      </c>
      <c r="F32" s="618">
        <f>+E32-D23</f>
        <v>5.6752469390630722E-10</v>
      </c>
      <c r="G32" s="6"/>
      <c r="H32" s="36">
        <f>'TH CHI_62_342_51_52_53_31'!E108</f>
        <v>16651353.036225997</v>
      </c>
      <c r="I32" s="88"/>
      <c r="J32" s="7"/>
      <c r="K32" s="7"/>
      <c r="L32" s="7"/>
    </row>
    <row r="33" spans="1:13">
      <c r="A33" s="86"/>
      <c r="B33" s="86"/>
      <c r="C33" s="444">
        <v>4860762.9841680005</v>
      </c>
      <c r="D33" s="7"/>
      <c r="E33" s="7"/>
      <c r="F33" s="86"/>
      <c r="G33" s="6"/>
      <c r="H33" s="36">
        <f>I7-H32</f>
        <v>0</v>
      </c>
      <c r="J33" s="86" t="s">
        <v>87</v>
      </c>
      <c r="K33" s="7"/>
      <c r="L33" s="7"/>
      <c r="M33" s="1">
        <v>14000</v>
      </c>
    </row>
    <row r="34" spans="1:13" s="95" customFormat="1">
      <c r="A34" s="552"/>
      <c r="B34" s="552" t="s">
        <v>88</v>
      </c>
      <c r="C34" s="445">
        <f>D16-C33</f>
        <v>969050.01583199948</v>
      </c>
      <c r="D34" s="94"/>
      <c r="E34" s="94"/>
      <c r="F34" s="553"/>
      <c r="G34" s="552"/>
      <c r="H34" s="98">
        <f>+E23+F23</f>
        <v>116580.9706630006</v>
      </c>
      <c r="J34" s="553" t="s">
        <v>89</v>
      </c>
      <c r="K34" s="94"/>
      <c r="L34" s="94"/>
      <c r="M34" s="95">
        <f>+M33-M28</f>
        <v>5517.1200000000008</v>
      </c>
    </row>
    <row r="35" spans="1:13" s="95" customFormat="1">
      <c r="A35" s="552"/>
      <c r="B35" s="96">
        <f>+C23-B37</f>
        <v>-653789.84624299896</v>
      </c>
      <c r="C35" s="552">
        <v>214782.003185999</v>
      </c>
      <c r="D35" s="94">
        <v>668114.94470199943</v>
      </c>
      <c r="E35" s="97">
        <f>+D23-D35</f>
        <v>-661971.54739399999</v>
      </c>
      <c r="F35" s="553"/>
      <c r="G35" s="552"/>
      <c r="J35" s="553"/>
      <c r="K35" s="94"/>
      <c r="L35" s="94"/>
    </row>
    <row r="36" spans="1:13" s="95" customFormat="1">
      <c r="A36" s="552"/>
      <c r="B36" s="552">
        <v>338390.78388499998</v>
      </c>
      <c r="C36" s="445">
        <f>C23-C35</f>
        <v>-92057.635214998969</v>
      </c>
      <c r="D36" s="94"/>
      <c r="E36" s="94"/>
      <c r="F36" s="525" t="s">
        <v>948</v>
      </c>
      <c r="G36" s="552"/>
      <c r="H36" s="524">
        <f>+C7-E16-F16</f>
        <v>11571247.355689999</v>
      </c>
      <c r="I36" s="98">
        <f>+J10+J27</f>
        <v>87001.591360000006</v>
      </c>
      <c r="J36" s="553"/>
      <c r="K36" s="94"/>
      <c r="L36" s="94"/>
    </row>
    <row r="37" spans="1:13" s="95" customFormat="1">
      <c r="A37" s="552"/>
      <c r="B37" s="552">
        <v>776514.21421399899</v>
      </c>
      <c r="C37" s="447">
        <f>'TH THU_61_342_50_31'!F8+'TH THU_61_342_50_31'!G8+'TH THU_61_342_50_31'!H8</f>
        <v>16774077.404197002</v>
      </c>
      <c r="D37" s="94">
        <v>46848</v>
      </c>
      <c r="E37" s="94"/>
      <c r="F37" s="525" t="s">
        <v>949</v>
      </c>
      <c r="G37" s="552"/>
      <c r="H37" s="524">
        <f>+I7-I14</f>
        <v>11448522.987718999</v>
      </c>
      <c r="J37" s="553"/>
      <c r="K37" s="94"/>
      <c r="L37" s="94"/>
    </row>
    <row r="38" spans="1:13" s="95" customFormat="1">
      <c r="A38" s="552"/>
      <c r="B38" s="552"/>
      <c r="C38" s="445">
        <f>C7-C37</f>
        <v>0</v>
      </c>
      <c r="D38" s="617">
        <f>+D37-D23</f>
        <v>40704.602692000568</v>
      </c>
      <c r="E38" s="617" t="s">
        <v>1087</v>
      </c>
      <c r="F38" s="525" t="s">
        <v>944</v>
      </c>
      <c r="G38" s="552"/>
      <c r="H38" s="524">
        <f>+H36-H37</f>
        <v>122724.36797099933</v>
      </c>
      <c r="J38" s="553"/>
      <c r="K38" s="94"/>
      <c r="L38" s="94"/>
    </row>
    <row r="39" spans="1:13">
      <c r="A39" s="6"/>
      <c r="B39" s="552" t="s">
        <v>90</v>
      </c>
      <c r="C39" s="36">
        <v>122724.367971</v>
      </c>
      <c r="D39" s="958">
        <f>+C39-C23</f>
        <v>0</v>
      </c>
      <c r="E39" s="7"/>
      <c r="F39" s="7"/>
      <c r="G39" s="6"/>
      <c r="I39" s="1659"/>
      <c r="J39" s="1659"/>
      <c r="K39" s="1659"/>
      <c r="L39" s="7"/>
    </row>
    <row r="40" spans="1:13">
      <c r="B40" s="7">
        <v>9326307767</v>
      </c>
      <c r="C40" s="36"/>
      <c r="G40" s="6"/>
      <c r="M40" s="33">
        <f>287180.488582+37667.779756+65018+488732</f>
        <v>878598.26833800005</v>
      </c>
    </row>
    <row r="41" spans="1:13">
      <c r="B41" s="1">
        <v>24410808250</v>
      </c>
      <c r="C41" s="1">
        <v>425</v>
      </c>
      <c r="D41" s="36">
        <v>6638.0820000000003</v>
      </c>
      <c r="E41" s="1">
        <v>21690.991047</v>
      </c>
      <c r="G41" s="6"/>
    </row>
    <row r="42" spans="1:13">
      <c r="B42" s="99">
        <f>+B41-B40</f>
        <v>15084500483</v>
      </c>
      <c r="C42" s="100">
        <f>+C41+D7</f>
        <v>10512241.447145998</v>
      </c>
      <c r="D42" s="100">
        <f>+D41+E7</f>
        <v>5083870.3319320008</v>
      </c>
      <c r="E42" s="100">
        <f>+E41+F7</f>
        <v>1206719.698166</v>
      </c>
      <c r="G42" s="6"/>
      <c r="H42" s="36"/>
      <c r="I42" s="1" t="s">
        <v>91</v>
      </c>
    </row>
    <row r="43" spans="1:13">
      <c r="B43" s="1">
        <v>13925313.673157999</v>
      </c>
      <c r="C43" s="1" t="s">
        <v>92</v>
      </c>
      <c r="I43" s="101">
        <f>+J7-J15</f>
        <v>8769268.3198169991</v>
      </c>
    </row>
    <row r="44" spans="1:13">
      <c r="B44" s="36">
        <f>+C7</f>
        <v>16774077.404196998</v>
      </c>
      <c r="C44" s="1" t="s">
        <v>93</v>
      </c>
      <c r="D44" s="7"/>
    </row>
    <row r="45" spans="1:13">
      <c r="B45" s="36">
        <f>+B43-B44</f>
        <v>-2848763.7310389988</v>
      </c>
      <c r="C45" s="1" t="s">
        <v>94</v>
      </c>
      <c r="E45" s="36"/>
    </row>
    <row r="46" spans="1:13">
      <c r="B46" s="1">
        <v>323296.52944499999</v>
      </c>
    </row>
    <row r="47" spans="1:13">
      <c r="B47" s="36">
        <f>+B45-B46</f>
        <v>-3172060.2604839988</v>
      </c>
    </row>
  </sheetData>
  <sheetProtection selectLockedCells="1" selectUnlockedCells="1"/>
  <mergeCells count="6">
    <mergeCell ref="I39:K39"/>
    <mergeCell ref="A2:L2"/>
    <mergeCell ref="A5:A6"/>
    <mergeCell ref="B5:B6"/>
    <mergeCell ref="G5:G6"/>
    <mergeCell ref="H5:H6"/>
  </mergeCells>
  <pageMargins left="0.25" right="0" top="0.25" bottom="0" header="0.51180555555555596" footer="0.51180555555555596"/>
  <pageSetup paperSize="9" scale="90" firstPageNumber="0" orientation="landscape"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9"/>
  <sheetViews>
    <sheetView zoomScale="115" zoomScaleNormal="115" workbookViewId="0">
      <selection activeCell="B62" sqref="B62"/>
    </sheetView>
  </sheetViews>
  <sheetFormatPr defaultColWidth="46.7109375" defaultRowHeight="15.75"/>
  <cols>
    <col min="1" max="1" width="4.5703125" style="102" customWidth="1"/>
    <col min="2" max="2" width="56.85546875" style="102" customWidth="1"/>
    <col min="3" max="3" width="14.140625" style="117" hidden="1" customWidth="1"/>
    <col min="4" max="4" width="9.140625" style="134" customWidth="1"/>
    <col min="5" max="6" width="9.5703125" style="134" customWidth="1"/>
    <col min="7" max="7" width="11.28515625" style="102" customWidth="1"/>
    <col min="8" max="8" width="10.5703125" style="117" customWidth="1"/>
    <col min="9" max="9" width="11.7109375" style="117" hidden="1" customWidth="1"/>
    <col min="10" max="10" width="15.5703125" style="117" hidden="1" customWidth="1"/>
    <col min="11" max="11" width="10.85546875" style="102" customWidth="1"/>
    <col min="12" max="12" width="10.7109375" style="102" hidden="1" customWidth="1"/>
    <col min="13" max="13" width="12.42578125" style="117" hidden="1" customWidth="1"/>
    <col min="14" max="14" width="14.28515625" style="102" hidden="1" customWidth="1"/>
    <col min="15" max="15" width="10" style="102" hidden="1" customWidth="1"/>
    <col min="16" max="16" width="12.85546875" style="117" hidden="1" customWidth="1"/>
    <col min="17" max="17" width="10.42578125" style="102" hidden="1" customWidth="1"/>
    <col min="18" max="18" width="7.28515625" style="102" customWidth="1"/>
    <col min="19" max="19" width="6.42578125" style="102" customWidth="1"/>
    <col min="20" max="20" width="6.28515625" style="102" customWidth="1"/>
    <col min="21" max="21" width="12.42578125" style="102" customWidth="1"/>
    <col min="22" max="22" width="16.140625" style="102" hidden="1" customWidth="1"/>
    <col min="23" max="256" width="9.140625" style="102" customWidth="1"/>
    <col min="257" max="257" width="5.42578125" style="102" customWidth="1"/>
    <col min="258" max="16384" width="46.7109375" style="102"/>
  </cols>
  <sheetData>
    <row r="1" spans="1:22" s="1142" customFormat="1" ht="17.100000000000001" customHeight="1">
      <c r="A1" s="1207" t="s">
        <v>3110</v>
      </c>
      <c r="D1" s="1501"/>
      <c r="E1" s="1501"/>
      <c r="F1" s="1501"/>
      <c r="H1" s="1502"/>
      <c r="I1" s="1502"/>
      <c r="J1" s="1502"/>
      <c r="K1" s="1683" t="s">
        <v>3120</v>
      </c>
      <c r="L1" s="1683"/>
      <c r="M1" s="1683"/>
      <c r="N1" s="1683"/>
      <c r="O1" s="1683"/>
      <c r="P1" s="1683"/>
      <c r="Q1" s="1683"/>
      <c r="R1" s="1683"/>
      <c r="S1" s="1683"/>
      <c r="T1" s="1683"/>
    </row>
    <row r="2" spans="1:22" s="1142" customFormat="1" ht="17.100000000000001" customHeight="1">
      <c r="A2" s="1207" t="s">
        <v>2878</v>
      </c>
      <c r="D2" s="1501"/>
      <c r="E2" s="1501"/>
      <c r="F2" s="1501"/>
      <c r="H2" s="1502"/>
      <c r="I2" s="1502"/>
      <c r="J2" s="1502"/>
      <c r="M2" s="1502"/>
      <c r="N2" s="1504"/>
      <c r="O2" s="1504"/>
      <c r="P2" s="1504"/>
      <c r="Q2" s="1504"/>
      <c r="R2" s="1504"/>
      <c r="S2" s="1504"/>
      <c r="T2" s="1503"/>
    </row>
    <row r="3" spans="1:22" ht="36.75" customHeight="1">
      <c r="C3" s="102"/>
      <c r="N3" s="1505"/>
      <c r="O3" s="1505"/>
      <c r="P3" s="1505"/>
      <c r="Q3" s="1505"/>
      <c r="R3" s="1505"/>
      <c r="S3" s="1505"/>
      <c r="T3" s="104"/>
    </row>
    <row r="4" spans="1:22" ht="42.75" customHeight="1">
      <c r="A4" s="1716" t="s">
        <v>3104</v>
      </c>
      <c r="B4" s="1716"/>
      <c r="C4" s="1716"/>
      <c r="D4" s="1716"/>
      <c r="E4" s="1716"/>
      <c r="F4" s="1716"/>
      <c r="G4" s="1716"/>
      <c r="H4" s="1716"/>
      <c r="I4" s="1716"/>
      <c r="J4" s="1716"/>
      <c r="K4" s="1716"/>
      <c r="L4" s="1716"/>
      <c r="M4" s="1716"/>
      <c r="N4" s="1716"/>
      <c r="O4" s="1716"/>
      <c r="P4" s="1716"/>
      <c r="Q4" s="1716"/>
      <c r="R4" s="1716"/>
      <c r="S4" s="1716"/>
      <c r="T4" s="254"/>
    </row>
    <row r="5" spans="1:22" ht="22.5" customHeight="1">
      <c r="A5" s="1717" t="s">
        <v>3121</v>
      </c>
      <c r="B5" s="1717"/>
      <c r="C5" s="1717"/>
      <c r="D5" s="1717"/>
      <c r="E5" s="1717"/>
      <c r="F5" s="1717"/>
      <c r="G5" s="1717"/>
      <c r="H5" s="1717"/>
      <c r="I5" s="1717"/>
      <c r="J5" s="1717"/>
      <c r="K5" s="1717"/>
      <c r="L5" s="1717"/>
      <c r="M5" s="1717"/>
      <c r="N5" s="1717"/>
      <c r="O5" s="1717"/>
      <c r="P5" s="1717"/>
      <c r="Q5" s="1717"/>
      <c r="R5" s="1717"/>
      <c r="S5" s="1717"/>
      <c r="T5" s="254"/>
    </row>
    <row r="6" spans="1:22" ht="24.75" customHeight="1">
      <c r="A6" s="1253"/>
      <c r="B6" s="1253"/>
      <c r="C6" s="1253"/>
      <c r="D6" s="1253"/>
      <c r="E6" s="1253"/>
      <c r="F6" s="1253"/>
      <c r="G6" s="1253"/>
      <c r="H6" s="1253"/>
      <c r="I6" s="1253"/>
      <c r="J6" s="1253"/>
      <c r="K6" s="1253"/>
      <c r="L6" s="1253"/>
      <c r="M6" s="1253"/>
      <c r="N6" s="1253"/>
      <c r="O6" s="1253"/>
      <c r="P6" s="1253"/>
      <c r="Q6" s="1253"/>
      <c r="R6" s="1253"/>
      <c r="S6" s="1253"/>
      <c r="T6" s="254"/>
    </row>
    <row r="7" spans="1:22" s="117" customFormat="1" ht="25.5" customHeight="1">
      <c r="B7" s="105"/>
      <c r="C7" s="516"/>
      <c r="D7" s="255"/>
      <c r="E7" s="255"/>
      <c r="F7" s="255"/>
      <c r="G7" s="256"/>
      <c r="H7" s="507"/>
      <c r="I7" s="257"/>
      <c r="J7" s="257"/>
      <c r="K7" s="1718" t="s">
        <v>44</v>
      </c>
      <c r="L7" s="1718"/>
      <c r="M7" s="1718"/>
      <c r="N7" s="1718"/>
      <c r="O7" s="1718"/>
      <c r="P7" s="1718"/>
      <c r="Q7" s="1718"/>
      <c r="R7" s="1718"/>
      <c r="S7" s="1718"/>
      <c r="T7" s="1718"/>
      <c r="V7" s="290" t="e">
        <f>+U7-#REF!</f>
        <v>#REF!</v>
      </c>
    </row>
    <row r="8" spans="1:22" ht="21" customHeight="1">
      <c r="A8" s="1719" t="s">
        <v>45</v>
      </c>
      <c r="B8" s="1720" t="s">
        <v>355</v>
      </c>
      <c r="C8" s="1254" t="s">
        <v>939</v>
      </c>
      <c r="D8" s="1720" t="s">
        <v>1011</v>
      </c>
      <c r="E8" s="1720" t="s">
        <v>341</v>
      </c>
      <c r="F8" s="1720"/>
      <c r="G8" s="1720" t="s">
        <v>2854</v>
      </c>
      <c r="H8" s="1720" t="s">
        <v>341</v>
      </c>
      <c r="I8" s="1720"/>
      <c r="J8" s="1720"/>
      <c r="K8" s="1720"/>
      <c r="L8" s="1254"/>
      <c r="M8" s="1254"/>
      <c r="N8" s="1254"/>
      <c r="O8" s="1254"/>
      <c r="P8" s="1254"/>
      <c r="Q8" s="1254"/>
      <c r="R8" s="1720" t="s">
        <v>544</v>
      </c>
      <c r="S8" s="1720"/>
      <c r="T8" s="1720"/>
    </row>
    <row r="9" spans="1:22" ht="63" customHeight="1">
      <c r="A9" s="1719"/>
      <c r="B9" s="1720"/>
      <c r="C9" s="1345" t="s">
        <v>101</v>
      </c>
      <c r="D9" s="1720"/>
      <c r="E9" s="1254" t="s">
        <v>2864</v>
      </c>
      <c r="F9" s="1254" t="s">
        <v>2866</v>
      </c>
      <c r="G9" s="1720"/>
      <c r="H9" s="1254" t="s">
        <v>2864</v>
      </c>
      <c r="I9" s="1254"/>
      <c r="J9" s="1254"/>
      <c r="K9" s="1254" t="s">
        <v>2865</v>
      </c>
      <c r="L9" s="1346"/>
      <c r="M9" s="1346"/>
      <c r="N9" s="1346"/>
      <c r="O9" s="1346"/>
      <c r="P9" s="1346"/>
      <c r="Q9" s="1345" t="s">
        <v>101</v>
      </c>
      <c r="R9" s="1254" t="s">
        <v>2867</v>
      </c>
      <c r="S9" s="1254" t="s">
        <v>2864</v>
      </c>
      <c r="T9" s="1255" t="s">
        <v>2866</v>
      </c>
    </row>
    <row r="10" spans="1:22" ht="21" customHeight="1">
      <c r="A10" s="1589" t="s">
        <v>57</v>
      </c>
      <c r="B10" s="1581" t="s">
        <v>80</v>
      </c>
      <c r="C10" s="1581" t="s">
        <v>104</v>
      </c>
      <c r="D10" s="1590" t="s">
        <v>2868</v>
      </c>
      <c r="E10" s="1590">
        <v>2</v>
      </c>
      <c r="F10" s="1590">
        <v>3</v>
      </c>
      <c r="G10" s="1581" t="s">
        <v>2869</v>
      </c>
      <c r="H10" s="1581" t="s">
        <v>359</v>
      </c>
      <c r="I10" s="1581"/>
      <c r="J10" s="1581"/>
      <c r="K10" s="1581" t="s">
        <v>107</v>
      </c>
      <c r="L10" s="1581"/>
      <c r="M10" s="1581"/>
      <c r="N10" s="1581" t="s">
        <v>250</v>
      </c>
      <c r="O10" s="1581"/>
      <c r="P10" s="1581"/>
      <c r="Q10" s="1581" t="s">
        <v>251</v>
      </c>
      <c r="R10" s="1581" t="s">
        <v>2870</v>
      </c>
      <c r="S10" s="1581" t="s">
        <v>2871</v>
      </c>
      <c r="T10" s="1582" t="s">
        <v>2872</v>
      </c>
      <c r="V10" s="103"/>
    </row>
    <row r="11" spans="1:22" ht="21" customHeight="1">
      <c r="A11" s="1350"/>
      <c r="B11" s="1591" t="s">
        <v>2853</v>
      </c>
      <c r="C11" s="1352">
        <f>+C12+C58+C81</f>
        <v>9160828</v>
      </c>
      <c r="D11" s="1570">
        <f>+D12+D58+D81</f>
        <v>9418495</v>
      </c>
      <c r="E11" s="1570">
        <f t="shared" ref="E11:F11" si="0">+E12+E58+E81</f>
        <v>5894166</v>
      </c>
      <c r="F11" s="1570">
        <f t="shared" si="0"/>
        <v>3524329</v>
      </c>
      <c r="G11" s="1353">
        <f>+G12+G58+G81</f>
        <v>11329078.47421</v>
      </c>
      <c r="H11" s="1353">
        <f>+H12+H58+H81</f>
        <v>6218684.7938590003</v>
      </c>
      <c r="I11" s="1354"/>
      <c r="J11" s="1354"/>
      <c r="K11" s="1353">
        <f>+K12+K58+K81</f>
        <v>5110393.6803509993</v>
      </c>
      <c r="L11" s="1354"/>
      <c r="M11" s="1354"/>
      <c r="N11" s="1354"/>
      <c r="O11" s="1354"/>
      <c r="P11" s="1354"/>
      <c r="Q11" s="1354"/>
      <c r="R11" s="1355">
        <f>+G11/D11*100</f>
        <v>120.28544341967586</v>
      </c>
      <c r="S11" s="1355">
        <f>H11/E11*100</f>
        <v>105.50576271280789</v>
      </c>
      <c r="T11" s="1533">
        <f>K11/F11*100</f>
        <v>145.00330929237876</v>
      </c>
      <c r="V11" s="103">
        <v>11448522.99</v>
      </c>
    </row>
    <row r="12" spans="1:22" ht="21" customHeight="1">
      <c r="A12" s="1357" t="s">
        <v>57</v>
      </c>
      <c r="B12" s="1358" t="s">
        <v>2852</v>
      </c>
      <c r="C12" s="1359">
        <f>C13+C39+C54+C55+C56+C57+C82</f>
        <v>7211277</v>
      </c>
      <c r="D12" s="1374">
        <f>D13+D39+D54+D55+D56+D57+D82-1</f>
        <v>7614234</v>
      </c>
      <c r="E12" s="1374">
        <f>E13+E39+E54+E55+E56+E57+E82</f>
        <v>4089905</v>
      </c>
      <c r="F12" s="1374">
        <f>F13+F39+F54+F55+F56+F57+F82</f>
        <v>3524329</v>
      </c>
      <c r="G12" s="1355">
        <f>+G13+G39+G54+G55+G56+G57</f>
        <v>8515965.8033209983</v>
      </c>
      <c r="H12" s="1355">
        <f>+H13+H39+H54+H55+H56+H57</f>
        <v>3798217.7427130002</v>
      </c>
      <c r="I12" s="1360"/>
      <c r="J12" s="1360"/>
      <c r="K12" s="1355">
        <f>+K13+K39+K54+K55+K56+K57</f>
        <v>4717748.0606079996</v>
      </c>
      <c r="L12" s="1360"/>
      <c r="M12" s="1360"/>
      <c r="N12" s="1360">
        <f>+N13+N54+N39+N55+N81+N58</f>
        <v>1158332.789295</v>
      </c>
      <c r="O12" s="1355"/>
      <c r="P12" s="1360"/>
      <c r="Q12" s="1355">
        <f>G12/C12*100</f>
        <v>118.09234069528875</v>
      </c>
      <c r="R12" s="1355">
        <f>G12/D12*100</f>
        <v>111.84271199599327</v>
      </c>
      <c r="S12" s="1355">
        <f t="shared" ref="S12:S75" si="1">H12/E12*100</f>
        <v>92.868116562927511</v>
      </c>
      <c r="T12" s="1533">
        <f t="shared" ref="T12:T56" si="2">K12/F12*100</f>
        <v>133.86230572140113</v>
      </c>
      <c r="V12" s="103">
        <f>+V11-G11</f>
        <v>119444.51579000056</v>
      </c>
    </row>
    <row r="13" spans="1:22" ht="21" customHeight="1">
      <c r="A13" s="1522" t="s">
        <v>108</v>
      </c>
      <c r="B13" s="1530" t="s">
        <v>59</v>
      </c>
      <c r="C13" s="1583">
        <f>+C14+C28+C29</f>
        <v>1656790</v>
      </c>
      <c r="D13" s="1584">
        <v>1785790</v>
      </c>
      <c r="E13" s="1584">
        <f>+E14</f>
        <v>1506210</v>
      </c>
      <c r="F13" s="1584">
        <f>+F14</f>
        <v>279580</v>
      </c>
      <c r="G13" s="1585">
        <f>+G14+G28+G29</f>
        <v>2273828.1467739996</v>
      </c>
      <c r="H13" s="1585">
        <f>+H14+H28+H29</f>
        <v>1703453.2417049999</v>
      </c>
      <c r="I13" s="1585"/>
      <c r="J13" s="1585"/>
      <c r="K13" s="1585">
        <f>+K14+K28+K29</f>
        <v>570374.90506899997</v>
      </c>
      <c r="L13" s="1586"/>
      <c r="M13" s="1585"/>
      <c r="N13" s="1585">
        <f>+N14+N28+N29</f>
        <v>171636.24465800001</v>
      </c>
      <c r="O13" s="1586"/>
      <c r="P13" s="1585"/>
      <c r="Q13" s="1573">
        <f>G13/C13*100</f>
        <v>137.24299076974148</v>
      </c>
      <c r="R13" s="1587">
        <f>G13/D13*100</f>
        <v>127.32897747069923</v>
      </c>
      <c r="S13" s="1587">
        <f t="shared" si="1"/>
        <v>113.09533476108908</v>
      </c>
      <c r="T13" s="1588">
        <f t="shared" si="2"/>
        <v>204.01134024930249</v>
      </c>
      <c r="V13" s="102">
        <f>86597.69+32846.83</f>
        <v>119444.52</v>
      </c>
    </row>
    <row r="14" spans="1:22" ht="21" customHeight="1">
      <c r="A14" s="1516">
        <v>1</v>
      </c>
      <c r="B14" s="1524" t="s">
        <v>2952</v>
      </c>
      <c r="C14" s="1507">
        <v>1656790</v>
      </c>
      <c r="D14" s="1538">
        <v>1785790</v>
      </c>
      <c r="E14" s="1538">
        <v>1506210</v>
      </c>
      <c r="F14" s="1538">
        <v>279580</v>
      </c>
      <c r="G14" s="1535">
        <f>H14+K14</f>
        <v>2171696.2130899997</v>
      </c>
      <c r="H14" s="1536">
        <f>+H15+H16+H17+H18+H19+H20+H21+H22+H23+H24+H25+H26+H27</f>
        <v>1602044.563021</v>
      </c>
      <c r="I14" s="1536">
        <f>+I15+I16+I17+I18+I19+I20+I21+I22+I23+I24+I25+I26+I27</f>
        <v>633340.47815500002</v>
      </c>
      <c r="J14" s="1536">
        <f>+J15+J16+J17+J18+J19+J20+J21+J22+J23+J24+J25+J26+J27</f>
        <v>0</v>
      </c>
      <c r="K14" s="1536">
        <f>+K15+K16+K17+K18+K19+K20+K21+K22+K23+K24+K25+K26+K27</f>
        <v>569651.65006899997</v>
      </c>
      <c r="L14" s="1536">
        <f>+SUM(L15:L27)</f>
        <v>12853.423792</v>
      </c>
      <c r="M14" s="1536">
        <f>+SUM(M15:M27)</f>
        <v>0</v>
      </c>
      <c r="N14" s="1536">
        <f>+N15+N16+N17+N18+N19+N20+N21+N22+N23+N24+N25+N26+N27</f>
        <v>171636.24465800001</v>
      </c>
      <c r="O14" s="1536">
        <f>+O15+O16+O17+O18+O19+O20+O21+O22+O23+O24+O25+O26+O27</f>
        <v>96203.247968999989</v>
      </c>
      <c r="P14" s="1536">
        <f>+P15+P16+P17+P18+P19+P20+P21+P22+P23+P24+P25+P26+P27</f>
        <v>0</v>
      </c>
      <c r="Q14" s="1537">
        <f>G14/C14*100</f>
        <v>131.07854423855767</v>
      </c>
      <c r="R14" s="1355">
        <f>G14/D14*100</f>
        <v>121.60983167617691</v>
      </c>
      <c r="S14" s="1355">
        <f t="shared" si="1"/>
        <v>106.36262958159885</v>
      </c>
      <c r="T14" s="1533">
        <f t="shared" si="2"/>
        <v>203.7526468520638</v>
      </c>
      <c r="U14" s="931"/>
    </row>
    <row r="15" spans="1:22" ht="21" hidden="1" customHeight="1">
      <c r="A15" s="1517" t="s">
        <v>254</v>
      </c>
      <c r="B15" s="1525" t="s">
        <v>255</v>
      </c>
      <c r="C15" s="1507">
        <v>0</v>
      </c>
      <c r="D15" s="1539">
        <v>0</v>
      </c>
      <c r="E15" s="1539">
        <v>0</v>
      </c>
      <c r="F15" s="1539">
        <v>0</v>
      </c>
      <c r="G15" s="1540">
        <f t="shared" ref="G15:G26" si="3">+H15+K15</f>
        <v>29253.509900000001</v>
      </c>
      <c r="H15" s="1540">
        <v>29114.277900000001</v>
      </c>
      <c r="I15" s="1540"/>
      <c r="J15" s="1540"/>
      <c r="K15" s="1541">
        <f>139.232+N15</f>
        <v>139.232</v>
      </c>
      <c r="L15" s="1542"/>
      <c r="M15" s="1540"/>
      <c r="N15" s="1539">
        <v>0</v>
      </c>
      <c r="O15" s="1542"/>
      <c r="P15" s="1540"/>
      <c r="Q15" s="1543">
        <v>0</v>
      </c>
      <c r="R15" s="1367">
        <v>0</v>
      </c>
      <c r="S15" s="1367">
        <v>0</v>
      </c>
      <c r="T15" s="1367">
        <v>0</v>
      </c>
    </row>
    <row r="16" spans="1:22" ht="21" hidden="1" customHeight="1">
      <c r="A16" s="1517" t="s">
        <v>256</v>
      </c>
      <c r="B16" s="1525" t="s">
        <v>257</v>
      </c>
      <c r="C16" s="1507">
        <v>0</v>
      </c>
      <c r="D16" s="1539">
        <v>0</v>
      </c>
      <c r="E16" s="1539">
        <v>0</v>
      </c>
      <c r="F16" s="1539">
        <v>0</v>
      </c>
      <c r="G16" s="1540">
        <f t="shared" si="3"/>
        <v>11565.008900000001</v>
      </c>
      <c r="H16" s="1540">
        <v>11511.0542</v>
      </c>
      <c r="I16" s="1540"/>
      <c r="J16" s="1540"/>
      <c r="K16" s="1541">
        <f>53.9547+N16</f>
        <v>53.954700000000003</v>
      </c>
      <c r="L16" s="1542"/>
      <c r="M16" s="1540"/>
      <c r="N16" s="1539">
        <v>0</v>
      </c>
      <c r="O16" s="1542"/>
      <c r="P16" s="1540"/>
      <c r="Q16" s="1543">
        <v>0</v>
      </c>
      <c r="R16" s="1367">
        <v>0</v>
      </c>
      <c r="S16" s="1367">
        <v>0</v>
      </c>
      <c r="T16" s="1367">
        <v>0</v>
      </c>
    </row>
    <row r="17" spans="1:21" s="1636" customFormat="1" ht="21" customHeight="1">
      <c r="A17" s="1627" t="s">
        <v>254</v>
      </c>
      <c r="B17" s="1628" t="s">
        <v>259</v>
      </c>
      <c r="C17" s="1629">
        <v>0</v>
      </c>
      <c r="D17" s="1630">
        <v>0</v>
      </c>
      <c r="E17" s="1630">
        <v>0</v>
      </c>
      <c r="F17" s="1631">
        <v>0</v>
      </c>
      <c r="G17" s="1632">
        <f t="shared" si="3"/>
        <v>235167.633508</v>
      </c>
      <c r="H17" s="1632">
        <f>112619.79232-I17</f>
        <v>71693.375520000001</v>
      </c>
      <c r="I17" s="1632">
        <v>40926.416799999999</v>
      </c>
      <c r="J17" s="1632"/>
      <c r="K17" s="1632">
        <f>164617.396988-L17+N17</f>
        <v>163474.257988</v>
      </c>
      <c r="L17" s="1632">
        <v>1143.1389999999999</v>
      </c>
      <c r="M17" s="1632"/>
      <c r="N17" s="1630">
        <f>120-O17</f>
        <v>0</v>
      </c>
      <c r="O17" s="1632">
        <v>120</v>
      </c>
      <c r="P17" s="1632"/>
      <c r="Q17" s="1633">
        <v>0</v>
      </c>
      <c r="R17" s="1634">
        <v>0</v>
      </c>
      <c r="S17" s="1635">
        <v>0</v>
      </c>
      <c r="T17" s="1635">
        <v>0</v>
      </c>
    </row>
    <row r="18" spans="1:21" s="1636" customFormat="1" ht="21" customHeight="1">
      <c r="A18" s="1627" t="s">
        <v>256</v>
      </c>
      <c r="B18" s="1628" t="s">
        <v>261</v>
      </c>
      <c r="C18" s="1629">
        <v>0</v>
      </c>
      <c r="D18" s="1630">
        <v>0</v>
      </c>
      <c r="E18" s="1630">
        <v>0</v>
      </c>
      <c r="F18" s="1631">
        <v>0</v>
      </c>
      <c r="G18" s="1632">
        <f t="shared" si="3"/>
        <v>643.31500000000005</v>
      </c>
      <c r="H18" s="1632">
        <v>643.31500000000005</v>
      </c>
      <c r="I18" s="1632"/>
      <c r="J18" s="1632"/>
      <c r="K18" s="1630">
        <f>0+N18</f>
        <v>0</v>
      </c>
      <c r="L18" s="1632"/>
      <c r="M18" s="1632"/>
      <c r="N18" s="1630">
        <v>0</v>
      </c>
      <c r="O18" s="1632"/>
      <c r="P18" s="1632"/>
      <c r="Q18" s="1633">
        <v>0</v>
      </c>
      <c r="R18" s="1634">
        <v>0</v>
      </c>
      <c r="S18" s="1635">
        <v>0</v>
      </c>
      <c r="T18" s="1635">
        <v>0</v>
      </c>
    </row>
    <row r="19" spans="1:21" ht="21" hidden="1" customHeight="1">
      <c r="A19" s="1517" t="s">
        <v>262</v>
      </c>
      <c r="B19" s="1525" t="s">
        <v>263</v>
      </c>
      <c r="C19" s="1507">
        <v>0</v>
      </c>
      <c r="D19" s="1539">
        <v>0</v>
      </c>
      <c r="E19" s="1539">
        <v>0</v>
      </c>
      <c r="F19" s="1539">
        <v>0</v>
      </c>
      <c r="G19" s="1540">
        <f t="shared" si="3"/>
        <v>128430.53434100001</v>
      </c>
      <c r="H19" s="1540">
        <v>127927.791341</v>
      </c>
      <c r="I19" s="1540"/>
      <c r="J19" s="1540"/>
      <c r="K19" s="1542">
        <f>228.647+N19</f>
        <v>502.74299999999999</v>
      </c>
      <c r="L19" s="1542"/>
      <c r="M19" s="1540"/>
      <c r="N19" s="1546">
        <v>274.096</v>
      </c>
      <c r="O19" s="1542"/>
      <c r="P19" s="1540"/>
      <c r="Q19" s="1543">
        <v>0</v>
      </c>
      <c r="R19" s="1367">
        <v>0</v>
      </c>
      <c r="S19" s="1367">
        <v>0</v>
      </c>
      <c r="T19" s="1367">
        <v>0</v>
      </c>
    </row>
    <row r="20" spans="1:21" ht="21" hidden="1" customHeight="1">
      <c r="A20" s="1517" t="s">
        <v>264</v>
      </c>
      <c r="B20" s="1525" t="s">
        <v>265</v>
      </c>
      <c r="C20" s="1507">
        <v>0</v>
      </c>
      <c r="D20" s="1539">
        <v>0</v>
      </c>
      <c r="E20" s="1539">
        <v>0</v>
      </c>
      <c r="F20" s="1539">
        <v>0</v>
      </c>
      <c r="G20" s="1540">
        <f t="shared" si="3"/>
        <v>62204.969066999998</v>
      </c>
      <c r="H20" s="1540">
        <v>45495.248045</v>
      </c>
      <c r="I20" s="1540"/>
      <c r="J20" s="1540"/>
      <c r="K20" s="1542">
        <f>15630.437022-L20+N20</f>
        <v>16709.721022000002</v>
      </c>
      <c r="L20" s="1542">
        <v>925.65700000000004</v>
      </c>
      <c r="M20" s="1540"/>
      <c r="N20" s="1546">
        <f>3100.861-O20</f>
        <v>2004.9409999999998</v>
      </c>
      <c r="O20" s="1542">
        <v>1095.92</v>
      </c>
      <c r="P20" s="1540"/>
      <c r="Q20" s="1543">
        <v>0</v>
      </c>
      <c r="R20" s="1367">
        <v>0</v>
      </c>
      <c r="S20" s="1367">
        <v>0</v>
      </c>
      <c r="T20" s="1367">
        <v>0</v>
      </c>
    </row>
    <row r="21" spans="1:21" ht="21" hidden="1" customHeight="1">
      <c r="A21" s="1517" t="s">
        <v>266</v>
      </c>
      <c r="B21" s="1525" t="s">
        <v>267</v>
      </c>
      <c r="C21" s="1507">
        <v>0</v>
      </c>
      <c r="D21" s="1539">
        <v>0</v>
      </c>
      <c r="E21" s="1539">
        <v>0</v>
      </c>
      <c r="F21" s="1539">
        <v>0</v>
      </c>
      <c r="G21" s="1540">
        <f t="shared" si="3"/>
        <v>21659.773572999999</v>
      </c>
      <c r="H21" s="1540">
        <v>21659.773572999999</v>
      </c>
      <c r="I21" s="1540"/>
      <c r="J21" s="1540"/>
      <c r="K21" s="1539">
        <f>0+N21</f>
        <v>0</v>
      </c>
      <c r="L21" s="1542"/>
      <c r="M21" s="1540"/>
      <c r="N21" s="1539">
        <v>0</v>
      </c>
      <c r="O21" s="1542"/>
      <c r="P21" s="1540"/>
      <c r="Q21" s="1543">
        <v>0</v>
      </c>
      <c r="R21" s="1367">
        <v>0</v>
      </c>
      <c r="S21" s="1367">
        <v>0</v>
      </c>
      <c r="T21" s="1367">
        <v>0</v>
      </c>
    </row>
    <row r="22" spans="1:21" ht="21" hidden="1" customHeight="1">
      <c r="A22" s="1517" t="s">
        <v>268</v>
      </c>
      <c r="B22" s="1525" t="s">
        <v>269</v>
      </c>
      <c r="C22" s="1507">
        <v>0</v>
      </c>
      <c r="D22" s="1539">
        <v>0</v>
      </c>
      <c r="E22" s="1539">
        <v>0</v>
      </c>
      <c r="F22" s="1539">
        <v>0</v>
      </c>
      <c r="G22" s="1540">
        <f t="shared" si="3"/>
        <v>833.39199999999994</v>
      </c>
      <c r="H22" s="1547">
        <v>239.852</v>
      </c>
      <c r="I22" s="1540"/>
      <c r="J22" s="1540"/>
      <c r="K22" s="1542">
        <f>593.54+N22</f>
        <v>593.54</v>
      </c>
      <c r="L22" s="1542"/>
      <c r="M22" s="1540"/>
      <c r="N22" s="1539">
        <v>0</v>
      </c>
      <c r="O22" s="1542"/>
      <c r="P22" s="1540"/>
      <c r="Q22" s="1543">
        <v>0</v>
      </c>
      <c r="R22" s="1367">
        <v>0</v>
      </c>
      <c r="S22" s="1367">
        <v>0</v>
      </c>
      <c r="T22" s="1367">
        <v>0</v>
      </c>
    </row>
    <row r="23" spans="1:21" ht="21" hidden="1" customHeight="1">
      <c r="A23" s="1517" t="s">
        <v>270</v>
      </c>
      <c r="B23" s="1525" t="s">
        <v>271</v>
      </c>
      <c r="C23" s="1507">
        <v>0</v>
      </c>
      <c r="D23" s="1539">
        <v>0</v>
      </c>
      <c r="E23" s="1539">
        <v>0</v>
      </c>
      <c r="F23" s="1539">
        <v>0</v>
      </c>
      <c r="G23" s="1540">
        <f t="shared" si="3"/>
        <v>357.36599999999999</v>
      </c>
      <c r="H23" s="1540">
        <f>459.89-I23</f>
        <v>319.89</v>
      </c>
      <c r="I23" s="1540">
        <v>140</v>
      </c>
      <c r="J23" s="1540"/>
      <c r="K23" s="1546">
        <f>37.476+N23</f>
        <v>37.475999999999999</v>
      </c>
      <c r="L23" s="1542"/>
      <c r="M23" s="1540"/>
      <c r="N23" s="1539">
        <v>0</v>
      </c>
      <c r="O23" s="1542"/>
      <c r="P23" s="1540"/>
      <c r="Q23" s="1543">
        <v>0</v>
      </c>
      <c r="R23" s="1367">
        <v>0</v>
      </c>
      <c r="S23" s="1367">
        <v>0</v>
      </c>
      <c r="T23" s="1367">
        <v>0</v>
      </c>
    </row>
    <row r="24" spans="1:21" ht="21" hidden="1" customHeight="1">
      <c r="A24" s="1517" t="s">
        <v>272</v>
      </c>
      <c r="B24" s="1525" t="s">
        <v>273</v>
      </c>
      <c r="C24" s="1507">
        <v>0</v>
      </c>
      <c r="D24" s="1539">
        <v>0</v>
      </c>
      <c r="E24" s="1539">
        <v>0</v>
      </c>
      <c r="F24" s="1539">
        <v>0</v>
      </c>
      <c r="G24" s="1540">
        <f t="shared" si="3"/>
        <v>1112998.1705</v>
      </c>
      <c r="H24" s="1540">
        <f>1392979.695074-I24</f>
        <v>825713.9312189999</v>
      </c>
      <c r="I24" s="1540">
        <f>442844.620482+124421.143373</f>
        <v>567265.76385500003</v>
      </c>
      <c r="J24" s="1540"/>
      <c r="K24" s="1542">
        <f>208938.321045-L24+N24</f>
        <v>287284.23928099999</v>
      </c>
      <c r="L24" s="1542">
        <v>9084.6277919999993</v>
      </c>
      <c r="M24" s="1540"/>
      <c r="N24" s="1542">
        <f>179967.657197-O24</f>
        <v>87430.546027999997</v>
      </c>
      <c r="O24" s="1542">
        <v>92537.111168999996</v>
      </c>
      <c r="P24" s="1540"/>
      <c r="Q24" s="1543">
        <v>0</v>
      </c>
      <c r="R24" s="1367">
        <v>0</v>
      </c>
      <c r="S24" s="1367">
        <v>0</v>
      </c>
      <c r="T24" s="1367">
        <v>0</v>
      </c>
    </row>
    <row r="25" spans="1:21" ht="21" hidden="1" customHeight="1">
      <c r="A25" s="1517" t="s">
        <v>274</v>
      </c>
      <c r="B25" s="1525" t="s">
        <v>275</v>
      </c>
      <c r="C25" s="1507">
        <v>0</v>
      </c>
      <c r="D25" s="1539">
        <v>0</v>
      </c>
      <c r="E25" s="1539">
        <v>0</v>
      </c>
      <c r="F25" s="1539">
        <v>0</v>
      </c>
      <c r="G25" s="1540">
        <f t="shared" si="3"/>
        <v>337132.88014999998</v>
      </c>
      <c r="H25" s="1540">
        <f>326102.309572-I25</f>
        <v>306008.59007199999</v>
      </c>
      <c r="I25" s="1540">
        <v>20093.719499999999</v>
      </c>
      <c r="J25" s="1540"/>
      <c r="K25" s="1542">
        <f>18927.628448-L25+N25</f>
        <v>31124.290077999998</v>
      </c>
      <c r="L25" s="1542">
        <v>1700</v>
      </c>
      <c r="M25" s="1540"/>
      <c r="N25" s="1542">
        <f>16346.87843-O25</f>
        <v>13896.661630000001</v>
      </c>
      <c r="O25" s="1542">
        <v>2450.2168000000001</v>
      </c>
      <c r="P25" s="1540"/>
      <c r="Q25" s="1543">
        <v>0</v>
      </c>
      <c r="R25" s="1367">
        <v>0</v>
      </c>
      <c r="S25" s="1367">
        <v>0</v>
      </c>
      <c r="T25" s="1367">
        <v>0</v>
      </c>
    </row>
    <row r="26" spans="1:21" ht="21" hidden="1" customHeight="1">
      <c r="A26" s="1517" t="s">
        <v>276</v>
      </c>
      <c r="B26" s="1525" t="s">
        <v>277</v>
      </c>
      <c r="C26" s="1507">
        <v>0</v>
      </c>
      <c r="D26" s="1539">
        <v>0</v>
      </c>
      <c r="E26" s="1539">
        <v>0</v>
      </c>
      <c r="F26" s="1539">
        <v>0</v>
      </c>
      <c r="G26" s="1540">
        <f t="shared" si="3"/>
        <v>88245.41399999999</v>
      </c>
      <c r="H26" s="1540">
        <f>23427.796-I26</f>
        <v>18513.217999999997</v>
      </c>
      <c r="I26" s="1540">
        <v>4914.5780000000004</v>
      </c>
      <c r="J26" s="1540"/>
      <c r="K26" s="1546">
        <f>1702.196+N26</f>
        <v>69732.195999999996</v>
      </c>
      <c r="L26" s="1539"/>
      <c r="M26" s="1539"/>
      <c r="N26" s="1546">
        <v>68030</v>
      </c>
      <c r="O26" s="1542"/>
      <c r="P26" s="1540"/>
      <c r="Q26" s="1543">
        <v>0</v>
      </c>
      <c r="R26" s="1367">
        <v>0</v>
      </c>
      <c r="S26" s="1367">
        <v>0</v>
      </c>
      <c r="T26" s="1367">
        <v>0</v>
      </c>
    </row>
    <row r="27" spans="1:21" ht="21" hidden="1" customHeight="1">
      <c r="A27" s="1517" t="s">
        <v>278</v>
      </c>
      <c r="B27" s="1525" t="s">
        <v>279</v>
      </c>
      <c r="C27" s="1507">
        <v>0</v>
      </c>
      <c r="D27" s="1539">
        <v>0</v>
      </c>
      <c r="E27" s="1539">
        <v>0</v>
      </c>
      <c r="F27" s="1539">
        <v>0</v>
      </c>
      <c r="G27" s="1540">
        <f>H27+K27</f>
        <v>143204.246151</v>
      </c>
      <c r="H27" s="1540">
        <v>143204.246151</v>
      </c>
      <c r="I27" s="1540"/>
      <c r="J27" s="1540"/>
      <c r="K27" s="1539">
        <v>0</v>
      </c>
      <c r="L27" s="1539"/>
      <c r="M27" s="1539"/>
      <c r="N27" s="1539">
        <v>0</v>
      </c>
      <c r="O27" s="1542"/>
      <c r="P27" s="1540"/>
      <c r="Q27" s="1543">
        <v>0</v>
      </c>
      <c r="R27" s="1367">
        <v>0</v>
      </c>
      <c r="S27" s="1367">
        <v>0</v>
      </c>
      <c r="T27" s="1367">
        <v>0</v>
      </c>
      <c r="U27" s="103"/>
    </row>
    <row r="28" spans="1:21" ht="21" customHeight="1">
      <c r="A28" s="1516">
        <v>2</v>
      </c>
      <c r="B28" s="1524" t="s">
        <v>280</v>
      </c>
      <c r="C28" s="1507">
        <v>0</v>
      </c>
      <c r="D28" s="1539">
        <v>0</v>
      </c>
      <c r="E28" s="1539">
        <v>0</v>
      </c>
      <c r="F28" s="1539">
        <v>0</v>
      </c>
      <c r="G28" s="1535">
        <f>H28+K28</f>
        <v>32774.400000000001</v>
      </c>
      <c r="H28" s="1536">
        <v>32774.400000000001</v>
      </c>
      <c r="I28" s="1536"/>
      <c r="J28" s="1536"/>
      <c r="K28" s="1539">
        <v>0</v>
      </c>
      <c r="L28" s="1539"/>
      <c r="M28" s="1539"/>
      <c r="N28" s="1539">
        <v>0</v>
      </c>
      <c r="O28" s="1535"/>
      <c r="P28" s="1536"/>
      <c r="Q28" s="1543">
        <v>0</v>
      </c>
      <c r="R28" s="1367">
        <v>0</v>
      </c>
      <c r="S28" s="1367">
        <v>0</v>
      </c>
      <c r="T28" s="1367">
        <v>0</v>
      </c>
    </row>
    <row r="29" spans="1:21" ht="21" customHeight="1">
      <c r="A29" s="1516">
        <v>3</v>
      </c>
      <c r="B29" s="1524" t="s">
        <v>281</v>
      </c>
      <c r="C29" s="1507">
        <v>0</v>
      </c>
      <c r="D29" s="1539">
        <v>0</v>
      </c>
      <c r="E29" s="1539">
        <v>0</v>
      </c>
      <c r="F29" s="1539">
        <v>0</v>
      </c>
      <c r="G29" s="1539">
        <f>H29+K29</f>
        <v>69357.533684000009</v>
      </c>
      <c r="H29" s="1544">
        <v>68634.278684000004</v>
      </c>
      <c r="I29" s="1536"/>
      <c r="J29" s="1536"/>
      <c r="K29" s="1539">
        <v>723.255</v>
      </c>
      <c r="L29" s="1539"/>
      <c r="M29" s="1539"/>
      <c r="N29" s="1539">
        <v>0</v>
      </c>
      <c r="O29" s="1535"/>
      <c r="P29" s="1536"/>
      <c r="Q29" s="1543">
        <v>0</v>
      </c>
      <c r="R29" s="1367">
        <v>0</v>
      </c>
      <c r="S29" s="1367">
        <v>0</v>
      </c>
      <c r="T29" s="1367">
        <v>0</v>
      </c>
    </row>
    <row r="30" spans="1:21" ht="18" hidden="1" customHeight="1">
      <c r="A30" s="1519"/>
      <c r="B30" s="1527"/>
      <c r="C30" s="1508"/>
      <c r="D30" s="1548"/>
      <c r="E30" s="1548"/>
      <c r="F30" s="1548"/>
      <c r="G30" s="1549"/>
      <c r="H30" s="1550"/>
      <c r="I30" s="1550"/>
      <c r="J30" s="1550"/>
      <c r="K30" s="1549"/>
      <c r="L30" s="1549"/>
      <c r="M30" s="1550"/>
      <c r="N30" s="1549"/>
      <c r="O30" s="1549"/>
      <c r="P30" s="1550"/>
      <c r="Q30" s="1549"/>
      <c r="R30" s="1551"/>
      <c r="S30" s="1355" t="e">
        <f t="shared" si="1"/>
        <v>#DIV/0!</v>
      </c>
      <c r="T30" s="1552" t="e">
        <f t="shared" si="2"/>
        <v>#DIV/0!</v>
      </c>
    </row>
    <row r="31" spans="1:21" ht="18" hidden="1" customHeight="1">
      <c r="A31" s="1516"/>
      <c r="B31" s="1524"/>
      <c r="C31" s="1507"/>
      <c r="D31" s="1538"/>
      <c r="E31" s="1538"/>
      <c r="F31" s="1538"/>
      <c r="G31" s="1536"/>
      <c r="H31" s="1536"/>
      <c r="I31" s="1536"/>
      <c r="J31" s="1536"/>
      <c r="K31" s="1535"/>
      <c r="L31" s="1535"/>
      <c r="M31" s="1536"/>
      <c r="N31" s="1535"/>
      <c r="O31" s="1535"/>
      <c r="P31" s="1536"/>
      <c r="Q31" s="1537" t="e">
        <f t="shared" ref="Q31:Q49" si="4">G31/C31*100</f>
        <v>#DIV/0!</v>
      </c>
      <c r="R31" s="1355" t="e">
        <f t="shared" ref="R31:R53" si="5">G31/D31*100</f>
        <v>#DIV/0!</v>
      </c>
      <c r="S31" s="1355" t="e">
        <f t="shared" si="1"/>
        <v>#DIV/0!</v>
      </c>
      <c r="T31" s="1552" t="e">
        <f t="shared" si="2"/>
        <v>#DIV/0!</v>
      </c>
    </row>
    <row r="32" spans="1:21" ht="18" hidden="1" customHeight="1">
      <c r="A32" s="1516"/>
      <c r="B32" s="1524"/>
      <c r="C32" s="1507"/>
      <c r="D32" s="1538"/>
      <c r="E32" s="1538"/>
      <c r="F32" s="1538"/>
      <c r="G32" s="1536"/>
      <c r="H32" s="1536"/>
      <c r="I32" s="1536"/>
      <c r="J32" s="1536"/>
      <c r="K32" s="1535"/>
      <c r="L32" s="1535"/>
      <c r="M32" s="1536"/>
      <c r="N32" s="1535"/>
      <c r="O32" s="1535"/>
      <c r="P32" s="1536"/>
      <c r="Q32" s="1537" t="e">
        <f t="shared" si="4"/>
        <v>#DIV/0!</v>
      </c>
      <c r="R32" s="1355" t="e">
        <f t="shared" si="5"/>
        <v>#DIV/0!</v>
      </c>
      <c r="S32" s="1355" t="e">
        <f t="shared" si="1"/>
        <v>#DIV/0!</v>
      </c>
      <c r="T32" s="1552" t="e">
        <f t="shared" si="2"/>
        <v>#DIV/0!</v>
      </c>
    </row>
    <row r="33" spans="1:22" ht="15" hidden="1" customHeight="1">
      <c r="A33" s="1517"/>
      <c r="B33" s="1528" t="s">
        <v>282</v>
      </c>
      <c r="C33" s="1507"/>
      <c r="D33" s="1553"/>
      <c r="E33" s="1553"/>
      <c r="F33" s="1553"/>
      <c r="G33" s="1554">
        <f>H33+K33+N33</f>
        <v>0</v>
      </c>
      <c r="H33" s="1555"/>
      <c r="I33" s="1555"/>
      <c r="J33" s="1555"/>
      <c r="K33" s="1554"/>
      <c r="L33" s="1554">
        <f>L35</f>
        <v>0</v>
      </c>
      <c r="M33" s="1555"/>
      <c r="N33" s="1554"/>
      <c r="O33" s="1554"/>
      <c r="P33" s="1555"/>
      <c r="Q33" s="1537" t="e">
        <f t="shared" si="4"/>
        <v>#DIV/0!</v>
      </c>
      <c r="R33" s="1355" t="e">
        <f t="shared" si="5"/>
        <v>#DIV/0!</v>
      </c>
      <c r="S33" s="1355" t="e">
        <f t="shared" si="1"/>
        <v>#DIV/0!</v>
      </c>
      <c r="T33" s="1552" t="e">
        <f t="shared" si="2"/>
        <v>#DIV/0!</v>
      </c>
      <c r="V33" s="103"/>
    </row>
    <row r="34" spans="1:22" ht="15" hidden="1" customHeight="1">
      <c r="A34" s="1517"/>
      <c r="B34" s="1528" t="s">
        <v>283</v>
      </c>
      <c r="C34" s="1507"/>
      <c r="D34" s="1553"/>
      <c r="E34" s="1553"/>
      <c r="F34" s="1553"/>
      <c r="G34" s="1554">
        <f>H34+K34+N34</f>
        <v>0</v>
      </c>
      <c r="H34" s="1555"/>
      <c r="I34" s="1555"/>
      <c r="J34" s="1555"/>
      <c r="K34" s="1554"/>
      <c r="L34" s="1554"/>
      <c r="M34" s="1555"/>
      <c r="N34" s="1554"/>
      <c r="O34" s="1554"/>
      <c r="P34" s="1555"/>
      <c r="Q34" s="1537" t="e">
        <f t="shared" si="4"/>
        <v>#DIV/0!</v>
      </c>
      <c r="R34" s="1355" t="e">
        <f t="shared" si="5"/>
        <v>#DIV/0!</v>
      </c>
      <c r="S34" s="1355" t="e">
        <f t="shared" si="1"/>
        <v>#DIV/0!</v>
      </c>
      <c r="T34" s="1552" t="e">
        <f t="shared" si="2"/>
        <v>#DIV/0!</v>
      </c>
      <c r="V34" s="103"/>
    </row>
    <row r="35" spans="1:22" s="117" customFormat="1" ht="15" hidden="1" customHeight="1">
      <c r="A35" s="1517">
        <v>1</v>
      </c>
      <c r="B35" s="1525" t="s">
        <v>284</v>
      </c>
      <c r="C35" s="1507"/>
      <c r="D35" s="1556"/>
      <c r="E35" s="1556"/>
      <c r="F35" s="1556"/>
      <c r="G35" s="1542">
        <f>H35+K35+N35</f>
        <v>0</v>
      </c>
      <c r="H35" s="1540"/>
      <c r="I35" s="1540"/>
      <c r="J35" s="1540"/>
      <c r="K35" s="1542"/>
      <c r="L35" s="1542"/>
      <c r="M35" s="1540"/>
      <c r="N35" s="1542"/>
      <c r="O35" s="1542"/>
      <c r="P35" s="1540"/>
      <c r="Q35" s="1537" t="e">
        <f t="shared" si="4"/>
        <v>#DIV/0!</v>
      </c>
      <c r="R35" s="1355" t="e">
        <f t="shared" si="5"/>
        <v>#DIV/0!</v>
      </c>
      <c r="S35" s="1355" t="e">
        <f t="shared" si="1"/>
        <v>#DIV/0!</v>
      </c>
      <c r="T35" s="1552" t="e">
        <f t="shared" si="2"/>
        <v>#DIV/0!</v>
      </c>
    </row>
    <row r="36" spans="1:22" s="293" customFormat="1" ht="15" hidden="1" customHeight="1">
      <c r="A36" s="1520"/>
      <c r="B36" s="1528" t="s">
        <v>285</v>
      </c>
      <c r="C36" s="1507"/>
      <c r="D36" s="1553"/>
      <c r="E36" s="1553"/>
      <c r="F36" s="1553"/>
      <c r="G36" s="1554">
        <f>H36+K36+N36</f>
        <v>0</v>
      </c>
      <c r="H36" s="1555"/>
      <c r="I36" s="1555"/>
      <c r="J36" s="1555"/>
      <c r="K36" s="1554"/>
      <c r="L36" s="1554"/>
      <c r="M36" s="1555"/>
      <c r="N36" s="1554"/>
      <c r="O36" s="1554"/>
      <c r="P36" s="1555"/>
      <c r="Q36" s="1537" t="e">
        <f t="shared" si="4"/>
        <v>#DIV/0!</v>
      </c>
      <c r="R36" s="1355" t="e">
        <f t="shared" si="5"/>
        <v>#DIV/0!</v>
      </c>
      <c r="S36" s="1355" t="e">
        <f t="shared" si="1"/>
        <v>#DIV/0!</v>
      </c>
      <c r="T36" s="1552" t="e">
        <f t="shared" si="2"/>
        <v>#DIV/0!</v>
      </c>
      <c r="V36" s="294"/>
    </row>
    <row r="37" spans="1:22" s="293" customFormat="1" ht="15" hidden="1" customHeight="1">
      <c r="A37" s="1520">
        <v>2</v>
      </c>
      <c r="B37" s="1525" t="s">
        <v>286</v>
      </c>
      <c r="C37" s="1507"/>
      <c r="D37" s="1553"/>
      <c r="E37" s="1553"/>
      <c r="F37" s="1553"/>
      <c r="G37" s="1554">
        <f>+H37</f>
        <v>0</v>
      </c>
      <c r="H37" s="1555"/>
      <c r="I37" s="1555"/>
      <c r="J37" s="1555"/>
      <c r="K37" s="1554"/>
      <c r="L37" s="1554"/>
      <c r="M37" s="1555"/>
      <c r="N37" s="1554"/>
      <c r="O37" s="1554"/>
      <c r="P37" s="1555"/>
      <c r="Q37" s="1537" t="e">
        <f t="shared" si="4"/>
        <v>#DIV/0!</v>
      </c>
      <c r="R37" s="1355" t="e">
        <f t="shared" si="5"/>
        <v>#DIV/0!</v>
      </c>
      <c r="S37" s="1355" t="e">
        <f t="shared" si="1"/>
        <v>#DIV/0!</v>
      </c>
      <c r="T37" s="1552" t="e">
        <f t="shared" si="2"/>
        <v>#DIV/0!</v>
      </c>
      <c r="V37" s="294"/>
    </row>
    <row r="38" spans="1:22" ht="15" hidden="1" customHeight="1">
      <c r="A38" s="1517">
        <v>3</v>
      </c>
      <c r="B38" s="1525" t="s">
        <v>287</v>
      </c>
      <c r="C38" s="1507"/>
      <c r="D38" s="1557"/>
      <c r="E38" s="1557"/>
      <c r="F38" s="1557"/>
      <c r="G38" s="1542">
        <f>+H38+K38+N38</f>
        <v>0</v>
      </c>
      <c r="H38" s="1540"/>
      <c r="I38" s="1540"/>
      <c r="J38" s="1540"/>
      <c r="K38" s="1542"/>
      <c r="L38" s="1542"/>
      <c r="M38" s="1540"/>
      <c r="N38" s="1542"/>
      <c r="O38" s="1542"/>
      <c r="P38" s="1540"/>
      <c r="Q38" s="1537" t="e">
        <f t="shared" si="4"/>
        <v>#DIV/0!</v>
      </c>
      <c r="R38" s="1355" t="e">
        <f t="shared" si="5"/>
        <v>#DIV/0!</v>
      </c>
      <c r="S38" s="1355" t="e">
        <f t="shared" si="1"/>
        <v>#DIV/0!</v>
      </c>
      <c r="T38" s="1552" t="e">
        <f t="shared" si="2"/>
        <v>#DIV/0!</v>
      </c>
      <c r="V38" s="103"/>
    </row>
    <row r="39" spans="1:22" ht="21" customHeight="1">
      <c r="A39" s="1516" t="s">
        <v>109</v>
      </c>
      <c r="B39" s="1524" t="s">
        <v>66</v>
      </c>
      <c r="C39" s="1507">
        <f>5409477</f>
        <v>5409477</v>
      </c>
      <c r="D39" s="1534">
        <f>+D40+D41+D43+D44+D45+D46+D47+D48+D49+D50+D51+D52+D53-1</f>
        <v>5676262</v>
      </c>
      <c r="E39" s="1534">
        <v>2499257</v>
      </c>
      <c r="F39" s="1534">
        <v>3177004</v>
      </c>
      <c r="G39" s="1535">
        <f>+H39+K39</f>
        <v>6240733.7518939991</v>
      </c>
      <c r="H39" s="1536">
        <f>+H40+H41+H43+H44+H45+H46+H47+H48+H49+H50+H51+H52+H53</f>
        <v>2093360.596355</v>
      </c>
      <c r="I39" s="1536">
        <f t="shared" ref="I39:O39" si="6">+I40+I41+I43+I44+I45+I46+I47+I48+I49+I50+I51+I52+I53</f>
        <v>0</v>
      </c>
      <c r="J39" s="1536">
        <f t="shared" si="6"/>
        <v>50721.842969999998</v>
      </c>
      <c r="K39" s="1536">
        <f>+K40+K41+K43+K44+K45+K46+K47+K48+K49+K50+K51+K52+K53</f>
        <v>4147373.1555389995</v>
      </c>
      <c r="L39" s="1536">
        <f t="shared" si="6"/>
        <v>0</v>
      </c>
      <c r="M39" s="1536">
        <f t="shared" si="6"/>
        <v>61956.748729999992</v>
      </c>
      <c r="N39" s="1536">
        <f>+N40+N41+N43+N44+N45+N46+N47+N48+N49+N50+N51+N52+N53</f>
        <v>848126.22476199991</v>
      </c>
      <c r="O39" s="1536">
        <f t="shared" si="6"/>
        <v>0</v>
      </c>
      <c r="P39" s="1536">
        <f>+P40+P41+P43+P44+P45+P46+P47+P48+P49+P50+P51+P52+P53</f>
        <v>20865.08339</v>
      </c>
      <c r="Q39" s="1537">
        <f t="shared" si="4"/>
        <v>115.3666750388993</v>
      </c>
      <c r="R39" s="1355">
        <f t="shared" si="5"/>
        <v>109.94442736952593</v>
      </c>
      <c r="S39" s="1355">
        <f t="shared" si="1"/>
        <v>83.759317123249033</v>
      </c>
      <c r="T39" s="1533">
        <f t="shared" si="2"/>
        <v>130.54352954982113</v>
      </c>
      <c r="V39" s="103"/>
    </row>
    <row r="40" spans="1:22" ht="17.25" hidden="1" customHeight="1">
      <c r="A40" s="1517">
        <v>1</v>
      </c>
      <c r="B40" s="1525" t="s">
        <v>255</v>
      </c>
      <c r="C40" s="1507">
        <v>0</v>
      </c>
      <c r="D40" s="1558">
        <v>118253</v>
      </c>
      <c r="E40" s="1539">
        <v>0</v>
      </c>
      <c r="F40" s="1539">
        <v>0</v>
      </c>
      <c r="G40" s="1542">
        <f>H40+K40</f>
        <v>161167.61423400001</v>
      </c>
      <c r="H40" s="1540">
        <f>53784.131-J40</f>
        <v>49934.131000000001</v>
      </c>
      <c r="I40" s="1540"/>
      <c r="J40" s="1540">
        <v>3850</v>
      </c>
      <c r="K40" s="1540">
        <f>52944.2713+N40</f>
        <v>111233.483234</v>
      </c>
      <c r="L40" s="1542"/>
      <c r="M40" s="1540"/>
      <c r="N40" s="1540">
        <v>58289.211933999999</v>
      </c>
      <c r="O40" s="1542"/>
      <c r="P40" s="1540"/>
      <c r="Q40" s="1543">
        <v>0</v>
      </c>
      <c r="R40" s="1370">
        <f t="shared" si="5"/>
        <v>136.29050783827893</v>
      </c>
      <c r="S40" s="1559">
        <v>0</v>
      </c>
      <c r="T40" s="1559">
        <v>0</v>
      </c>
      <c r="V40" s="103"/>
    </row>
    <row r="41" spans="1:22" ht="17.25" hidden="1" customHeight="1">
      <c r="A41" s="1517">
        <v>2</v>
      </c>
      <c r="B41" s="1525" t="s">
        <v>257</v>
      </c>
      <c r="C41" s="1507">
        <v>0</v>
      </c>
      <c r="D41" s="1558">
        <v>36701</v>
      </c>
      <c r="E41" s="1539">
        <v>0</v>
      </c>
      <c r="F41" s="1539">
        <v>0</v>
      </c>
      <c r="G41" s="1542">
        <f>H41+K41</f>
        <v>46520.654710000003</v>
      </c>
      <c r="H41" s="1540">
        <f>26569-J41</f>
        <v>13816</v>
      </c>
      <c r="I41" s="1540"/>
      <c r="J41" s="1560">
        <f>3600+9153</f>
        <v>12753</v>
      </c>
      <c r="K41" s="1540">
        <f>21476.2549-M41+N41</f>
        <v>32704.654709999999</v>
      </c>
      <c r="L41" s="1542"/>
      <c r="M41" s="1560">
        <v>8942</v>
      </c>
      <c r="N41" s="1540">
        <v>20170.399809999999</v>
      </c>
      <c r="O41" s="1542"/>
      <c r="P41" s="1540"/>
      <c r="Q41" s="1543">
        <v>0</v>
      </c>
      <c r="R41" s="1370">
        <f t="shared" si="5"/>
        <v>126.7558233018174</v>
      </c>
      <c r="S41" s="1559">
        <v>0</v>
      </c>
      <c r="T41" s="1559">
        <v>0</v>
      </c>
      <c r="V41" s="103"/>
    </row>
    <row r="42" spans="1:22" ht="21" customHeight="1">
      <c r="A42" s="1517"/>
      <c r="B42" s="1528" t="s">
        <v>78</v>
      </c>
      <c r="C42" s="1507"/>
      <c r="D42" s="1539">
        <v>0</v>
      </c>
      <c r="E42" s="1539">
        <v>0</v>
      </c>
      <c r="F42" s="1539">
        <v>0</v>
      </c>
      <c r="G42" s="1542"/>
      <c r="H42" s="1540"/>
      <c r="I42" s="1540"/>
      <c r="J42" s="1560"/>
      <c r="K42" s="1540"/>
      <c r="L42" s="1542"/>
      <c r="M42" s="1560"/>
      <c r="N42" s="1540"/>
      <c r="O42" s="1542"/>
      <c r="P42" s="1540"/>
      <c r="Q42" s="1543"/>
      <c r="R42" s="1370"/>
      <c r="S42" s="1559">
        <v>0</v>
      </c>
      <c r="T42" s="1559">
        <v>0</v>
      </c>
      <c r="V42" s="103"/>
    </row>
    <row r="43" spans="1:22" s="568" customFormat="1" ht="21" customHeight="1">
      <c r="A43" s="1637">
        <v>1</v>
      </c>
      <c r="B43" s="1638" t="s">
        <v>259</v>
      </c>
      <c r="C43" s="1639">
        <v>1989752</v>
      </c>
      <c r="D43" s="1640">
        <v>2211146</v>
      </c>
      <c r="E43" s="1640">
        <v>375046</v>
      </c>
      <c r="F43" s="1640">
        <v>1836100</v>
      </c>
      <c r="G43" s="1641">
        <f t="shared" ref="G43:G55" si="7">H43+K43</f>
        <v>2308106.7387399999</v>
      </c>
      <c r="H43" s="1632">
        <f>390261.912639-J43+14950.371</f>
        <v>397848.69363899995</v>
      </c>
      <c r="I43" s="1632"/>
      <c r="J43" s="1632">
        <v>7363.59</v>
      </c>
      <c r="K43" s="1632">
        <f>1906544.311852-M43+N43</f>
        <v>1910258.0451009998</v>
      </c>
      <c r="L43" s="1641"/>
      <c r="M43" s="1632">
        <v>3444.8213799999999</v>
      </c>
      <c r="N43" s="1632">
        <v>7158.5546290000002</v>
      </c>
      <c r="O43" s="1641"/>
      <c r="P43" s="1632"/>
      <c r="Q43" s="1642">
        <f t="shared" si="4"/>
        <v>115.99971949971655</v>
      </c>
      <c r="R43" s="1643">
        <f t="shared" si="5"/>
        <v>104.38508984662252</v>
      </c>
      <c r="S43" s="1643">
        <f t="shared" si="1"/>
        <v>106.07997249377408</v>
      </c>
      <c r="T43" s="1644">
        <f t="shared" si="2"/>
        <v>104.03888922722074</v>
      </c>
      <c r="V43" s="571"/>
    </row>
    <row r="44" spans="1:22" s="568" customFormat="1" ht="21" customHeight="1">
      <c r="A44" s="1637">
        <v>2</v>
      </c>
      <c r="B44" s="1638" t="s">
        <v>261</v>
      </c>
      <c r="C44" s="1639">
        <v>24374</v>
      </c>
      <c r="D44" s="1640">
        <v>24734</v>
      </c>
      <c r="E44" s="1640">
        <v>18770</v>
      </c>
      <c r="F44" s="1640">
        <v>5964</v>
      </c>
      <c r="G44" s="1641">
        <f t="shared" si="7"/>
        <v>26009.921506999999</v>
      </c>
      <c r="H44" s="1632">
        <v>20562.415843999999</v>
      </c>
      <c r="I44" s="1632"/>
      <c r="J44" s="1632"/>
      <c r="K44" s="1632">
        <f>5447.505663+N44</f>
        <v>5447.5056629999999</v>
      </c>
      <c r="L44" s="1641"/>
      <c r="M44" s="1632"/>
      <c r="N44" s="1632">
        <v>0</v>
      </c>
      <c r="O44" s="1641"/>
      <c r="P44" s="1632"/>
      <c r="Q44" s="1642">
        <f t="shared" si="4"/>
        <v>106.7117482030032</v>
      </c>
      <c r="R44" s="1643">
        <f t="shared" si="5"/>
        <v>105.15857324735182</v>
      </c>
      <c r="S44" s="1643">
        <f t="shared" si="1"/>
        <v>109.54936517847629</v>
      </c>
      <c r="T44" s="1644">
        <f t="shared" si="2"/>
        <v>91.339799849094561</v>
      </c>
      <c r="V44" s="571"/>
    </row>
    <row r="45" spans="1:22" ht="21" hidden="1" customHeight="1">
      <c r="A45" s="1517">
        <v>5</v>
      </c>
      <c r="B45" s="1525" t="s">
        <v>263</v>
      </c>
      <c r="C45" s="1507">
        <v>0</v>
      </c>
      <c r="D45" s="1558">
        <v>621908</v>
      </c>
      <c r="E45" s="1539">
        <v>0</v>
      </c>
      <c r="F45" s="1539">
        <v>0</v>
      </c>
      <c r="G45" s="1542">
        <f t="shared" si="7"/>
        <v>662784.48974599992</v>
      </c>
      <c r="H45" s="1540">
        <f>467840.685991-J45</f>
        <v>461000.176515</v>
      </c>
      <c r="I45" s="1540"/>
      <c r="J45" s="1540">
        <v>6840.5094760000002</v>
      </c>
      <c r="K45" s="1540">
        <f>208724.727101-M45+N45</f>
        <v>201784.31323099998</v>
      </c>
      <c r="L45" s="1542"/>
      <c r="M45" s="1540">
        <v>7295.7678699999997</v>
      </c>
      <c r="N45" s="1540">
        <v>355.35399999999998</v>
      </c>
      <c r="O45" s="1542"/>
      <c r="P45" s="1540"/>
      <c r="Q45" s="1543">
        <v>0</v>
      </c>
      <c r="R45" s="1370">
        <f t="shared" si="5"/>
        <v>106.57275509335784</v>
      </c>
      <c r="S45" s="1559">
        <v>0</v>
      </c>
      <c r="T45" s="1559">
        <v>0</v>
      </c>
      <c r="V45" s="103"/>
    </row>
    <row r="46" spans="1:22" ht="21" hidden="1" customHeight="1">
      <c r="A46" s="1517">
        <v>6</v>
      </c>
      <c r="B46" s="1525" t="s">
        <v>265</v>
      </c>
      <c r="C46" s="1507">
        <v>0</v>
      </c>
      <c r="D46" s="1558">
        <v>50008</v>
      </c>
      <c r="E46" s="1539">
        <v>0</v>
      </c>
      <c r="F46" s="1539">
        <v>0</v>
      </c>
      <c r="G46" s="1542">
        <f t="shared" si="7"/>
        <v>56482.379126</v>
      </c>
      <c r="H46" s="1540">
        <f>36982.112458-J46</f>
        <v>33081.384358000003</v>
      </c>
      <c r="I46" s="1540"/>
      <c r="J46" s="1560">
        <f>3230.7281+560+110</f>
        <v>3900.7280999999998</v>
      </c>
      <c r="K46" s="1540">
        <f>15276.693449+N46</f>
        <v>23400.994768</v>
      </c>
      <c r="L46" s="1542"/>
      <c r="M46" s="1540"/>
      <c r="N46" s="1540">
        <v>8124.3013190000001</v>
      </c>
      <c r="O46" s="1542"/>
      <c r="P46" s="1540"/>
      <c r="Q46" s="1543">
        <v>0</v>
      </c>
      <c r="R46" s="1370">
        <f t="shared" si="5"/>
        <v>112.94668678211485</v>
      </c>
      <c r="S46" s="1559">
        <v>0</v>
      </c>
      <c r="T46" s="1559">
        <v>0</v>
      </c>
      <c r="V46" s="103"/>
    </row>
    <row r="47" spans="1:22" ht="21" hidden="1" customHeight="1">
      <c r="A47" s="1517">
        <v>7</v>
      </c>
      <c r="B47" s="1525" t="s">
        <v>267</v>
      </c>
      <c r="C47" s="1507">
        <v>0</v>
      </c>
      <c r="D47" s="1558">
        <v>21684</v>
      </c>
      <c r="E47" s="1539">
        <v>0</v>
      </c>
      <c r="F47" s="1539">
        <v>0</v>
      </c>
      <c r="G47" s="1542">
        <f t="shared" si="7"/>
        <v>21577.128782</v>
      </c>
      <c r="H47" s="1540">
        <f>9079.918921-J47</f>
        <v>8782.2734450000007</v>
      </c>
      <c r="I47" s="1540"/>
      <c r="J47" s="1540">
        <v>297.64547599999997</v>
      </c>
      <c r="K47" s="1540">
        <f>10946.435269+N47</f>
        <v>12794.855336999999</v>
      </c>
      <c r="L47" s="1542"/>
      <c r="M47" s="1540"/>
      <c r="N47" s="1540">
        <v>1848.4200679999999</v>
      </c>
      <c r="O47" s="1542"/>
      <c r="P47" s="1540"/>
      <c r="Q47" s="1543">
        <v>0</v>
      </c>
      <c r="R47" s="1370">
        <f t="shared" si="5"/>
        <v>99.507142510606897</v>
      </c>
      <c r="S47" s="1559">
        <v>0</v>
      </c>
      <c r="T47" s="1559">
        <v>0</v>
      </c>
      <c r="V47" s="103"/>
    </row>
    <row r="48" spans="1:22" ht="21" hidden="1" customHeight="1">
      <c r="A48" s="1517">
        <v>8</v>
      </c>
      <c r="B48" s="1525" t="s">
        <v>269</v>
      </c>
      <c r="C48" s="1507">
        <v>0</v>
      </c>
      <c r="D48" s="1558">
        <v>27184</v>
      </c>
      <c r="E48" s="1539">
        <v>0</v>
      </c>
      <c r="F48" s="1539">
        <v>0</v>
      </c>
      <c r="G48" s="1542">
        <f t="shared" si="7"/>
        <v>26218.646971000002</v>
      </c>
      <c r="H48" s="1540">
        <f>15925.384912-J48</f>
        <v>15675.384912</v>
      </c>
      <c r="I48" s="1540"/>
      <c r="J48" s="1540">
        <v>250</v>
      </c>
      <c r="K48" s="1540">
        <f>8491.191059+N48</f>
        <v>10543.262059000001</v>
      </c>
      <c r="L48" s="1542"/>
      <c r="M48" s="1540"/>
      <c r="N48" s="1540">
        <v>2052.0709999999999</v>
      </c>
      <c r="O48" s="1542"/>
      <c r="P48" s="1540"/>
      <c r="Q48" s="1543">
        <v>0</v>
      </c>
      <c r="R48" s="1370">
        <f t="shared" si="5"/>
        <v>96.448819051648044</v>
      </c>
      <c r="S48" s="1559">
        <v>0</v>
      </c>
      <c r="T48" s="1559">
        <v>0</v>
      </c>
      <c r="V48" s="103"/>
    </row>
    <row r="49" spans="1:22" ht="21" hidden="1" customHeight="1">
      <c r="A49" s="1517">
        <v>9</v>
      </c>
      <c r="B49" s="1525" t="s">
        <v>271</v>
      </c>
      <c r="C49" s="1509">
        <v>66148</v>
      </c>
      <c r="D49" s="1558">
        <v>89277</v>
      </c>
      <c r="E49" s="1539">
        <v>0</v>
      </c>
      <c r="F49" s="1539">
        <v>0</v>
      </c>
      <c r="G49" s="1542">
        <f t="shared" si="7"/>
        <v>90212.974799000003</v>
      </c>
      <c r="H49" s="1540">
        <v>45648.319447000002</v>
      </c>
      <c r="I49" s="1540"/>
      <c r="J49" s="1540"/>
      <c r="K49" s="1540">
        <f>35848.912273+N49</f>
        <v>44564.655352000002</v>
      </c>
      <c r="L49" s="1542"/>
      <c r="M49" s="1540"/>
      <c r="N49" s="1540">
        <v>8715.7430789999999</v>
      </c>
      <c r="O49" s="1542"/>
      <c r="P49" s="1540"/>
      <c r="Q49" s="1561">
        <f t="shared" si="4"/>
        <v>136.38050250801234</v>
      </c>
      <c r="R49" s="1370">
        <f t="shared" si="5"/>
        <v>101.04839409814399</v>
      </c>
      <c r="S49" s="1559">
        <v>0</v>
      </c>
      <c r="T49" s="1559">
        <v>0</v>
      </c>
      <c r="V49" s="103"/>
    </row>
    <row r="50" spans="1:22" ht="21" hidden="1" customHeight="1">
      <c r="A50" s="1517">
        <v>10</v>
      </c>
      <c r="B50" s="1525" t="s">
        <v>273</v>
      </c>
      <c r="C50" s="1507">
        <v>0</v>
      </c>
      <c r="D50" s="1558">
        <v>987914</v>
      </c>
      <c r="E50" s="1539">
        <v>0</v>
      </c>
      <c r="F50" s="1539">
        <v>0</v>
      </c>
      <c r="G50" s="1542">
        <f t="shared" si="7"/>
        <v>1065461.767484</v>
      </c>
      <c r="H50" s="1540">
        <f>558837.754607-J50</f>
        <v>547300.07713900006</v>
      </c>
      <c r="I50" s="1540"/>
      <c r="J50" s="1540">
        <v>11537.677468</v>
      </c>
      <c r="K50" s="1540">
        <f>404030.089274-M50+N50</f>
        <v>518161.69034500001</v>
      </c>
      <c r="L50" s="1542"/>
      <c r="M50" s="1540">
        <v>3482.1950000000002</v>
      </c>
      <c r="N50" s="1540">
        <f>128797.117771-P50</f>
        <v>117613.796071</v>
      </c>
      <c r="O50" s="1542"/>
      <c r="P50" s="1540">
        <v>11183.3217</v>
      </c>
      <c r="Q50" s="1543">
        <v>0</v>
      </c>
      <c r="R50" s="1370">
        <f t="shared" si="5"/>
        <v>107.84964758916263</v>
      </c>
      <c r="S50" s="1559">
        <v>0</v>
      </c>
      <c r="T50" s="1559">
        <v>0</v>
      </c>
      <c r="V50" s="103"/>
    </row>
    <row r="51" spans="1:22" ht="21" hidden="1" customHeight="1">
      <c r="A51" s="1517">
        <v>11</v>
      </c>
      <c r="B51" s="1525" t="s">
        <v>275</v>
      </c>
      <c r="C51" s="1507">
        <v>0</v>
      </c>
      <c r="D51" s="1558">
        <v>1176865</v>
      </c>
      <c r="E51" s="1539">
        <v>0</v>
      </c>
      <c r="F51" s="1539">
        <v>0</v>
      </c>
      <c r="G51" s="1542">
        <f t="shared" si="7"/>
        <v>1280073.5074629998</v>
      </c>
      <c r="H51" s="1540">
        <f>341255.44615-J51</f>
        <v>337937.56469999999</v>
      </c>
      <c r="I51" s="1540"/>
      <c r="J51" s="1540">
        <v>3317.8814499999999</v>
      </c>
      <c r="K51" s="1540">
        <f>379436.689603-M51+N51</f>
        <v>942135.94276299991</v>
      </c>
      <c r="L51" s="1542"/>
      <c r="M51" s="1540">
        <v>1298.9644800000001</v>
      </c>
      <c r="N51" s="1540">
        <f>571227.67933-P51</f>
        <v>563998.21763999993</v>
      </c>
      <c r="O51" s="1542"/>
      <c r="P51" s="1540">
        <v>7229.4616900000001</v>
      </c>
      <c r="Q51" s="1543">
        <v>0</v>
      </c>
      <c r="R51" s="1370">
        <f t="shared" si="5"/>
        <v>108.76978306458258</v>
      </c>
      <c r="S51" s="1559">
        <v>0</v>
      </c>
      <c r="T51" s="1559">
        <v>0</v>
      </c>
      <c r="V51" s="103"/>
    </row>
    <row r="52" spans="1:22" ht="21" hidden="1" customHeight="1">
      <c r="A52" s="1517">
        <v>12</v>
      </c>
      <c r="B52" s="1525" t="s">
        <v>277</v>
      </c>
      <c r="C52" s="1507">
        <v>0</v>
      </c>
      <c r="D52" s="1558">
        <v>253368</v>
      </c>
      <c r="E52" s="1539">
        <v>0</v>
      </c>
      <c r="F52" s="1539">
        <v>0</v>
      </c>
      <c r="G52" s="1542">
        <f t="shared" si="7"/>
        <v>408028.24348099995</v>
      </c>
      <c r="H52" s="1540">
        <f>111091.244776-J52</f>
        <v>110480.43377600001</v>
      </c>
      <c r="I52" s="1540"/>
      <c r="J52" s="1540">
        <v>610.81100000000004</v>
      </c>
      <c r="K52" s="1540">
        <f>279403.056498-M52+N52</f>
        <v>297547.80970499996</v>
      </c>
      <c r="L52" s="1542"/>
      <c r="M52" s="1560">
        <v>37493</v>
      </c>
      <c r="N52" s="1540">
        <f>58090.053207-P52</f>
        <v>55637.753206999994</v>
      </c>
      <c r="O52" s="1542"/>
      <c r="P52" s="1560">
        <f>981.3+1471</f>
        <v>2452.3000000000002</v>
      </c>
      <c r="Q52" s="1543">
        <v>0</v>
      </c>
      <c r="R52" s="1370">
        <f t="shared" si="5"/>
        <v>161.04174303029583</v>
      </c>
      <c r="S52" s="1559">
        <v>0</v>
      </c>
      <c r="T52" s="1559">
        <v>0</v>
      </c>
      <c r="V52" s="103"/>
    </row>
    <row r="53" spans="1:22" ht="21" hidden="1" customHeight="1">
      <c r="A53" s="1517">
        <v>13</v>
      </c>
      <c r="B53" s="1525" t="s">
        <v>288</v>
      </c>
      <c r="C53" s="1507">
        <v>0</v>
      </c>
      <c r="D53" s="1558">
        <v>57221</v>
      </c>
      <c r="E53" s="1539">
        <v>0</v>
      </c>
      <c r="F53" s="1539">
        <v>0</v>
      </c>
      <c r="G53" s="1542">
        <f t="shared" si="7"/>
        <v>88089.684850999998</v>
      </c>
      <c r="H53" s="1540">
        <f>50888.279525+405.462055</f>
        <v>51293.741580000002</v>
      </c>
      <c r="I53" s="1540"/>
      <c r="J53" s="1540"/>
      <c r="K53" s="1540">
        <f>32633.541266+N53</f>
        <v>36795.943270999996</v>
      </c>
      <c r="L53" s="1542"/>
      <c r="M53" s="1540"/>
      <c r="N53" s="1540">
        <v>4162.4020049999999</v>
      </c>
      <c r="O53" s="1542"/>
      <c r="P53" s="1540"/>
      <c r="Q53" s="1543">
        <v>0</v>
      </c>
      <c r="R53" s="1370">
        <f t="shared" si="5"/>
        <v>153.94642675066845</v>
      </c>
      <c r="S53" s="1559">
        <v>0</v>
      </c>
      <c r="T53" s="1559">
        <v>0</v>
      </c>
      <c r="V53" s="103"/>
    </row>
    <row r="54" spans="1:22" s="299" customFormat="1" ht="21" customHeight="1">
      <c r="A54" s="1516" t="s">
        <v>118</v>
      </c>
      <c r="B54" s="1524" t="s">
        <v>996</v>
      </c>
      <c r="C54" s="1507">
        <v>800</v>
      </c>
      <c r="D54" s="1562">
        <f>1783</f>
        <v>1783</v>
      </c>
      <c r="E54" s="1562">
        <v>1783</v>
      </c>
      <c r="F54" s="1562"/>
      <c r="G54" s="1536">
        <f t="shared" si="7"/>
        <v>403.904653</v>
      </c>
      <c r="H54" s="1536">
        <f>403.904653</f>
        <v>403.904653</v>
      </c>
      <c r="I54" s="1536"/>
      <c r="J54" s="1536"/>
      <c r="K54" s="1539">
        <v>0</v>
      </c>
      <c r="L54" s="1539"/>
      <c r="M54" s="1539"/>
      <c r="N54" s="1539">
        <v>0</v>
      </c>
      <c r="O54" s="1535"/>
      <c r="P54" s="1536"/>
      <c r="Q54" s="1537">
        <f>G54/C54*100</f>
        <v>50.488081625000007</v>
      </c>
      <c r="R54" s="1355">
        <f>G54/D54*100</f>
        <v>22.65309326977005</v>
      </c>
      <c r="S54" s="1355">
        <f t="shared" si="1"/>
        <v>22.65309326977005</v>
      </c>
      <c r="T54" s="1559">
        <v>0</v>
      </c>
    </row>
    <row r="55" spans="1:22" s="299" customFormat="1" ht="21" customHeight="1">
      <c r="A55" s="1521" t="s">
        <v>320</v>
      </c>
      <c r="B55" s="1529" t="s">
        <v>68</v>
      </c>
      <c r="C55" s="1510">
        <v>1000</v>
      </c>
      <c r="D55" s="1563">
        <v>1000</v>
      </c>
      <c r="E55" s="1563">
        <v>1000</v>
      </c>
      <c r="F55" s="1563"/>
      <c r="G55" s="1564">
        <f t="shared" si="7"/>
        <v>1000</v>
      </c>
      <c r="H55" s="1565">
        <v>1000</v>
      </c>
      <c r="I55" s="1565"/>
      <c r="J55" s="1565"/>
      <c r="K55" s="1566">
        <v>0</v>
      </c>
      <c r="L55" s="1566"/>
      <c r="M55" s="1566"/>
      <c r="N55" s="1566">
        <v>0</v>
      </c>
      <c r="O55" s="1564"/>
      <c r="P55" s="1565"/>
      <c r="Q55" s="1567">
        <f>G55/C55*100</f>
        <v>100</v>
      </c>
      <c r="R55" s="1355">
        <f>G55/D55*100</f>
        <v>100</v>
      </c>
      <c r="S55" s="1355">
        <f t="shared" si="1"/>
        <v>100</v>
      </c>
      <c r="T55" s="1559">
        <v>0</v>
      </c>
    </row>
    <row r="56" spans="1:22" s="302" customFormat="1" ht="21" customHeight="1">
      <c r="A56" s="1254" t="s">
        <v>321</v>
      </c>
      <c r="B56" s="1380" t="s">
        <v>322</v>
      </c>
      <c r="C56" s="1361">
        <v>143210</v>
      </c>
      <c r="D56" s="1379">
        <v>149400</v>
      </c>
      <c r="E56" s="1379">
        <v>81655</v>
      </c>
      <c r="F56" s="1379">
        <v>67745</v>
      </c>
      <c r="G56" s="1364">
        <v>0</v>
      </c>
      <c r="H56" s="1364">
        <v>0</v>
      </c>
      <c r="I56" s="1364"/>
      <c r="J56" s="1364"/>
      <c r="K56" s="1364">
        <v>0</v>
      </c>
      <c r="L56" s="1364"/>
      <c r="M56" s="1364"/>
      <c r="N56" s="1364">
        <v>0</v>
      </c>
      <c r="O56" s="1360"/>
      <c r="P56" s="1360"/>
      <c r="Q56" s="1568">
        <f>G56/C56*100</f>
        <v>0</v>
      </c>
      <c r="R56" s="1360">
        <f>G56/D56*100</f>
        <v>0</v>
      </c>
      <c r="S56" s="1559">
        <f t="shared" si="1"/>
        <v>0</v>
      </c>
      <c r="T56" s="1559">
        <f t="shared" si="2"/>
        <v>0</v>
      </c>
    </row>
    <row r="57" spans="1:22" s="299" customFormat="1" ht="21" customHeight="1">
      <c r="A57" s="1255" t="s">
        <v>323</v>
      </c>
      <c r="B57" s="1381" t="s">
        <v>997</v>
      </c>
      <c r="C57" s="1382"/>
      <c r="D57" s="1539">
        <v>0</v>
      </c>
      <c r="E57" s="1539">
        <v>0</v>
      </c>
      <c r="F57" s="1539">
        <v>0</v>
      </c>
      <c r="G57" s="1383"/>
      <c r="H57" s="1383"/>
      <c r="I57" s="1383"/>
      <c r="J57" s="1383"/>
      <c r="K57" s="1383"/>
      <c r="L57" s="1383"/>
      <c r="M57" s="1383"/>
      <c r="N57" s="1383"/>
      <c r="O57" s="1383"/>
      <c r="P57" s="1383"/>
      <c r="Q57" s="1569"/>
      <c r="R57" s="1383"/>
      <c r="S57" s="1559">
        <v>0</v>
      </c>
      <c r="T57" s="1559">
        <v>0</v>
      </c>
    </row>
    <row r="58" spans="1:22" s="299" customFormat="1" ht="21" customHeight="1">
      <c r="A58" s="1357" t="s">
        <v>80</v>
      </c>
      <c r="B58" s="1358" t="s">
        <v>2851</v>
      </c>
      <c r="C58" s="1511">
        <f>+C59+C64</f>
        <v>1949551</v>
      </c>
      <c r="D58" s="1570">
        <f>+D59+D64</f>
        <v>1804261</v>
      </c>
      <c r="E58" s="1570">
        <f>+E59+E64</f>
        <v>1804261</v>
      </c>
      <c r="F58" s="1539">
        <v>0</v>
      </c>
      <c r="G58" s="1353">
        <f>+G59+G64</f>
        <v>875940.825006</v>
      </c>
      <c r="H58" s="1570">
        <f t="shared" ref="H58:P58" si="8">+H59+H64</f>
        <v>684062.32112500002</v>
      </c>
      <c r="I58" s="1570">
        <f t="shared" si="8"/>
        <v>633340.47815500002</v>
      </c>
      <c r="J58" s="1570">
        <f t="shared" si="8"/>
        <v>50721.842969999998</v>
      </c>
      <c r="K58" s="1570">
        <f>+K59+K64</f>
        <v>191878.50388100001</v>
      </c>
      <c r="L58" s="1570">
        <f t="shared" si="8"/>
        <v>12853.423792</v>
      </c>
      <c r="M58" s="1570">
        <f t="shared" si="8"/>
        <v>61956.748729999999</v>
      </c>
      <c r="N58" s="1570">
        <f t="shared" si="8"/>
        <v>117068.331359</v>
      </c>
      <c r="O58" s="1570">
        <f t="shared" si="8"/>
        <v>96203.247969000004</v>
      </c>
      <c r="P58" s="1570">
        <f t="shared" si="8"/>
        <v>20865.08339</v>
      </c>
      <c r="Q58" s="1571">
        <f>G58/C58*100</f>
        <v>44.930387817810356</v>
      </c>
      <c r="R58" s="1355">
        <f>G58/D58*100</f>
        <v>48.548454187393062</v>
      </c>
      <c r="S58" s="1355">
        <f t="shared" si="1"/>
        <v>37.913712102905286</v>
      </c>
      <c r="T58" s="1559">
        <v>0</v>
      </c>
    </row>
    <row r="59" spans="1:22" s="1036" customFormat="1" ht="21" customHeight="1">
      <c r="A59" s="1522" t="s">
        <v>108</v>
      </c>
      <c r="B59" s="1530" t="s">
        <v>2849</v>
      </c>
      <c r="C59" s="1512">
        <f>SUM(C60:C63)</f>
        <v>129892</v>
      </c>
      <c r="D59" s="1572">
        <f>SUM(D60:D63)</f>
        <v>129892</v>
      </c>
      <c r="E59" s="1572">
        <f>SUM(E60:E63)</f>
        <v>129892</v>
      </c>
      <c r="F59" s="1539">
        <v>0</v>
      </c>
      <c r="G59" s="1585">
        <f>SUM(G60:G63)</f>
        <v>151432.605477</v>
      </c>
      <c r="H59" s="1572">
        <f t="shared" ref="H59:O59" si="9">SUM(H60:H63)</f>
        <v>14764.978466</v>
      </c>
      <c r="I59" s="1572">
        <f t="shared" si="9"/>
        <v>181.09700000000001</v>
      </c>
      <c r="J59" s="1572">
        <f t="shared" si="9"/>
        <v>14583.881466000001</v>
      </c>
      <c r="K59" s="1572">
        <f>SUM(K60:K63)</f>
        <v>136667.627011</v>
      </c>
      <c r="L59" s="1572">
        <f t="shared" si="9"/>
        <v>12853.423792</v>
      </c>
      <c r="M59" s="1572">
        <f t="shared" si="9"/>
        <v>8216.8718599999993</v>
      </c>
      <c r="N59" s="1572">
        <f t="shared" si="9"/>
        <v>115597.331359</v>
      </c>
      <c r="O59" s="1572">
        <f t="shared" si="9"/>
        <v>96203.247969000004</v>
      </c>
      <c r="P59" s="1572">
        <f>SUM(P60:P63)</f>
        <v>19394.08339</v>
      </c>
      <c r="Q59" s="1573">
        <f>G59/C59*100</f>
        <v>116.58347356034244</v>
      </c>
      <c r="R59" s="1355">
        <f>G59/D59*100</f>
        <v>116.58347356034244</v>
      </c>
      <c r="S59" s="1355">
        <f t="shared" si="1"/>
        <v>11.367119195947403</v>
      </c>
      <c r="T59" s="1559">
        <v>0</v>
      </c>
    </row>
    <row r="60" spans="1:22" s="302" customFormat="1" ht="21" customHeight="1">
      <c r="A60" s="1518" t="s">
        <v>254</v>
      </c>
      <c r="B60" s="1526" t="s">
        <v>773</v>
      </c>
      <c r="C60" s="1513">
        <v>47092</v>
      </c>
      <c r="D60" s="1574">
        <v>47092</v>
      </c>
      <c r="E60" s="1574">
        <v>47092</v>
      </c>
      <c r="F60" s="1539">
        <v>0</v>
      </c>
      <c r="G60" s="1540">
        <f>+H60+K60</f>
        <v>56058.427014000001</v>
      </c>
      <c r="H60" s="1540">
        <f>I60+J60</f>
        <v>2658.2200400000002</v>
      </c>
      <c r="I60" s="1540"/>
      <c r="J60" s="1540">
        <v>2658.2200400000002</v>
      </c>
      <c r="K60" s="1540">
        <f>L60+M60+N60</f>
        <v>53400.206974000001</v>
      </c>
      <c r="L60" s="1540">
        <v>7649.3977919999998</v>
      </c>
      <c r="M60" s="1540"/>
      <c r="N60" s="1540">
        <f>O60+P60</f>
        <v>45750.809181999997</v>
      </c>
      <c r="O60" s="1540">
        <v>30685.071692000001</v>
      </c>
      <c r="P60" s="1540">
        <v>15065.73749</v>
      </c>
      <c r="Q60" s="1575">
        <f>G60/C60*100</f>
        <v>119.04023403975197</v>
      </c>
      <c r="R60" s="1368">
        <f t="shared" ref="R60:R61" si="10">G60/D60*100</f>
        <v>119.04023403975197</v>
      </c>
      <c r="S60" s="1370">
        <f t="shared" si="1"/>
        <v>5.644738044678502</v>
      </c>
      <c r="T60" s="1559">
        <v>0</v>
      </c>
      <c r="U60" s="403"/>
    </row>
    <row r="61" spans="1:22" s="302" customFormat="1" ht="21" customHeight="1">
      <c r="A61" s="1518" t="s">
        <v>256</v>
      </c>
      <c r="B61" s="1526" t="s">
        <v>329</v>
      </c>
      <c r="C61" s="1513">
        <v>82800</v>
      </c>
      <c r="D61" s="1574">
        <v>82800</v>
      </c>
      <c r="E61" s="1574">
        <v>82800</v>
      </c>
      <c r="F61" s="1539">
        <v>0</v>
      </c>
      <c r="G61" s="1540">
        <f>+H61+K61</f>
        <v>94982.006482000012</v>
      </c>
      <c r="H61" s="1540">
        <f t="shared" ref="H61:H77" si="11">I61+J61</f>
        <v>11966.758426</v>
      </c>
      <c r="I61" s="1540">
        <v>41.097000000000001</v>
      </c>
      <c r="J61" s="1540">
        <v>11925.661426000001</v>
      </c>
      <c r="K61" s="1540">
        <f>L61+M61+N61</f>
        <v>83015.248056000011</v>
      </c>
      <c r="L61" s="1540">
        <v>5204.0259999999998</v>
      </c>
      <c r="M61" s="1540">
        <v>7964.6998789999998</v>
      </c>
      <c r="N61" s="1540">
        <f t="shared" ref="N61:N78" si="12">O61+P61</f>
        <v>69846.522177000006</v>
      </c>
      <c r="O61" s="1540">
        <v>65518.176276999999</v>
      </c>
      <c r="P61" s="1540">
        <v>4328.3459000000003</v>
      </c>
      <c r="Q61" s="1575">
        <f>G61/C61*100</f>
        <v>114.71256821497586</v>
      </c>
      <c r="R61" s="1368">
        <f t="shared" si="10"/>
        <v>114.71256821497586</v>
      </c>
      <c r="S61" s="1370">
        <f t="shared" si="1"/>
        <v>14.452606794685991</v>
      </c>
      <c r="T61" s="1559">
        <v>0</v>
      </c>
      <c r="U61" s="403"/>
    </row>
    <row r="62" spans="1:22" s="302" customFormat="1" ht="21" customHeight="1">
      <c r="A62" s="1518" t="s">
        <v>258</v>
      </c>
      <c r="B62" s="1526" t="s">
        <v>3105</v>
      </c>
      <c r="C62" s="1507">
        <v>0</v>
      </c>
      <c r="D62" s="1544">
        <v>0</v>
      </c>
      <c r="E62" s="1539">
        <v>0</v>
      </c>
      <c r="F62" s="1539">
        <v>0</v>
      </c>
      <c r="G62" s="1540">
        <f>+H62+K62</f>
        <v>140</v>
      </c>
      <c r="H62" s="1540">
        <f t="shared" si="11"/>
        <v>140</v>
      </c>
      <c r="I62" s="1540">
        <v>140</v>
      </c>
      <c r="J62" s="1540"/>
      <c r="K62" s="1540">
        <f>L62+M62</f>
        <v>0</v>
      </c>
      <c r="L62" s="1540"/>
      <c r="M62" s="1540"/>
      <c r="N62" s="1576">
        <f t="shared" si="12"/>
        <v>0</v>
      </c>
      <c r="O62" s="1540"/>
      <c r="P62" s="1540"/>
      <c r="Q62" s="1545">
        <v>0</v>
      </c>
      <c r="R62" s="1364">
        <v>0</v>
      </c>
      <c r="S62" s="1559">
        <v>0</v>
      </c>
      <c r="T62" s="1559">
        <v>0</v>
      </c>
      <c r="U62" s="1031"/>
    </row>
    <row r="63" spans="1:22" s="302" customFormat="1" ht="21" customHeight="1">
      <c r="A63" s="1518" t="s">
        <v>260</v>
      </c>
      <c r="B63" s="1526" t="s">
        <v>2956</v>
      </c>
      <c r="C63" s="1507">
        <v>0</v>
      </c>
      <c r="D63" s="1544">
        <v>0</v>
      </c>
      <c r="E63" s="1539">
        <v>0</v>
      </c>
      <c r="F63" s="1539">
        <v>0</v>
      </c>
      <c r="G63" s="1540">
        <f>+H63+K63</f>
        <v>252.17198099999999</v>
      </c>
      <c r="H63" s="1540">
        <f t="shared" si="11"/>
        <v>0</v>
      </c>
      <c r="I63" s="1540"/>
      <c r="J63" s="1540"/>
      <c r="K63" s="1540">
        <f>L63+M63+N63</f>
        <v>252.17198099999999</v>
      </c>
      <c r="L63" s="1540"/>
      <c r="M63" s="1540">
        <v>252.17198099999999</v>
      </c>
      <c r="N63" s="1576">
        <f t="shared" si="12"/>
        <v>0</v>
      </c>
      <c r="O63" s="1540"/>
      <c r="P63" s="1540"/>
      <c r="Q63" s="1545">
        <v>0</v>
      </c>
      <c r="R63" s="1364">
        <v>0</v>
      </c>
      <c r="S63" s="1559">
        <v>0</v>
      </c>
      <c r="T63" s="1559">
        <v>0</v>
      </c>
      <c r="U63" s="403"/>
    </row>
    <row r="64" spans="1:22" s="1034" customFormat="1" ht="21" customHeight="1">
      <c r="A64" s="1523" t="s">
        <v>109</v>
      </c>
      <c r="B64" s="1531" t="s">
        <v>1000</v>
      </c>
      <c r="C64" s="1507">
        <f>SUM(C65:C79)</f>
        <v>1819659</v>
      </c>
      <c r="D64" s="1577">
        <f>SUM(D65:D79)</f>
        <v>1674369</v>
      </c>
      <c r="E64" s="1577">
        <f>SUM(E65:E79)</f>
        <v>1674369</v>
      </c>
      <c r="F64" s="1539">
        <v>0</v>
      </c>
      <c r="G64" s="1593">
        <f>SUM(G65:G79)</f>
        <v>724508.21952899999</v>
      </c>
      <c r="H64" s="1544">
        <f t="shared" ref="H64:P64" si="13">SUM(H65:H79)</f>
        <v>669297.34265899996</v>
      </c>
      <c r="I64" s="1544">
        <f t="shared" si="13"/>
        <v>633159.38115500007</v>
      </c>
      <c r="J64" s="1544">
        <f t="shared" si="13"/>
        <v>36137.961503999999</v>
      </c>
      <c r="K64" s="1578">
        <f>SUM(K65:K79)</f>
        <v>55210.87687</v>
      </c>
      <c r="L64" s="1544">
        <f t="shared" si="13"/>
        <v>0</v>
      </c>
      <c r="M64" s="1544">
        <f t="shared" si="13"/>
        <v>53739.87687</v>
      </c>
      <c r="N64" s="1544">
        <f t="shared" si="13"/>
        <v>1471</v>
      </c>
      <c r="O64" s="1544">
        <f t="shared" si="13"/>
        <v>0</v>
      </c>
      <c r="P64" s="1544">
        <f t="shared" si="13"/>
        <v>1471</v>
      </c>
      <c r="Q64" s="1545"/>
      <c r="R64" s="1355">
        <f>G64/D64*100</f>
        <v>43.270522777774787</v>
      </c>
      <c r="S64" s="1355">
        <f t="shared" si="1"/>
        <v>39.97310883437283</v>
      </c>
      <c r="T64" s="1559">
        <v>0</v>
      </c>
      <c r="U64" s="1033"/>
    </row>
    <row r="65" spans="1:20" s="299" customFormat="1" ht="21" customHeight="1">
      <c r="A65" s="1517" t="s">
        <v>254</v>
      </c>
      <c r="B65" s="1525" t="s">
        <v>978</v>
      </c>
      <c r="C65" s="1507">
        <v>0</v>
      </c>
      <c r="D65" s="1544">
        <v>0</v>
      </c>
      <c r="E65" s="1544">
        <v>0</v>
      </c>
      <c r="F65" s="1539">
        <v>0</v>
      </c>
      <c r="G65" s="1542">
        <f t="shared" ref="G65:G78" si="14">+H65+K65</f>
        <v>9.109</v>
      </c>
      <c r="H65" s="1540">
        <f t="shared" si="11"/>
        <v>0</v>
      </c>
      <c r="I65" s="1540"/>
      <c r="J65" s="1540"/>
      <c r="K65" s="1540">
        <f>L65+M65</f>
        <v>9.109</v>
      </c>
      <c r="L65" s="1542"/>
      <c r="M65" s="1540">
        <v>9.109</v>
      </c>
      <c r="N65" s="1576">
        <f t="shared" si="12"/>
        <v>0</v>
      </c>
      <c r="O65" s="1542"/>
      <c r="P65" s="1540"/>
      <c r="Q65" s="1543">
        <v>0</v>
      </c>
      <c r="R65" s="1367">
        <v>0</v>
      </c>
      <c r="S65" s="1370">
        <v>0</v>
      </c>
      <c r="T65" s="1559">
        <v>0</v>
      </c>
    </row>
    <row r="66" spans="1:20" s="299" customFormat="1" ht="21" customHeight="1">
      <c r="A66" s="1517" t="s">
        <v>256</v>
      </c>
      <c r="B66" s="1525" t="s">
        <v>960</v>
      </c>
      <c r="C66" s="1514">
        <v>6958</v>
      </c>
      <c r="D66" s="1574">
        <v>6958</v>
      </c>
      <c r="E66" s="1574">
        <f>D66</f>
        <v>6958</v>
      </c>
      <c r="F66" s="1539">
        <v>0</v>
      </c>
      <c r="G66" s="1542">
        <f t="shared" si="14"/>
        <v>14136.277345999999</v>
      </c>
      <c r="H66" s="1540">
        <f t="shared" si="11"/>
        <v>6840.5094760000002</v>
      </c>
      <c r="I66" s="1540"/>
      <c r="J66" s="1540">
        <v>6840.5094760000002</v>
      </c>
      <c r="K66" s="1540">
        <f>L66+M66</f>
        <v>7295.7678699999997</v>
      </c>
      <c r="L66" s="1542"/>
      <c r="M66" s="1540">
        <v>7295.7678699999997</v>
      </c>
      <c r="N66" s="1576">
        <f t="shared" si="12"/>
        <v>0</v>
      </c>
      <c r="O66" s="1542"/>
      <c r="P66" s="1540"/>
      <c r="Q66" s="1561">
        <f>G66/C66*100</f>
        <v>203.16581411325089</v>
      </c>
      <c r="R66" s="1370">
        <f t="shared" ref="R66:R78" si="15">G66/D66*100</f>
        <v>203.16581411325089</v>
      </c>
      <c r="S66" s="1370">
        <f t="shared" si="1"/>
        <v>98.311432538085668</v>
      </c>
      <c r="T66" s="1559">
        <v>0</v>
      </c>
    </row>
    <row r="67" spans="1:20" s="299" customFormat="1" ht="21" customHeight="1">
      <c r="A67" s="1517" t="s">
        <v>258</v>
      </c>
      <c r="B67" s="1525" t="s">
        <v>979</v>
      </c>
      <c r="C67" s="1514">
        <v>25000</v>
      </c>
      <c r="D67" s="1546">
        <v>25000</v>
      </c>
      <c r="E67" s="1546">
        <f>D67</f>
        <v>25000</v>
      </c>
      <c r="F67" s="1539">
        <v>0</v>
      </c>
      <c r="G67" s="1542">
        <f t="shared" si="14"/>
        <v>15904.023847</v>
      </c>
      <c r="H67" s="1540">
        <f t="shared" si="11"/>
        <v>15904.023847</v>
      </c>
      <c r="I67" s="1540">
        <v>15904.023847</v>
      </c>
      <c r="J67" s="1540"/>
      <c r="K67" s="1576">
        <f>L67+M67</f>
        <v>0</v>
      </c>
      <c r="L67" s="1542"/>
      <c r="M67" s="1540"/>
      <c r="N67" s="1576">
        <f t="shared" si="12"/>
        <v>0</v>
      </c>
      <c r="O67" s="1542"/>
      <c r="P67" s="1540"/>
      <c r="Q67" s="1561">
        <f t="shared" ref="Q67:Q78" si="16">G67/C67*100</f>
        <v>63.616095388000005</v>
      </c>
      <c r="R67" s="1370">
        <f t="shared" si="15"/>
        <v>63.616095388000005</v>
      </c>
      <c r="S67" s="1370">
        <f t="shared" si="1"/>
        <v>63.616095388000005</v>
      </c>
      <c r="T67" s="1559">
        <v>0</v>
      </c>
    </row>
    <row r="68" spans="1:20" s="299" customFormat="1" ht="21" customHeight="1">
      <c r="A68" s="1517" t="s">
        <v>260</v>
      </c>
      <c r="B68" s="1525" t="s">
        <v>2362</v>
      </c>
      <c r="C68" s="1514">
        <v>30574</v>
      </c>
      <c r="D68" s="1546">
        <v>30574</v>
      </c>
      <c r="E68" s="1546">
        <f>D68</f>
        <v>30574</v>
      </c>
      <c r="F68" s="1539">
        <v>0</v>
      </c>
      <c r="G68" s="1542">
        <f t="shared" si="14"/>
        <v>33046.902189</v>
      </c>
      <c r="H68" s="1540">
        <f t="shared" si="11"/>
        <v>33046.902189</v>
      </c>
      <c r="I68" s="1540">
        <v>30216.262261</v>
      </c>
      <c r="J68" s="1540">
        <v>2830.6399280000001</v>
      </c>
      <c r="K68" s="1576">
        <f>L68+M68</f>
        <v>0</v>
      </c>
      <c r="L68" s="1542"/>
      <c r="M68" s="1540"/>
      <c r="N68" s="1576">
        <f t="shared" si="12"/>
        <v>0</v>
      </c>
      <c r="O68" s="1542"/>
      <c r="P68" s="1540"/>
      <c r="Q68" s="1561">
        <f t="shared" si="16"/>
        <v>108.08825207365736</v>
      </c>
      <c r="R68" s="1370">
        <f t="shared" si="15"/>
        <v>108.08825207365736</v>
      </c>
      <c r="S68" s="1370">
        <f t="shared" si="1"/>
        <v>108.08825207365736</v>
      </c>
      <c r="T68" s="1559">
        <v>0</v>
      </c>
    </row>
    <row r="69" spans="1:20" s="299" customFormat="1" ht="36" customHeight="1">
      <c r="A69" s="1517" t="s">
        <v>262</v>
      </c>
      <c r="B69" s="1525" t="s">
        <v>962</v>
      </c>
      <c r="C69" s="1514">
        <v>69232</v>
      </c>
      <c r="D69" s="1546">
        <v>69232</v>
      </c>
      <c r="E69" s="1546">
        <f t="shared" ref="E69:E78" si="17">D69</f>
        <v>69232</v>
      </c>
      <c r="F69" s="1539">
        <v>0</v>
      </c>
      <c r="G69" s="1542">
        <f t="shared" si="14"/>
        <v>52273.083454</v>
      </c>
      <c r="H69" s="1540">
        <f t="shared" si="11"/>
        <v>52273.083454</v>
      </c>
      <c r="I69" s="1540">
        <v>52273.083454</v>
      </c>
      <c r="J69" s="1540"/>
      <c r="K69" s="1576">
        <f t="shared" ref="K69:K78" si="18">L69+M69</f>
        <v>0</v>
      </c>
      <c r="L69" s="1542"/>
      <c r="M69" s="1540"/>
      <c r="N69" s="1576">
        <f t="shared" si="12"/>
        <v>0</v>
      </c>
      <c r="O69" s="1542"/>
      <c r="P69" s="1540"/>
      <c r="Q69" s="1561">
        <f t="shared" si="16"/>
        <v>75.504222691818811</v>
      </c>
      <c r="R69" s="1370">
        <f t="shared" si="15"/>
        <v>75.504222691818811</v>
      </c>
      <c r="S69" s="1370">
        <f t="shared" si="1"/>
        <v>75.504222691818811</v>
      </c>
      <c r="T69" s="1559">
        <v>0</v>
      </c>
    </row>
    <row r="70" spans="1:20" s="299" customFormat="1" ht="36" customHeight="1">
      <c r="A70" s="1517" t="s">
        <v>264</v>
      </c>
      <c r="B70" s="1525" t="s">
        <v>963</v>
      </c>
      <c r="C70" s="1514">
        <v>1380</v>
      </c>
      <c r="D70" s="1574">
        <v>1380</v>
      </c>
      <c r="E70" s="1546">
        <f t="shared" si="17"/>
        <v>1380</v>
      </c>
      <c r="F70" s="1539">
        <v>0</v>
      </c>
      <c r="G70" s="1542">
        <f t="shared" si="14"/>
        <v>3600</v>
      </c>
      <c r="H70" s="1540">
        <f t="shared" si="11"/>
        <v>3600</v>
      </c>
      <c r="I70" s="1540"/>
      <c r="J70" s="1540">
        <v>3600</v>
      </c>
      <c r="K70" s="1576">
        <f t="shared" si="18"/>
        <v>0</v>
      </c>
      <c r="L70" s="1542"/>
      <c r="M70" s="1540"/>
      <c r="N70" s="1576">
        <f t="shared" si="12"/>
        <v>0</v>
      </c>
      <c r="O70" s="1542"/>
      <c r="P70" s="1540"/>
      <c r="Q70" s="1561">
        <f t="shared" si="16"/>
        <v>260.86956521739131</v>
      </c>
      <c r="R70" s="1370">
        <f t="shared" si="15"/>
        <v>260.86956521739131</v>
      </c>
      <c r="S70" s="1370">
        <f t="shared" si="1"/>
        <v>260.86956521739131</v>
      </c>
      <c r="T70" s="1559">
        <v>0</v>
      </c>
    </row>
    <row r="71" spans="1:20" s="299" customFormat="1" ht="21" customHeight="1">
      <c r="A71" s="1517" t="s">
        <v>266</v>
      </c>
      <c r="B71" s="1525" t="s">
        <v>964</v>
      </c>
      <c r="C71" s="1514">
        <v>3507</v>
      </c>
      <c r="D71" s="1574">
        <v>3507</v>
      </c>
      <c r="E71" s="1546">
        <f t="shared" si="17"/>
        <v>3507</v>
      </c>
      <c r="F71" s="1539">
        <v>0</v>
      </c>
      <c r="G71" s="1542">
        <f t="shared" si="14"/>
        <v>6239.549</v>
      </c>
      <c r="H71" s="1540">
        <f t="shared" si="11"/>
        <v>6239.549</v>
      </c>
      <c r="I71" s="1540"/>
      <c r="J71" s="1540">
        <v>6239.549</v>
      </c>
      <c r="K71" s="1576">
        <f t="shared" si="18"/>
        <v>0</v>
      </c>
      <c r="L71" s="1542"/>
      <c r="M71" s="1540"/>
      <c r="N71" s="1576">
        <f t="shared" si="12"/>
        <v>0</v>
      </c>
      <c r="O71" s="1542"/>
      <c r="P71" s="1540"/>
      <c r="Q71" s="1561">
        <f t="shared" si="16"/>
        <v>177.91699458226404</v>
      </c>
      <c r="R71" s="1370">
        <f t="shared" si="15"/>
        <v>177.91699458226404</v>
      </c>
      <c r="S71" s="1370">
        <f t="shared" si="1"/>
        <v>177.91699458226404</v>
      </c>
      <c r="T71" s="1559">
        <v>0</v>
      </c>
    </row>
    <row r="72" spans="1:20" s="299" customFormat="1" ht="21" customHeight="1">
      <c r="A72" s="1517" t="s">
        <v>268</v>
      </c>
      <c r="B72" s="1525" t="s">
        <v>965</v>
      </c>
      <c r="C72" s="1514">
        <f>5458+1126</f>
        <v>6584</v>
      </c>
      <c r="D72" s="1546">
        <f>5458+1126</f>
        <v>6584</v>
      </c>
      <c r="E72" s="1546">
        <f t="shared" si="17"/>
        <v>6584</v>
      </c>
      <c r="F72" s="1539">
        <v>0</v>
      </c>
      <c r="G72" s="1542">
        <f t="shared" si="14"/>
        <v>5525.3890000000001</v>
      </c>
      <c r="H72" s="1540">
        <f t="shared" si="11"/>
        <v>5525.3890000000001</v>
      </c>
      <c r="I72" s="1540">
        <v>4914.5780000000004</v>
      </c>
      <c r="J72" s="1540">
        <v>610.81100000000004</v>
      </c>
      <c r="K72" s="1576">
        <f t="shared" si="18"/>
        <v>0</v>
      </c>
      <c r="L72" s="1542"/>
      <c r="M72" s="1540"/>
      <c r="N72" s="1576">
        <f t="shared" si="12"/>
        <v>0</v>
      </c>
      <c r="O72" s="1542"/>
      <c r="P72" s="1540"/>
      <c r="Q72" s="1561">
        <f t="shared" si="16"/>
        <v>83.921461117861483</v>
      </c>
      <c r="R72" s="1370">
        <f t="shared" si="15"/>
        <v>83.921461117861483</v>
      </c>
      <c r="S72" s="1370">
        <f t="shared" si="1"/>
        <v>83.921461117861483</v>
      </c>
      <c r="T72" s="1559">
        <v>0</v>
      </c>
    </row>
    <row r="73" spans="1:20" s="299" customFormat="1" ht="21" customHeight="1">
      <c r="A73" s="1517" t="s">
        <v>270</v>
      </c>
      <c r="B73" s="1525" t="s">
        <v>966</v>
      </c>
      <c r="C73" s="1514">
        <v>1115</v>
      </c>
      <c r="D73" s="1574">
        <v>1115</v>
      </c>
      <c r="E73" s="1546">
        <f t="shared" si="17"/>
        <v>1115</v>
      </c>
      <c r="F73" s="1539">
        <v>0</v>
      </c>
      <c r="G73" s="1542">
        <f t="shared" si="14"/>
        <v>2343.4521</v>
      </c>
      <c r="H73" s="1540">
        <f t="shared" si="11"/>
        <v>2343.4521</v>
      </c>
      <c r="I73" s="1540"/>
      <c r="J73" s="1540">
        <v>2343.4521</v>
      </c>
      <c r="K73" s="1576">
        <f t="shared" si="18"/>
        <v>0</v>
      </c>
      <c r="L73" s="1542"/>
      <c r="M73" s="1540"/>
      <c r="N73" s="1576">
        <f t="shared" si="12"/>
        <v>0</v>
      </c>
      <c r="O73" s="1542"/>
      <c r="P73" s="1540"/>
      <c r="Q73" s="1561">
        <f t="shared" si="16"/>
        <v>210.17507623318386</v>
      </c>
      <c r="R73" s="1370">
        <f t="shared" si="15"/>
        <v>210.17507623318386</v>
      </c>
      <c r="S73" s="1370">
        <f t="shared" si="1"/>
        <v>210.17507623318386</v>
      </c>
      <c r="T73" s="1559">
        <v>0</v>
      </c>
    </row>
    <row r="74" spans="1:20" s="299" customFormat="1" ht="21" customHeight="1">
      <c r="A74" s="1517" t="s">
        <v>272</v>
      </c>
      <c r="B74" s="1525" t="s">
        <v>967</v>
      </c>
      <c r="C74" s="1514">
        <v>398105</v>
      </c>
      <c r="D74" s="1574">
        <v>398105</v>
      </c>
      <c r="E74" s="1546">
        <f t="shared" si="17"/>
        <v>398105</v>
      </c>
      <c r="F74" s="1539">
        <v>0</v>
      </c>
      <c r="G74" s="1542">
        <f t="shared" si="14"/>
        <v>147456.36254599999</v>
      </c>
      <c r="H74" s="1540">
        <f t="shared" si="11"/>
        <v>147456.36254599999</v>
      </c>
      <c r="I74" s="1540">
        <v>147456.36254599999</v>
      </c>
      <c r="J74" s="1540"/>
      <c r="K74" s="1576">
        <f t="shared" si="18"/>
        <v>0</v>
      </c>
      <c r="L74" s="1542"/>
      <c r="M74" s="1540"/>
      <c r="N74" s="1576">
        <f t="shared" si="12"/>
        <v>0</v>
      </c>
      <c r="O74" s="1542"/>
      <c r="P74" s="1540"/>
      <c r="Q74" s="1561">
        <f t="shared" si="16"/>
        <v>37.039565578427798</v>
      </c>
      <c r="R74" s="1370">
        <f t="shared" si="15"/>
        <v>37.039565578427798</v>
      </c>
      <c r="S74" s="1370">
        <f t="shared" si="1"/>
        <v>37.039565578427798</v>
      </c>
      <c r="T74" s="1559">
        <v>0</v>
      </c>
    </row>
    <row r="75" spans="1:20" s="299" customFormat="1" ht="21" customHeight="1">
      <c r="A75" s="1517" t="s">
        <v>274</v>
      </c>
      <c r="B75" s="1525" t="s">
        <v>968</v>
      </c>
      <c r="C75" s="1514">
        <v>135433</v>
      </c>
      <c r="D75" s="1546">
        <v>135433</v>
      </c>
      <c r="E75" s="1546">
        <f t="shared" si="17"/>
        <v>135433</v>
      </c>
      <c r="F75" s="1539">
        <v>0</v>
      </c>
      <c r="G75" s="1542">
        <f t="shared" si="14"/>
        <v>103542.33500000001</v>
      </c>
      <c r="H75" s="1540">
        <f t="shared" si="11"/>
        <v>103542.33500000001</v>
      </c>
      <c r="I75" s="1540">
        <v>103542.33500000001</v>
      </c>
      <c r="J75" s="1540"/>
      <c r="K75" s="1576">
        <f t="shared" si="18"/>
        <v>0</v>
      </c>
      <c r="L75" s="1542"/>
      <c r="M75" s="1540"/>
      <c r="N75" s="1576">
        <f t="shared" si="12"/>
        <v>0</v>
      </c>
      <c r="O75" s="1542"/>
      <c r="P75" s="1540"/>
      <c r="Q75" s="1561">
        <f t="shared" si="16"/>
        <v>76.452810614842775</v>
      </c>
      <c r="R75" s="1370">
        <f t="shared" si="15"/>
        <v>76.452810614842775</v>
      </c>
      <c r="S75" s="1370">
        <f t="shared" si="1"/>
        <v>76.452810614842775</v>
      </c>
      <c r="T75" s="1559">
        <v>0</v>
      </c>
    </row>
    <row r="76" spans="1:20" s="299" customFormat="1" ht="21" customHeight="1">
      <c r="A76" s="1517" t="s">
        <v>276</v>
      </c>
      <c r="B76" s="1525" t="s">
        <v>969</v>
      </c>
      <c r="C76" s="1514">
        <v>26800</v>
      </c>
      <c r="D76" s="1546">
        <v>26800</v>
      </c>
      <c r="E76" s="1546">
        <f t="shared" si="17"/>
        <v>26800</v>
      </c>
      <c r="F76" s="1539">
        <v>0</v>
      </c>
      <c r="G76" s="1542">
        <f t="shared" si="14"/>
        <v>15100</v>
      </c>
      <c r="H76" s="1540">
        <f t="shared" si="11"/>
        <v>15100</v>
      </c>
      <c r="I76" s="1540">
        <v>15100</v>
      </c>
      <c r="J76" s="1540"/>
      <c r="K76" s="1576">
        <f t="shared" si="18"/>
        <v>0</v>
      </c>
      <c r="L76" s="1542"/>
      <c r="M76" s="1540"/>
      <c r="N76" s="1576">
        <f t="shared" si="12"/>
        <v>0</v>
      </c>
      <c r="O76" s="1542"/>
      <c r="P76" s="1540"/>
      <c r="Q76" s="1561">
        <f t="shared" si="16"/>
        <v>56.343283582089555</v>
      </c>
      <c r="R76" s="1370">
        <f t="shared" si="15"/>
        <v>56.343283582089555</v>
      </c>
      <c r="S76" s="1370">
        <f t="shared" ref="S76:S79" si="19">H76/E76*100</f>
        <v>56.343283582089555</v>
      </c>
      <c r="T76" s="1559">
        <v>0</v>
      </c>
    </row>
    <row r="77" spans="1:20" s="299" customFormat="1" ht="46.5" customHeight="1">
      <c r="A77" s="1517" t="s">
        <v>278</v>
      </c>
      <c r="B77" s="1525" t="s">
        <v>2953</v>
      </c>
      <c r="C77" s="1514">
        <v>73503</v>
      </c>
      <c r="D77" s="1546">
        <v>73503</v>
      </c>
      <c r="E77" s="1546">
        <f t="shared" si="17"/>
        <v>73503</v>
      </c>
      <c r="F77" s="1539">
        <v>0</v>
      </c>
      <c r="G77" s="1542">
        <f t="shared" si="14"/>
        <v>72373.925873999993</v>
      </c>
      <c r="H77" s="1540">
        <f t="shared" si="11"/>
        <v>72373.925873999993</v>
      </c>
      <c r="I77" s="1540">
        <v>72373.925873999993</v>
      </c>
      <c r="J77" s="1540"/>
      <c r="K77" s="1576">
        <f t="shared" si="18"/>
        <v>0</v>
      </c>
      <c r="L77" s="1542"/>
      <c r="M77" s="1540"/>
      <c r="N77" s="1576">
        <f t="shared" si="12"/>
        <v>0</v>
      </c>
      <c r="O77" s="1542"/>
      <c r="P77" s="1540"/>
      <c r="Q77" s="1561">
        <f t="shared" si="16"/>
        <v>98.463907424186758</v>
      </c>
      <c r="R77" s="1370">
        <f t="shared" si="15"/>
        <v>98.463907424186758</v>
      </c>
      <c r="S77" s="1370">
        <f t="shared" si="19"/>
        <v>98.463907424186758</v>
      </c>
      <c r="T77" s="1559">
        <v>0</v>
      </c>
    </row>
    <row r="78" spans="1:20" s="299" customFormat="1" ht="21" customHeight="1">
      <c r="A78" s="1517" t="s">
        <v>972</v>
      </c>
      <c r="B78" s="1525" t="s">
        <v>388</v>
      </c>
      <c r="C78" s="1514">
        <v>27000</v>
      </c>
      <c r="D78" s="1546">
        <v>27000</v>
      </c>
      <c r="E78" s="1546">
        <f t="shared" si="17"/>
        <v>27000</v>
      </c>
      <c r="F78" s="1539">
        <v>0</v>
      </c>
      <c r="G78" s="1542">
        <f t="shared" si="14"/>
        <v>26031.25</v>
      </c>
      <c r="H78" s="1540">
        <f>I78+J78</f>
        <v>26031.25</v>
      </c>
      <c r="I78" s="1540">
        <v>26031.25</v>
      </c>
      <c r="J78" s="1540"/>
      <c r="K78" s="1576">
        <f t="shared" si="18"/>
        <v>0</v>
      </c>
      <c r="L78" s="1542"/>
      <c r="M78" s="1540"/>
      <c r="N78" s="1576">
        <f t="shared" si="12"/>
        <v>0</v>
      </c>
      <c r="O78" s="1542"/>
      <c r="P78" s="1540"/>
      <c r="Q78" s="1561">
        <f t="shared" si="16"/>
        <v>96.412037037037038</v>
      </c>
      <c r="R78" s="1370">
        <f t="shared" si="15"/>
        <v>96.412037037037038</v>
      </c>
      <c r="S78" s="1370">
        <f t="shared" si="19"/>
        <v>96.412037037037038</v>
      </c>
      <c r="T78" s="1559">
        <v>0</v>
      </c>
    </row>
    <row r="79" spans="1:20" s="302" customFormat="1" ht="21" customHeight="1">
      <c r="A79" s="1517" t="s">
        <v>973</v>
      </c>
      <c r="B79" s="1526" t="s">
        <v>332</v>
      </c>
      <c r="C79" s="1513">
        <f>340378+C80+1002164-135433-25000-69232-73503-5458-27000-30574-26800-6958-1115-1380-3507-1126</f>
        <v>1014468</v>
      </c>
      <c r="D79" s="1579">
        <f>1674369-398105-135433-25000-69232-73503-5458-27000-30574-26800-6958-1115-1380-3507-1126</f>
        <v>869178</v>
      </c>
      <c r="E79" s="1579">
        <f>+D79</f>
        <v>869178</v>
      </c>
      <c r="F79" s="1539">
        <v>0</v>
      </c>
      <c r="G79" s="1540">
        <f>H79+K79</f>
        <v>226926.56017300001</v>
      </c>
      <c r="H79" s="1540">
        <f>+I79+J79</f>
        <v>179020.56017300001</v>
      </c>
      <c r="I79" s="1540">
        <f>165347.560173+I80</f>
        <v>165347.56017300001</v>
      </c>
      <c r="J79" s="1540">
        <f>J80+560+110+9153+3850</f>
        <v>13673</v>
      </c>
      <c r="K79" s="1540">
        <f>+L79+M79+N79</f>
        <v>47906</v>
      </c>
      <c r="L79" s="1540"/>
      <c r="M79" s="1540">
        <f>37493+8942</f>
        <v>46435</v>
      </c>
      <c r="N79" s="1540">
        <f>+O79+P79</f>
        <v>1471</v>
      </c>
      <c r="O79" s="1540"/>
      <c r="P79" s="1540">
        <v>1471</v>
      </c>
      <c r="Q79" s="1561">
        <f>G79/C79*100</f>
        <v>22.369021021165775</v>
      </c>
      <c r="R79" s="1370">
        <f>G79/D79*100</f>
        <v>26.108180392623836</v>
      </c>
      <c r="S79" s="1370">
        <f t="shared" si="19"/>
        <v>20.596536057401359</v>
      </c>
      <c r="T79" s="1559">
        <v>0</v>
      </c>
    </row>
    <row r="80" spans="1:20" s="117" customFormat="1" ht="15" hidden="1" customHeight="1">
      <c r="A80" s="1518"/>
      <c r="B80" s="1532" t="s">
        <v>941</v>
      </c>
      <c r="C80" s="1515">
        <f>477117-398105</f>
        <v>79012</v>
      </c>
      <c r="D80" s="1580">
        <f>477117-398105</f>
        <v>79012</v>
      </c>
      <c r="E80" s="1539">
        <v>0</v>
      </c>
      <c r="F80" s="1539">
        <v>0</v>
      </c>
      <c r="G80" s="1576">
        <f>+H80</f>
        <v>0</v>
      </c>
      <c r="H80" s="1576">
        <v>0</v>
      </c>
      <c r="I80" s="1576"/>
      <c r="J80" s="1576">
        <v>0</v>
      </c>
      <c r="K80" s="1576">
        <v>0</v>
      </c>
      <c r="L80" s="1576"/>
      <c r="M80" s="1576"/>
      <c r="N80" s="1576">
        <v>0</v>
      </c>
      <c r="O80" s="1555"/>
      <c r="P80" s="1555"/>
      <c r="Q80" s="1545">
        <v>0</v>
      </c>
      <c r="R80" s="1364">
        <v>0</v>
      </c>
      <c r="S80" s="1559">
        <v>0</v>
      </c>
      <c r="T80" s="1559">
        <v>0</v>
      </c>
    </row>
    <row r="81" spans="1:22" s="117" customFormat="1" ht="21" customHeight="1">
      <c r="A81" s="1516" t="s">
        <v>121</v>
      </c>
      <c r="B81" s="1524" t="s">
        <v>2850</v>
      </c>
      <c r="C81" s="1506"/>
      <c r="D81" s="1559">
        <v>0</v>
      </c>
      <c r="E81" s="1539">
        <v>0</v>
      </c>
      <c r="F81" s="1539">
        <v>0</v>
      </c>
      <c r="G81" s="1535">
        <f>H81+K81</f>
        <v>1937171.8458830002</v>
      </c>
      <c r="H81" s="1536">
        <f>1356884.374032+15074+352681-6143.397308+19245.629-1336.875703</f>
        <v>1736404.7300210001</v>
      </c>
      <c r="I81" s="1536"/>
      <c r="J81" s="1536"/>
      <c r="K81" s="1536">
        <f>179265.127346+N81</f>
        <v>200767.11586200001</v>
      </c>
      <c r="L81" s="1536"/>
      <c r="M81" s="1536"/>
      <c r="N81" s="1536">
        <v>21501.988516000001</v>
      </c>
      <c r="O81" s="1535"/>
      <c r="P81" s="1536"/>
      <c r="Q81" s="1537"/>
      <c r="R81" s="1559">
        <v>0</v>
      </c>
      <c r="S81" s="1559">
        <v>0</v>
      </c>
      <c r="T81" s="1559">
        <v>0</v>
      </c>
    </row>
    <row r="82" spans="1:22" s="117" customFormat="1" ht="15" hidden="1" customHeight="1">
      <c r="A82" s="270" t="s">
        <v>428</v>
      </c>
      <c r="B82" s="1038" t="s">
        <v>338</v>
      </c>
      <c r="C82" s="518">
        <v>0</v>
      </c>
      <c r="D82" s="305">
        <v>0</v>
      </c>
      <c r="E82" s="279">
        <v>0</v>
      </c>
      <c r="F82" s="279">
        <v>0</v>
      </c>
      <c r="G82" s="273">
        <v>0</v>
      </c>
      <c r="H82" s="594"/>
      <c r="I82" s="205"/>
      <c r="J82" s="205"/>
      <c r="K82" s="273"/>
      <c r="L82" s="273"/>
      <c r="M82" s="205"/>
      <c r="N82" s="518">
        <v>0</v>
      </c>
      <c r="O82" s="273"/>
      <c r="P82" s="205"/>
      <c r="Q82" s="1081">
        <v>0</v>
      </c>
      <c r="R82" s="1052">
        <v>0</v>
      </c>
      <c r="S82" s="305">
        <v>0</v>
      </c>
      <c r="T82" s="305">
        <v>0</v>
      </c>
    </row>
    <row r="83" spans="1:22" s="117" customFormat="1" ht="15" hidden="1" customHeight="1">
      <c r="A83" s="270"/>
      <c r="B83" s="275"/>
      <c r="C83" s="518"/>
      <c r="D83" s="305"/>
      <c r="E83" s="279">
        <v>0</v>
      </c>
      <c r="F83" s="279">
        <v>0</v>
      </c>
      <c r="G83" s="273"/>
      <c r="H83" s="594"/>
      <c r="I83" s="205"/>
      <c r="J83" s="205"/>
      <c r="K83" s="273"/>
      <c r="L83" s="273"/>
      <c r="M83" s="205"/>
      <c r="N83" s="518"/>
      <c r="O83" s="273"/>
      <c r="P83" s="205"/>
      <c r="Q83" s="1081"/>
      <c r="R83" s="1052"/>
      <c r="S83" s="305">
        <v>0</v>
      </c>
      <c r="T83" s="305">
        <v>0</v>
      </c>
    </row>
    <row r="84" spans="1:22" ht="15" hidden="1" customHeight="1">
      <c r="A84" s="270" t="s">
        <v>80</v>
      </c>
      <c r="B84" s="271" t="s">
        <v>333</v>
      </c>
      <c r="C84" s="518">
        <f>+C85+C86</f>
        <v>0</v>
      </c>
      <c r="D84" s="305">
        <f>+D85+D86</f>
        <v>0</v>
      </c>
      <c r="E84" s="279">
        <v>0</v>
      </c>
      <c r="F84" s="279">
        <v>0</v>
      </c>
      <c r="G84" s="273"/>
      <c r="H84" s="205"/>
      <c r="I84" s="205">
        <f t="shared" ref="I84:O84" si="20">+I85+I86</f>
        <v>0</v>
      </c>
      <c r="J84" s="205">
        <f t="shared" si="20"/>
        <v>0</v>
      </c>
      <c r="K84" s="273"/>
      <c r="L84" s="273">
        <f t="shared" si="20"/>
        <v>0</v>
      </c>
      <c r="M84" s="205">
        <f t="shared" si="20"/>
        <v>0</v>
      </c>
      <c r="N84" s="518">
        <f t="shared" si="20"/>
        <v>0</v>
      </c>
      <c r="O84" s="273">
        <f t="shared" si="20"/>
        <v>0</v>
      </c>
      <c r="P84" s="205"/>
      <c r="Q84" s="1081">
        <v>0</v>
      </c>
      <c r="R84" s="1052">
        <v>0</v>
      </c>
      <c r="S84" s="305">
        <v>0</v>
      </c>
      <c r="T84" s="305">
        <v>0</v>
      </c>
    </row>
    <row r="85" spans="1:22" ht="15" hidden="1" customHeight="1">
      <c r="A85" s="304">
        <v>1</v>
      </c>
      <c r="B85" s="281" t="s">
        <v>334</v>
      </c>
      <c r="C85" s="518">
        <v>0</v>
      </c>
      <c r="D85" s="305">
        <v>0</v>
      </c>
      <c r="E85" s="279">
        <v>0</v>
      </c>
      <c r="F85" s="279">
        <v>0</v>
      </c>
      <c r="G85" s="219">
        <f>H85+K85+N85</f>
        <v>3379385.2131139999</v>
      </c>
      <c r="H85" s="213">
        <v>2795442.0380000002</v>
      </c>
      <c r="I85" s="213"/>
      <c r="J85" s="213"/>
      <c r="K85" s="218">
        <v>583943.17511399998</v>
      </c>
      <c r="L85" s="219"/>
      <c r="M85" s="213"/>
      <c r="N85" s="518">
        <v>0</v>
      </c>
      <c r="O85" s="219"/>
      <c r="P85" s="213"/>
      <c r="Q85" s="1081">
        <v>0</v>
      </c>
      <c r="R85" s="1052">
        <v>0</v>
      </c>
      <c r="S85" s="305">
        <v>0</v>
      </c>
      <c r="T85" s="305">
        <v>0</v>
      </c>
    </row>
    <row r="86" spans="1:22" ht="15.75" hidden="1" customHeight="1">
      <c r="A86" s="304">
        <v>2</v>
      </c>
      <c r="B86" s="281" t="s">
        <v>335</v>
      </c>
      <c r="C86" s="518">
        <f>+C87+C88</f>
        <v>0</v>
      </c>
      <c r="D86" s="305">
        <f>+D87+D88</f>
        <v>0</v>
      </c>
      <c r="E86" s="279">
        <v>0</v>
      </c>
      <c r="F86" s="279">
        <v>0</v>
      </c>
      <c r="G86" s="219">
        <f>H86+K86+N86</f>
        <v>1823444.8353929999</v>
      </c>
      <c r="H86" s="213">
        <f>+H87+H88</f>
        <v>1373917.5312719999</v>
      </c>
      <c r="I86" s="213"/>
      <c r="J86" s="213"/>
      <c r="K86" s="213">
        <f>+K87+K88</f>
        <v>449527.30412099999</v>
      </c>
      <c r="L86" s="219"/>
      <c r="M86" s="213"/>
      <c r="N86" s="518">
        <f>+N87+N88</f>
        <v>0</v>
      </c>
      <c r="O86" s="219"/>
      <c r="P86" s="213"/>
      <c r="Q86" s="1081">
        <v>0</v>
      </c>
      <c r="R86" s="1052">
        <v>0</v>
      </c>
      <c r="S86" s="305">
        <v>0</v>
      </c>
      <c r="T86" s="305">
        <v>0</v>
      </c>
    </row>
    <row r="87" spans="1:22" ht="15.75" hidden="1" customHeight="1">
      <c r="A87" s="304" t="s">
        <v>291</v>
      </c>
      <c r="B87" s="281" t="s">
        <v>336</v>
      </c>
      <c r="C87" s="518">
        <v>0</v>
      </c>
      <c r="D87" s="305">
        <v>0</v>
      </c>
      <c r="E87" s="279">
        <v>0</v>
      </c>
      <c r="F87" s="279">
        <v>0</v>
      </c>
      <c r="G87" s="219">
        <f>H87+K87+N87</f>
        <v>1823444.8353929999</v>
      </c>
      <c r="H87" s="213">
        <v>1373917.5312719999</v>
      </c>
      <c r="I87" s="213"/>
      <c r="J87" s="213"/>
      <c r="K87" s="218">
        <v>449527.30412099999</v>
      </c>
      <c r="L87" s="219"/>
      <c r="M87" s="213"/>
      <c r="N87" s="518">
        <v>0</v>
      </c>
      <c r="O87" s="219"/>
      <c r="P87" s="213"/>
      <c r="Q87" s="1081">
        <v>0</v>
      </c>
      <c r="R87" s="1052">
        <v>0</v>
      </c>
      <c r="S87" s="305">
        <v>0</v>
      </c>
      <c r="T87" s="305">
        <v>0</v>
      </c>
    </row>
    <row r="88" spans="1:22" ht="14.25" hidden="1" customHeight="1">
      <c r="A88" s="304" t="s">
        <v>293</v>
      </c>
      <c r="B88" s="281" t="s">
        <v>337</v>
      </c>
      <c r="C88" s="518">
        <v>0</v>
      </c>
      <c r="D88" s="305">
        <v>0</v>
      </c>
      <c r="E88" s="279">
        <v>0</v>
      </c>
      <c r="F88" s="279">
        <v>0</v>
      </c>
      <c r="G88" s="305">
        <v>0</v>
      </c>
      <c r="H88" s="305">
        <v>0</v>
      </c>
      <c r="I88" s="305"/>
      <c r="J88" s="305"/>
      <c r="K88" s="305">
        <v>0</v>
      </c>
      <c r="L88" s="219"/>
      <c r="M88" s="213"/>
      <c r="N88" s="518">
        <v>0</v>
      </c>
      <c r="O88" s="219"/>
      <c r="P88" s="213"/>
      <c r="Q88" s="1081">
        <v>0</v>
      </c>
      <c r="R88" s="1052">
        <v>0</v>
      </c>
      <c r="S88" s="305">
        <v>0</v>
      </c>
      <c r="T88" s="305">
        <v>0</v>
      </c>
      <c r="U88" s="103"/>
    </row>
    <row r="89" spans="1:22" s="119" customFormat="1" ht="14.25" hidden="1" customHeight="1">
      <c r="E89" s="279">
        <v>0</v>
      </c>
      <c r="F89" s="279">
        <v>0</v>
      </c>
      <c r="R89" s="1074"/>
      <c r="S89" s="305">
        <v>0</v>
      </c>
      <c r="T89" s="305">
        <v>0</v>
      </c>
    </row>
    <row r="90" spans="1:22" s="126" customFormat="1" ht="17.25" hidden="1" customHeight="1">
      <c r="A90" s="281"/>
      <c r="B90" s="270" t="s">
        <v>339</v>
      </c>
      <c r="C90" s="517">
        <f>+C12+C87</f>
        <v>7211277</v>
      </c>
      <c r="D90" s="276">
        <f>+D12+D84</f>
        <v>7614234</v>
      </c>
      <c r="E90" s="279">
        <v>0</v>
      </c>
      <c r="F90" s="279">
        <v>0</v>
      </c>
      <c r="G90" s="273">
        <f>+H90+K90+N90</f>
        <v>9674298.5926159993</v>
      </c>
      <c r="H90" s="205">
        <f>H12+H84+H82</f>
        <v>3798217.7427130002</v>
      </c>
      <c r="I90" s="205">
        <f>+I84+I12</f>
        <v>0</v>
      </c>
      <c r="J90" s="205">
        <f>+J84+J12</f>
        <v>0</v>
      </c>
      <c r="K90" s="205">
        <f>K12+K84+K82</f>
        <v>4717748.0606079996</v>
      </c>
      <c r="L90" s="205">
        <f>+L84+L12</f>
        <v>0</v>
      </c>
      <c r="M90" s="205">
        <f>+M84+M12</f>
        <v>0</v>
      </c>
      <c r="N90" s="205">
        <f>N12+N84+N82</f>
        <v>1158332.789295</v>
      </c>
      <c r="O90" s="273"/>
      <c r="P90" s="205"/>
      <c r="Q90" s="1080">
        <f>G90/C90*100</f>
        <v>134.15513774628266</v>
      </c>
      <c r="R90" s="1053">
        <f>G90/D90*100</f>
        <v>127.05544106755846</v>
      </c>
      <c r="S90" s="305">
        <v>0</v>
      </c>
      <c r="T90" s="305">
        <v>0</v>
      </c>
      <c r="U90" s="309"/>
    </row>
    <row r="91" spans="1:22" s="126" customFormat="1" ht="16.5" customHeight="1">
      <c r="A91" s="310"/>
      <c r="B91" s="311"/>
      <c r="C91" s="312"/>
      <c r="D91" s="313"/>
      <c r="E91" s="313"/>
      <c r="F91" s="313"/>
      <c r="G91" s="312"/>
      <c r="H91" s="314"/>
      <c r="I91" s="314"/>
      <c r="J91" s="314"/>
      <c r="K91" s="314"/>
      <c r="L91" s="314"/>
      <c r="M91" s="314"/>
      <c r="N91" s="314"/>
      <c r="O91" s="314"/>
      <c r="P91" s="314"/>
      <c r="Q91" s="312"/>
      <c r="R91" s="312"/>
      <c r="S91" s="1064"/>
    </row>
    <row r="92" spans="1:22" s="126" customFormat="1" ht="16.5" hidden="1">
      <c r="A92" s="315"/>
      <c r="B92" s="316" t="s">
        <v>984</v>
      </c>
      <c r="C92" s="1681" t="s">
        <v>985</v>
      </c>
      <c r="D92" s="1681"/>
      <c r="E92" s="1681"/>
      <c r="F92" s="1681"/>
      <c r="G92" s="1681"/>
      <c r="H92" s="1681"/>
      <c r="I92" s="317"/>
      <c r="J92" s="399"/>
      <c r="K92" s="1682" t="s">
        <v>985</v>
      </c>
      <c r="L92" s="1682"/>
      <c r="M92" s="1682"/>
      <c r="N92" s="1682"/>
      <c r="O92" s="1682"/>
      <c r="P92" s="1682"/>
      <c r="Q92" s="1682"/>
      <c r="R92" s="1682"/>
      <c r="S92" s="1064"/>
    </row>
    <row r="93" spans="1:22" s="126" customFormat="1" ht="16.5" hidden="1">
      <c r="A93" s="315"/>
      <c r="B93" s="318" t="s">
        <v>340</v>
      </c>
      <c r="C93" s="1675" t="s">
        <v>239</v>
      </c>
      <c r="D93" s="1675"/>
      <c r="E93" s="1675"/>
      <c r="F93" s="1675"/>
      <c r="G93" s="1675"/>
      <c r="H93" s="1675"/>
      <c r="I93" s="317"/>
      <c r="J93" s="317"/>
      <c r="K93" s="1676" t="s">
        <v>85</v>
      </c>
      <c r="L93" s="1676"/>
      <c r="M93" s="1676"/>
      <c r="N93" s="1676"/>
      <c r="O93" s="1676"/>
      <c r="P93" s="1676"/>
      <c r="Q93" s="1676"/>
      <c r="R93" s="1676"/>
      <c r="S93" s="1064"/>
    </row>
    <row r="94" spans="1:22" s="126" customFormat="1" ht="16.5" hidden="1">
      <c r="A94" s="315"/>
      <c r="B94" s="318"/>
      <c r="C94" s="319"/>
      <c r="D94" s="320"/>
      <c r="E94" s="320"/>
      <c r="F94" s="320"/>
      <c r="G94" s="319"/>
      <c r="H94" s="472"/>
      <c r="I94" s="399"/>
      <c r="J94" s="399"/>
      <c r="K94" s="1676" t="s">
        <v>86</v>
      </c>
      <c r="L94" s="1676"/>
      <c r="M94" s="1676"/>
      <c r="N94" s="1676"/>
      <c r="O94" s="1676"/>
      <c r="P94" s="1676"/>
      <c r="Q94" s="1676"/>
      <c r="R94" s="1676"/>
      <c r="S94" s="1064"/>
      <c r="T94" s="926">
        <f>+'TH CHI_62_342_BTC'!E108</f>
        <v>16564755.349519003</v>
      </c>
      <c r="U94" s="927" t="s">
        <v>2723</v>
      </c>
    </row>
    <row r="95" spans="1:22" s="126" customFormat="1" ht="22.5" hidden="1" customHeight="1">
      <c r="A95" s="310"/>
      <c r="B95" s="311"/>
      <c r="C95" s="312"/>
      <c r="D95" s="313"/>
      <c r="E95" s="313"/>
      <c r="F95" s="313"/>
      <c r="G95" s="472">
        <v>16231065.309237</v>
      </c>
      <c r="H95" s="534">
        <v>10085385.322849</v>
      </c>
      <c r="I95" s="314"/>
      <c r="J95" s="399"/>
      <c r="K95" s="314">
        <v>4987347.1970929997</v>
      </c>
      <c r="L95" s="314"/>
      <c r="M95" s="314"/>
      <c r="N95" s="314"/>
      <c r="O95" s="314"/>
      <c r="P95" s="314"/>
      <c r="Q95" s="312"/>
      <c r="R95" s="312"/>
      <c r="S95" s="1064"/>
      <c r="T95" s="309">
        <f>+G90-T94</f>
        <v>-6890456.7569030039</v>
      </c>
    </row>
    <row r="96" spans="1:22" ht="16.5" hidden="1">
      <c r="B96" s="515"/>
      <c r="C96" s="325"/>
      <c r="D96" s="321"/>
      <c r="E96" s="321"/>
      <c r="F96" s="321"/>
      <c r="G96" s="572">
        <f>+G90-G95</f>
        <v>-6556766.7166210003</v>
      </c>
      <c r="H96" s="572">
        <f>+H95-H90</f>
        <v>6287167.5801359992</v>
      </c>
      <c r="I96" s="577"/>
      <c r="J96" s="578"/>
      <c r="K96" s="572">
        <f>+K90-K95</f>
        <v>-269599.13648500014</v>
      </c>
      <c r="L96" s="1064"/>
      <c r="M96" s="324"/>
      <c r="N96" s="448">
        <v>1158332.789295</v>
      </c>
      <c r="O96" s="1064"/>
      <c r="P96" s="324"/>
      <c r="Q96" s="1064"/>
      <c r="R96" s="1064"/>
      <c r="S96" s="1065"/>
      <c r="T96" s="103"/>
      <c r="V96" s="506"/>
    </row>
    <row r="97" spans="2:20">
      <c r="B97" s="1066"/>
      <c r="C97" s="324"/>
      <c r="D97" s="1065"/>
      <c r="E97" s="1065"/>
      <c r="F97" s="1065"/>
      <c r="G97" s="103"/>
      <c r="H97" s="509"/>
      <c r="I97" s="325"/>
      <c r="J97" s="325"/>
      <c r="K97" s="131"/>
      <c r="L97" s="1066"/>
      <c r="M97" s="326"/>
      <c r="N97" s="572">
        <f>+N90-N96</f>
        <v>0</v>
      </c>
      <c r="O97" s="1066"/>
      <c r="P97" s="326"/>
      <c r="Q97" s="1066"/>
      <c r="R97" s="1066"/>
    </row>
    <row r="98" spans="2:20" ht="15" customHeight="1">
      <c r="G98" s="125"/>
      <c r="H98" s="327"/>
      <c r="I98" s="327"/>
      <c r="J98" s="327"/>
      <c r="K98" s="1065"/>
      <c r="L98" s="1065"/>
      <c r="M98" s="328"/>
      <c r="N98" s="1065"/>
      <c r="O98" s="1065"/>
      <c r="P98" s="328"/>
      <c r="Q98" s="1065"/>
      <c r="R98" s="1065"/>
    </row>
    <row r="99" spans="2:20">
      <c r="G99" s="329"/>
      <c r="H99" s="327"/>
      <c r="K99" s="506"/>
      <c r="N99" s="103"/>
    </row>
    <row r="100" spans="2:20">
      <c r="G100" s="125"/>
      <c r="H100" s="330"/>
      <c r="K100" s="103"/>
      <c r="N100" s="103"/>
      <c r="T100" s="103"/>
    </row>
    <row r="101" spans="2:20">
      <c r="G101" s="103"/>
      <c r="K101" s="103"/>
      <c r="M101" s="330"/>
      <c r="N101" s="103"/>
    </row>
    <row r="102" spans="2:20">
      <c r="H102" s="330"/>
      <c r="K102" s="103"/>
    </row>
    <row r="103" spans="2:20">
      <c r="G103" s="103"/>
      <c r="H103" s="330"/>
    </row>
    <row r="104" spans="2:20">
      <c r="H104" s="330"/>
      <c r="K104" s="103"/>
    </row>
    <row r="105" spans="2:20">
      <c r="H105" s="330"/>
    </row>
    <row r="109" spans="2:20">
      <c r="B109" s="103"/>
    </row>
  </sheetData>
  <sheetProtection selectLockedCells="1" selectUnlockedCells="1"/>
  <mergeCells count="16">
    <mergeCell ref="C93:H93"/>
    <mergeCell ref="K93:R93"/>
    <mergeCell ref="K94:R94"/>
    <mergeCell ref="H8:K8"/>
    <mergeCell ref="E8:F8"/>
    <mergeCell ref="D8:D9"/>
    <mergeCell ref="G8:G9"/>
    <mergeCell ref="R8:T8"/>
    <mergeCell ref="K1:T1"/>
    <mergeCell ref="A4:S4"/>
    <mergeCell ref="A5:S5"/>
    <mergeCell ref="K7:T7"/>
    <mergeCell ref="C92:H92"/>
    <mergeCell ref="K92:R92"/>
    <mergeCell ref="A8:A9"/>
    <mergeCell ref="B8:B9"/>
  </mergeCells>
  <printOptions horizontalCentered="1"/>
  <pageMargins left="0" right="0" top="0" bottom="0" header="0" footer="0"/>
  <pageSetup paperSize="9" firstPageNumber="0" orientation="landscape" r:id="rId1"/>
  <headerFooter differentFirst="1" alignWithMargins="0">
    <oddFooter>&amp;C&amp;"Times New Roman,Regular"&amp;12&amp;P</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82"/>
  <sheetViews>
    <sheetView zoomScale="145" zoomScaleNormal="145" workbookViewId="0">
      <selection activeCell="B32" sqref="B32"/>
    </sheetView>
  </sheetViews>
  <sheetFormatPr defaultColWidth="46.7109375" defaultRowHeight="15.75"/>
  <cols>
    <col min="1" max="1" width="5" style="102" customWidth="1"/>
    <col min="2" max="2" width="54.140625" style="102" customWidth="1"/>
    <col min="3" max="3" width="14.140625" style="117" hidden="1" customWidth="1"/>
    <col min="4" max="4" width="12" style="134" customWidth="1"/>
    <col min="5" max="5" width="15.140625" style="102" hidden="1" customWidth="1"/>
    <col min="6" max="6" width="12.85546875" style="117" customWidth="1"/>
    <col min="7" max="7" width="11.7109375" style="117" hidden="1" customWidth="1"/>
    <col min="8" max="8" width="15.5703125" style="117" hidden="1" customWidth="1"/>
    <col min="9" max="9" width="14.85546875" style="102" hidden="1" customWidth="1"/>
    <col min="10" max="10" width="10.7109375" style="102" hidden="1" customWidth="1"/>
    <col min="11" max="11" width="12.42578125" style="117" hidden="1" customWidth="1"/>
    <col min="12" max="12" width="14.28515625" style="102" hidden="1" customWidth="1"/>
    <col min="13" max="13" width="10" style="102" hidden="1" customWidth="1"/>
    <col min="14" max="14" width="12.85546875" style="117" hidden="1" customWidth="1"/>
    <col min="15" max="16" width="10.42578125" style="102" hidden="1" customWidth="1"/>
    <col min="17" max="17" width="8.42578125" style="102" customWidth="1"/>
    <col min="18" max="18" width="0" style="102" hidden="1" customWidth="1"/>
    <col min="19" max="19" width="17.5703125" style="102" hidden="1" customWidth="1"/>
    <col min="20" max="20" width="12.42578125" style="102" hidden="1" customWidth="1"/>
    <col min="21" max="21" width="16.140625" style="102" customWidth="1"/>
    <col min="22" max="22" width="18.85546875" style="102" hidden="1" customWidth="1"/>
    <col min="23" max="255" width="9.140625" style="102" customWidth="1"/>
    <col min="256" max="256" width="5.42578125" style="102" customWidth="1"/>
    <col min="257" max="16384" width="46.7109375" style="102"/>
  </cols>
  <sheetData>
    <row r="1" spans="1:22" ht="17.100000000000001" customHeight="1">
      <c r="A1" s="1207" t="s">
        <v>3110</v>
      </c>
      <c r="C1" s="102"/>
      <c r="D1" s="1683" t="s">
        <v>3122</v>
      </c>
      <c r="E1" s="1683"/>
      <c r="F1" s="1683"/>
      <c r="G1" s="1683"/>
      <c r="H1" s="1683"/>
      <c r="I1" s="1683"/>
      <c r="J1" s="1683"/>
      <c r="K1" s="1683"/>
      <c r="L1" s="1683"/>
      <c r="M1" s="1683"/>
      <c r="N1" s="1683"/>
      <c r="O1" s="1683"/>
      <c r="P1" s="1683"/>
      <c r="Q1" s="1683"/>
    </row>
    <row r="2" spans="1:22" ht="17.100000000000001" customHeight="1">
      <c r="A2" s="1207" t="s">
        <v>2878</v>
      </c>
      <c r="C2" s="102"/>
      <c r="L2" s="104"/>
      <c r="M2" s="104"/>
      <c r="N2" s="253"/>
      <c r="P2" s="464"/>
      <c r="Q2" s="104"/>
    </row>
    <row r="3" spans="1:22" ht="30.75" customHeight="1">
      <c r="C3" s="102"/>
      <c r="L3" s="104"/>
      <c r="M3" s="104"/>
      <c r="N3" s="253"/>
      <c r="P3" s="464"/>
      <c r="Q3" s="104"/>
    </row>
    <row r="4" spans="1:22" ht="21.75" customHeight="1">
      <c r="A4" s="1685" t="s">
        <v>2862</v>
      </c>
      <c r="B4" s="1685"/>
      <c r="C4" s="1685"/>
      <c r="D4" s="1685"/>
      <c r="E4" s="1685"/>
      <c r="F4" s="1685"/>
      <c r="G4" s="1685"/>
      <c r="H4" s="1685"/>
      <c r="I4" s="1685"/>
      <c r="J4" s="1685"/>
      <c r="K4" s="1685"/>
      <c r="L4" s="1685"/>
      <c r="M4" s="1685"/>
      <c r="N4" s="1685"/>
      <c r="O4" s="1685"/>
      <c r="P4" s="1685"/>
      <c r="Q4" s="1685"/>
    </row>
    <row r="5" spans="1:22" ht="23.25" customHeight="1">
      <c r="A5" s="1694" t="s">
        <v>3121</v>
      </c>
      <c r="B5" s="1694"/>
      <c r="C5" s="1694"/>
      <c r="D5" s="1694"/>
      <c r="E5" s="1694"/>
      <c r="F5" s="1694"/>
      <c r="G5" s="1694"/>
      <c r="H5" s="1694"/>
      <c r="I5" s="1694"/>
      <c r="J5" s="1694"/>
      <c r="K5" s="1694"/>
      <c r="L5" s="1694"/>
      <c r="M5" s="1694"/>
      <c r="N5" s="1694"/>
      <c r="O5" s="1694"/>
      <c r="P5" s="1694"/>
      <c r="Q5" s="1694"/>
    </row>
    <row r="6" spans="1:22" ht="23.25" customHeight="1">
      <c r="A6" s="1137"/>
      <c r="B6" s="1137"/>
      <c r="C6" s="1137"/>
      <c r="D6" s="1137"/>
      <c r="E6" s="1137"/>
      <c r="F6" s="1137"/>
      <c r="G6" s="1137"/>
      <c r="H6" s="1137"/>
      <c r="I6" s="1137"/>
      <c r="J6" s="1137"/>
      <c r="K6" s="1137"/>
      <c r="L6" s="1137"/>
      <c r="M6" s="1137"/>
      <c r="N6" s="1137"/>
      <c r="O6" s="1137"/>
      <c r="P6" s="1137"/>
      <c r="Q6" s="254"/>
    </row>
    <row r="7" spans="1:22" s="117" customFormat="1" ht="24.75" customHeight="1">
      <c r="B7" s="105"/>
      <c r="C7" s="516"/>
      <c r="D7" s="1067"/>
      <c r="E7" s="256"/>
      <c r="F7" s="1658" t="s">
        <v>44</v>
      </c>
      <c r="G7" s="1658"/>
      <c r="H7" s="1658"/>
      <c r="I7" s="1658"/>
      <c r="J7" s="1658"/>
      <c r="K7" s="1658"/>
      <c r="L7" s="1658"/>
      <c r="M7" s="1658"/>
      <c r="N7" s="1658"/>
      <c r="O7" s="1658"/>
      <c r="P7" s="1658"/>
      <c r="Q7" s="1658"/>
      <c r="R7" s="258"/>
    </row>
    <row r="8" spans="1:22" ht="20.100000000000001" customHeight="1">
      <c r="A8" s="1719" t="s">
        <v>45</v>
      </c>
      <c r="B8" s="1720" t="s">
        <v>122</v>
      </c>
      <c r="C8" s="1139" t="s">
        <v>939</v>
      </c>
      <c r="D8" s="1720" t="s">
        <v>1011</v>
      </c>
      <c r="E8" s="1720" t="s">
        <v>2854</v>
      </c>
      <c r="F8" s="1720" t="s">
        <v>2854</v>
      </c>
      <c r="G8" s="1139"/>
      <c r="H8" s="1139"/>
      <c r="I8" s="1139"/>
      <c r="J8" s="1139"/>
      <c r="K8" s="1139"/>
      <c r="L8" s="1139"/>
      <c r="M8" s="1139"/>
      <c r="N8" s="1139"/>
      <c r="O8" s="1139"/>
      <c r="P8" s="1646"/>
      <c r="Q8" s="1720" t="s">
        <v>544</v>
      </c>
      <c r="R8" s="1055"/>
      <c r="S8" s="116"/>
    </row>
    <row r="9" spans="1:22" ht="33.75" customHeight="1">
      <c r="A9" s="1719"/>
      <c r="B9" s="1720"/>
      <c r="C9" s="1345" t="s">
        <v>101</v>
      </c>
      <c r="D9" s="1720"/>
      <c r="E9" s="1720"/>
      <c r="F9" s="1720"/>
      <c r="G9" s="1346"/>
      <c r="H9" s="1346"/>
      <c r="I9" s="1346"/>
      <c r="J9" s="1346"/>
      <c r="K9" s="1346"/>
      <c r="L9" s="1346"/>
      <c r="M9" s="1346"/>
      <c r="N9" s="1346"/>
      <c r="O9" s="1345" t="s">
        <v>101</v>
      </c>
      <c r="P9" s="1647" t="s">
        <v>2863</v>
      </c>
      <c r="Q9" s="1720"/>
      <c r="R9" s="260" t="s">
        <v>241</v>
      </c>
    </row>
    <row r="10" spans="1:22" ht="20.100000000000001" customHeight="1">
      <c r="A10" s="1347" t="s">
        <v>57</v>
      </c>
      <c r="B10" s="1348" t="s">
        <v>80</v>
      </c>
      <c r="C10" s="1348" t="s">
        <v>104</v>
      </c>
      <c r="D10" s="1349">
        <v>1</v>
      </c>
      <c r="E10" s="1348" t="s">
        <v>105</v>
      </c>
      <c r="F10" s="1348" t="s">
        <v>105</v>
      </c>
      <c r="G10" s="1348"/>
      <c r="H10" s="1348"/>
      <c r="I10" s="1348" t="s">
        <v>249</v>
      </c>
      <c r="J10" s="1348"/>
      <c r="K10" s="1348"/>
      <c r="L10" s="1348" t="s">
        <v>250</v>
      </c>
      <c r="M10" s="1348"/>
      <c r="N10" s="1348"/>
      <c r="O10" s="1348" t="s">
        <v>251</v>
      </c>
      <c r="P10" s="1348" t="s">
        <v>868</v>
      </c>
      <c r="Q10" s="1348" t="s">
        <v>878</v>
      </c>
      <c r="R10" s="1281"/>
      <c r="S10" s="103"/>
      <c r="U10" s="103"/>
    </row>
    <row r="11" spans="1:22" ht="20.100000000000001" customHeight="1">
      <c r="A11" s="1350"/>
      <c r="B11" s="1351" t="s">
        <v>2861</v>
      </c>
      <c r="C11" s="1352" t="e">
        <f>+C13+#REF!+C54</f>
        <v>#REF!</v>
      </c>
      <c r="D11" s="1353">
        <f>D12+D13+D54</f>
        <v>6954475</v>
      </c>
      <c r="E11" s="1353" t="e">
        <f>+E13+#REF!+E54+E55</f>
        <v>#REF!</v>
      </c>
      <c r="F11" s="1353">
        <f>F12+F13+F54</f>
        <v>10388044.363859</v>
      </c>
      <c r="G11" s="1354"/>
      <c r="H11" s="1354"/>
      <c r="I11" s="1354"/>
      <c r="J11" s="1354"/>
      <c r="K11" s="1354"/>
      <c r="L11" s="1354"/>
      <c r="M11" s="1354"/>
      <c r="N11" s="1354"/>
      <c r="O11" s="1354"/>
      <c r="P11" s="1353">
        <f>F11-D11</f>
        <v>3433569.3638589997</v>
      </c>
      <c r="Q11" s="1355">
        <f>F11/D11*100</f>
        <v>149.37208579884177</v>
      </c>
      <c r="R11" s="1282"/>
      <c r="S11" s="103"/>
      <c r="U11" s="103"/>
      <c r="V11" s="102">
        <v>10505673.050000001</v>
      </c>
    </row>
    <row r="12" spans="1:22" ht="20.100000000000001" customHeight="1">
      <c r="A12" s="1140" t="s">
        <v>57</v>
      </c>
      <c r="B12" s="1356" t="s">
        <v>2859</v>
      </c>
      <c r="C12" s="1352"/>
      <c r="D12" s="1353">
        <v>2864570</v>
      </c>
      <c r="E12" s="1353"/>
      <c r="F12" s="1353">
        <v>4169359.57</v>
      </c>
      <c r="G12" s="1354"/>
      <c r="H12" s="1354"/>
      <c r="I12" s="1354"/>
      <c r="J12" s="1354"/>
      <c r="K12" s="1354"/>
      <c r="L12" s="1354"/>
      <c r="M12" s="1354"/>
      <c r="N12" s="1354"/>
      <c r="O12" s="1354"/>
      <c r="P12" s="1353">
        <f t="shared" ref="P12:P63" si="0">F12-D12</f>
        <v>1304789.5699999998</v>
      </c>
      <c r="Q12" s="1355">
        <f t="shared" ref="Q12:Q53" si="1">F12/D12*100</f>
        <v>145.54922972732382</v>
      </c>
      <c r="R12" s="1282"/>
      <c r="S12" s="103"/>
      <c r="U12" s="103"/>
      <c r="V12" s="103">
        <f>+V11-F11</f>
        <v>117628.68614100106</v>
      </c>
    </row>
    <row r="13" spans="1:22" ht="20.100000000000001" customHeight="1">
      <c r="A13" s="1357" t="s">
        <v>80</v>
      </c>
      <c r="B13" s="1358" t="s">
        <v>2860</v>
      </c>
      <c r="C13" s="1359">
        <f>C14+C32+C47+C48+C49+C50+C55</f>
        <v>7211277</v>
      </c>
      <c r="D13" s="1355">
        <f>D14+D32+D47+D48+D49+D50+D55</f>
        <v>4089905</v>
      </c>
      <c r="E13" s="1355">
        <f>+E14+E32+E47+E48+E49+E50</f>
        <v>9200028.124445999</v>
      </c>
      <c r="F13" s="1355">
        <f>+F14+F32+F47+F48+F49+F50</f>
        <v>4482280.0638379995</v>
      </c>
      <c r="G13" s="1360"/>
      <c r="H13" s="1360"/>
      <c r="I13" s="1360" t="e">
        <f>+I14+I47+I32+I48+I54+#REF!</f>
        <v>#REF!</v>
      </c>
      <c r="J13" s="1360"/>
      <c r="K13" s="1360"/>
      <c r="L13" s="1360" t="e">
        <f>+L14+L47+L32+L48+L54+#REF!</f>
        <v>#REF!</v>
      </c>
      <c r="M13" s="1355"/>
      <c r="N13" s="1360"/>
      <c r="O13" s="1355">
        <f>E13/C13*100</f>
        <v>127.57834880626551</v>
      </c>
      <c r="P13" s="1353">
        <f t="shared" si="0"/>
        <v>392375.06383799948</v>
      </c>
      <c r="Q13" s="1355">
        <f t="shared" si="1"/>
        <v>109.59374518082936</v>
      </c>
      <c r="R13" s="1283" t="e">
        <f>+E13/"#REF!*100"</f>
        <v>#VALUE!</v>
      </c>
      <c r="S13" s="103"/>
      <c r="U13" s="103"/>
      <c r="V13" s="102">
        <f>86597.69+31031</f>
        <v>117628.69</v>
      </c>
    </row>
    <row r="14" spans="1:22" ht="20.100000000000001" customHeight="1">
      <c r="A14" s="1357" t="s">
        <v>108</v>
      </c>
      <c r="B14" s="1358" t="s">
        <v>59</v>
      </c>
      <c r="C14" s="1361">
        <f>+C15+C30+C31</f>
        <v>1656790</v>
      </c>
      <c r="D14" s="1362">
        <f>D15+D30+D31</f>
        <v>1506210</v>
      </c>
      <c r="E14" s="1360">
        <f>+E15+E30+E31</f>
        <v>2907168.6249289997</v>
      </c>
      <c r="F14" s="1360">
        <f>+F15+F30+F31</f>
        <v>2336793.7198600001</v>
      </c>
      <c r="G14" s="1360"/>
      <c r="H14" s="1360"/>
      <c r="I14" s="1360">
        <f>+I15+I30+I31</f>
        <v>398738.66041099996</v>
      </c>
      <c r="J14" s="1355"/>
      <c r="K14" s="1360"/>
      <c r="L14" s="1360">
        <f>+L15+L30+L31</f>
        <v>171636.24465800001</v>
      </c>
      <c r="M14" s="1355"/>
      <c r="N14" s="1360"/>
      <c r="O14" s="1355">
        <f>E14/C14*100</f>
        <v>175.46995243386306</v>
      </c>
      <c r="P14" s="1353">
        <f t="shared" si="0"/>
        <v>830583.71986000007</v>
      </c>
      <c r="Q14" s="1355">
        <f t="shared" si="1"/>
        <v>155.14395202926551</v>
      </c>
      <c r="R14" s="1284" t="e">
        <f>+E14/"#REF!*100"</f>
        <v>#VALUE!</v>
      </c>
      <c r="S14" s="103"/>
    </row>
    <row r="15" spans="1:22" s="604" customFormat="1" ht="20.100000000000001" customHeight="1">
      <c r="A15" s="1648">
        <v>1</v>
      </c>
      <c r="B15" s="1649" t="s">
        <v>2952</v>
      </c>
      <c r="C15" s="1650">
        <v>1656790</v>
      </c>
      <c r="D15" s="1656">
        <v>1506210</v>
      </c>
      <c r="E15" s="1652">
        <f>F15+I15+L15</f>
        <v>2805036.6912449999</v>
      </c>
      <c r="F15" s="1653">
        <f>+F16+F17+F19+F20+F21+F22+F23+F24+F25+F26+F27+F28+F29</f>
        <v>2235385.0411760001</v>
      </c>
      <c r="G15" s="1653">
        <f>+G16+G17+G19+G20+G21+G22+G23+G24+G25+G26+G27+G28+G29</f>
        <v>0</v>
      </c>
      <c r="H15" s="1653">
        <f>+H16+H17+H19+H20+H21+H22+H23+H24+H25+H26+H27+H28+H29</f>
        <v>0</v>
      </c>
      <c r="I15" s="1653">
        <f>+I16+I17+I19+I20+I21+I22+I23+I24+I25+I26+I27+I28+I29</f>
        <v>398015.40541099996</v>
      </c>
      <c r="J15" s="1653">
        <f>+SUM(J16:J29)</f>
        <v>12853.423792</v>
      </c>
      <c r="K15" s="1653">
        <f>+SUM(K16:K29)</f>
        <v>0</v>
      </c>
      <c r="L15" s="1653">
        <f>+L16+L17+L19+L20+L21+L22+L23+L24+L25+L26+L27+L28+L29</f>
        <v>171636.24465800001</v>
      </c>
      <c r="M15" s="1653">
        <f>+M16+M17+M19+M20+M21+M22+M23+M24+M25+M26+M27+M28+M29</f>
        <v>96203.247968999989</v>
      </c>
      <c r="N15" s="1653">
        <f>+N16+N17+N19+N20+N21+N22+N23+N24+N25+N26+N27+N28+N29</f>
        <v>0</v>
      </c>
      <c r="O15" s="1652">
        <f>E15/C15*100</f>
        <v>169.30550590267927</v>
      </c>
      <c r="P15" s="1654">
        <f t="shared" si="0"/>
        <v>729175.04117600014</v>
      </c>
      <c r="Q15" s="1652">
        <f t="shared" si="1"/>
        <v>148.41124684977527</v>
      </c>
      <c r="R15" s="1655"/>
      <c r="S15" s="603">
        <f>+(E15-E29)/C15*100</f>
        <v>160.66202989479658</v>
      </c>
      <c r="T15" s="1657">
        <f>(E15-E29)/D15*100</f>
        <v>176.72385956101741</v>
      </c>
    </row>
    <row r="16" spans="1:22" ht="20.100000000000001" hidden="1" customHeight="1">
      <c r="A16" s="1365" t="s">
        <v>254</v>
      </c>
      <c r="B16" s="1366" t="s">
        <v>255</v>
      </c>
      <c r="C16" s="1363">
        <v>0</v>
      </c>
      <c r="D16" s="1367">
        <v>0</v>
      </c>
      <c r="E16" s="1368">
        <f>+F16+I16+L16</f>
        <v>29253.509900000001</v>
      </c>
      <c r="F16" s="1368">
        <v>29114.277900000001</v>
      </c>
      <c r="G16" s="1368"/>
      <c r="H16" s="1368"/>
      <c r="I16" s="1369">
        <v>139.232</v>
      </c>
      <c r="J16" s="1370"/>
      <c r="K16" s="1368"/>
      <c r="L16" s="1367">
        <v>0</v>
      </c>
      <c r="M16" s="1370"/>
      <c r="N16" s="1368"/>
      <c r="O16" s="1367">
        <v>0</v>
      </c>
      <c r="P16" s="1371">
        <f t="shared" si="0"/>
        <v>29114.277900000001</v>
      </c>
      <c r="Q16" s="1367">
        <v>0</v>
      </c>
      <c r="R16" s="1040"/>
      <c r="S16" s="103">
        <f>+E15-E29</f>
        <v>2661832.4450940001</v>
      </c>
    </row>
    <row r="17" spans="1:21" ht="20.100000000000001" hidden="1" customHeight="1">
      <c r="A17" s="1365" t="s">
        <v>256</v>
      </c>
      <c r="B17" s="1366" t="s">
        <v>257</v>
      </c>
      <c r="C17" s="1363">
        <v>0</v>
      </c>
      <c r="D17" s="1367">
        <v>0</v>
      </c>
      <c r="E17" s="1368">
        <f t="shared" ref="E17:E28" si="2">+F17+I17+L17</f>
        <v>11565.008900000001</v>
      </c>
      <c r="F17" s="1368">
        <v>11511.0542</v>
      </c>
      <c r="G17" s="1368"/>
      <c r="H17" s="1368"/>
      <c r="I17" s="1369">
        <v>53.954700000000003</v>
      </c>
      <c r="J17" s="1370"/>
      <c r="K17" s="1368"/>
      <c r="L17" s="1367">
        <v>0</v>
      </c>
      <c r="M17" s="1370"/>
      <c r="N17" s="1368"/>
      <c r="O17" s="1367">
        <v>0</v>
      </c>
      <c r="P17" s="1371">
        <f t="shared" si="0"/>
        <v>11511.0542</v>
      </c>
      <c r="Q17" s="1367">
        <v>0</v>
      </c>
      <c r="R17" s="1040"/>
      <c r="S17" s="103">
        <f>+S16/C15*100</f>
        <v>160.66202989479658</v>
      </c>
    </row>
    <row r="18" spans="1:21" ht="20.100000000000001" customHeight="1">
      <c r="A18" s="1365"/>
      <c r="B18" s="1366" t="s">
        <v>342</v>
      </c>
      <c r="C18" s="1363"/>
      <c r="D18" s="1367"/>
      <c r="E18" s="1368"/>
      <c r="F18" s="1368"/>
      <c r="G18" s="1368"/>
      <c r="H18" s="1368"/>
      <c r="I18" s="1369"/>
      <c r="J18" s="1370"/>
      <c r="K18" s="1368"/>
      <c r="L18" s="1367"/>
      <c r="M18" s="1370"/>
      <c r="N18" s="1368"/>
      <c r="O18" s="1367"/>
      <c r="P18" s="1371"/>
      <c r="Q18" s="1367"/>
      <c r="R18" s="1040"/>
      <c r="S18" s="103"/>
    </row>
    <row r="19" spans="1:21" s="117" customFormat="1" ht="20.100000000000001" customHeight="1">
      <c r="A19" s="1345" t="s">
        <v>254</v>
      </c>
      <c r="B19" s="1372" t="s">
        <v>259</v>
      </c>
      <c r="C19" s="1363">
        <v>0</v>
      </c>
      <c r="D19" s="1364">
        <v>0</v>
      </c>
      <c r="E19" s="1368">
        <f t="shared" si="2"/>
        <v>276094.05030800001</v>
      </c>
      <c r="F19" s="1368">
        <f>112619.79232-G19</f>
        <v>112619.79231999999</v>
      </c>
      <c r="G19" s="1368"/>
      <c r="H19" s="1368"/>
      <c r="I19" s="1368">
        <f>164617.396988-J19</f>
        <v>163474.257988</v>
      </c>
      <c r="J19" s="1368">
        <v>1143.1389999999999</v>
      </c>
      <c r="K19" s="1368"/>
      <c r="L19" s="1364">
        <f>120-M19</f>
        <v>0</v>
      </c>
      <c r="M19" s="1368">
        <v>120</v>
      </c>
      <c r="N19" s="1368"/>
      <c r="O19" s="1364">
        <v>0</v>
      </c>
      <c r="P19" s="1371">
        <f t="shared" si="0"/>
        <v>112619.79231999999</v>
      </c>
      <c r="Q19" s="1367">
        <v>0</v>
      </c>
      <c r="R19" s="1040"/>
      <c r="S19" s="330"/>
    </row>
    <row r="20" spans="1:21" s="117" customFormat="1" ht="20.100000000000001" customHeight="1">
      <c r="A20" s="1345" t="s">
        <v>256</v>
      </c>
      <c r="B20" s="1372" t="s">
        <v>261</v>
      </c>
      <c r="C20" s="1363">
        <v>0</v>
      </c>
      <c r="D20" s="1364">
        <v>0</v>
      </c>
      <c r="E20" s="1368">
        <f t="shared" si="2"/>
        <v>643.31500000000005</v>
      </c>
      <c r="F20" s="1368">
        <v>643.31500000000005</v>
      </c>
      <c r="G20" s="1368"/>
      <c r="H20" s="1368"/>
      <c r="I20" s="1364">
        <v>0</v>
      </c>
      <c r="J20" s="1368"/>
      <c r="K20" s="1368"/>
      <c r="L20" s="1364">
        <v>0</v>
      </c>
      <c r="M20" s="1368"/>
      <c r="N20" s="1368"/>
      <c r="O20" s="1364">
        <v>0</v>
      </c>
      <c r="P20" s="1371">
        <f t="shared" si="0"/>
        <v>643.31500000000005</v>
      </c>
      <c r="Q20" s="1367">
        <v>0</v>
      </c>
      <c r="R20" s="1040"/>
      <c r="S20" s="330"/>
    </row>
    <row r="21" spans="1:21" ht="20.100000000000001" customHeight="1">
      <c r="A21" s="1365" t="s">
        <v>258</v>
      </c>
      <c r="B21" s="1366" t="s">
        <v>263</v>
      </c>
      <c r="C21" s="1363">
        <v>0</v>
      </c>
      <c r="D21" s="1367">
        <v>0</v>
      </c>
      <c r="E21" s="1368">
        <f t="shared" si="2"/>
        <v>128430.53434100001</v>
      </c>
      <c r="F21" s="1368">
        <v>127927.791341</v>
      </c>
      <c r="G21" s="1368"/>
      <c r="H21" s="1368"/>
      <c r="I21" s="1370">
        <v>228.64699999999999</v>
      </c>
      <c r="J21" s="1370"/>
      <c r="K21" s="1368"/>
      <c r="L21" s="1369">
        <v>274.096</v>
      </c>
      <c r="M21" s="1370"/>
      <c r="N21" s="1368"/>
      <c r="O21" s="1367">
        <v>0</v>
      </c>
      <c r="P21" s="1371">
        <f t="shared" si="0"/>
        <v>127927.791341</v>
      </c>
      <c r="Q21" s="1367">
        <v>0</v>
      </c>
      <c r="R21" s="1040"/>
      <c r="S21" s="103"/>
    </row>
    <row r="22" spans="1:21" ht="20.100000000000001" customHeight="1">
      <c r="A22" s="1365" t="s">
        <v>260</v>
      </c>
      <c r="B22" s="1366" t="s">
        <v>265</v>
      </c>
      <c r="C22" s="1363">
        <v>0</v>
      </c>
      <c r="D22" s="1367">
        <v>0</v>
      </c>
      <c r="E22" s="1368">
        <f t="shared" si="2"/>
        <v>62204.969066999998</v>
      </c>
      <c r="F22" s="1368">
        <v>45495.248045</v>
      </c>
      <c r="G22" s="1368"/>
      <c r="H22" s="1368"/>
      <c r="I22" s="1370">
        <f>15630.437022-J22</f>
        <v>14704.780022000001</v>
      </c>
      <c r="J22" s="1370">
        <v>925.65700000000004</v>
      </c>
      <c r="K22" s="1368"/>
      <c r="L22" s="1369">
        <f>3100.861-M22</f>
        <v>2004.9409999999998</v>
      </c>
      <c r="M22" s="1370">
        <v>1095.92</v>
      </c>
      <c r="N22" s="1368"/>
      <c r="O22" s="1367">
        <v>0</v>
      </c>
      <c r="P22" s="1371">
        <f t="shared" si="0"/>
        <v>45495.248045</v>
      </c>
      <c r="Q22" s="1367">
        <v>0</v>
      </c>
      <c r="R22" s="1040"/>
      <c r="S22" s="103"/>
    </row>
    <row r="23" spans="1:21" ht="20.100000000000001" customHeight="1">
      <c r="A23" s="1365" t="s">
        <v>262</v>
      </c>
      <c r="B23" s="1366" t="s">
        <v>267</v>
      </c>
      <c r="C23" s="1363">
        <v>0</v>
      </c>
      <c r="D23" s="1367">
        <v>0</v>
      </c>
      <c r="E23" s="1368">
        <f t="shared" si="2"/>
        <v>21659.773572999999</v>
      </c>
      <c r="F23" s="1368">
        <v>21659.773572999999</v>
      </c>
      <c r="G23" s="1368"/>
      <c r="H23" s="1368"/>
      <c r="I23" s="1367">
        <v>0</v>
      </c>
      <c r="J23" s="1370"/>
      <c r="K23" s="1368"/>
      <c r="L23" s="1367">
        <v>0</v>
      </c>
      <c r="M23" s="1370"/>
      <c r="N23" s="1368"/>
      <c r="O23" s="1367">
        <v>0</v>
      </c>
      <c r="P23" s="1371">
        <f t="shared" si="0"/>
        <v>21659.773572999999</v>
      </c>
      <c r="Q23" s="1367">
        <v>0</v>
      </c>
      <c r="R23" s="1040"/>
      <c r="S23" s="103"/>
    </row>
    <row r="24" spans="1:21" ht="20.100000000000001" customHeight="1">
      <c r="A24" s="1365" t="s">
        <v>264</v>
      </c>
      <c r="B24" s="1366" t="s">
        <v>269</v>
      </c>
      <c r="C24" s="1363">
        <v>0</v>
      </c>
      <c r="D24" s="1367">
        <v>0</v>
      </c>
      <c r="E24" s="1368">
        <f>+F24+I24+L24</f>
        <v>833.39199999999994</v>
      </c>
      <c r="F24" s="1373">
        <v>239.852</v>
      </c>
      <c r="G24" s="1368"/>
      <c r="H24" s="1368"/>
      <c r="I24" s="1370">
        <v>593.54</v>
      </c>
      <c r="J24" s="1370"/>
      <c r="K24" s="1368"/>
      <c r="L24" s="1367">
        <v>0</v>
      </c>
      <c r="M24" s="1370"/>
      <c r="N24" s="1368"/>
      <c r="O24" s="1367">
        <v>0</v>
      </c>
      <c r="P24" s="1371">
        <f t="shared" si="0"/>
        <v>239.852</v>
      </c>
      <c r="Q24" s="1367">
        <v>0</v>
      </c>
      <c r="R24" s="1040"/>
      <c r="S24" s="297"/>
    </row>
    <row r="25" spans="1:21" ht="20.100000000000001" customHeight="1">
      <c r="A25" s="1365" t="s">
        <v>266</v>
      </c>
      <c r="B25" s="1366" t="s">
        <v>271</v>
      </c>
      <c r="C25" s="1363">
        <v>0</v>
      </c>
      <c r="D25" s="1367">
        <v>0</v>
      </c>
      <c r="E25" s="1368">
        <f t="shared" si="2"/>
        <v>497.36599999999999</v>
      </c>
      <c r="F25" s="1368">
        <f>459.89-G25</f>
        <v>459.89</v>
      </c>
      <c r="G25" s="1368"/>
      <c r="H25" s="1368"/>
      <c r="I25" s="1369">
        <v>37.475999999999999</v>
      </c>
      <c r="J25" s="1370"/>
      <c r="K25" s="1368"/>
      <c r="L25" s="1367">
        <v>0</v>
      </c>
      <c r="M25" s="1370"/>
      <c r="N25" s="1368"/>
      <c r="O25" s="1367">
        <v>0</v>
      </c>
      <c r="P25" s="1371">
        <f t="shared" si="0"/>
        <v>459.89</v>
      </c>
      <c r="Q25" s="1367">
        <v>0</v>
      </c>
      <c r="R25" s="1040"/>
      <c r="S25" s="103"/>
    </row>
    <row r="26" spans="1:21" ht="20.100000000000001" customHeight="1">
      <c r="A26" s="1365" t="s">
        <v>268</v>
      </c>
      <c r="B26" s="1366" t="s">
        <v>273</v>
      </c>
      <c r="C26" s="1363">
        <v>0</v>
      </c>
      <c r="D26" s="1367">
        <v>0</v>
      </c>
      <c r="E26" s="1368">
        <f t="shared" si="2"/>
        <v>1680263.934355</v>
      </c>
      <c r="F26" s="1368">
        <f>1392979.695074-G26</f>
        <v>1392979.6950739999</v>
      </c>
      <c r="G26" s="1368"/>
      <c r="H26" s="1368"/>
      <c r="I26" s="1370">
        <f>208938.321045-J26</f>
        <v>199853.69325299998</v>
      </c>
      <c r="J26" s="1370">
        <v>9084.6277919999993</v>
      </c>
      <c r="K26" s="1368"/>
      <c r="L26" s="1370">
        <f>179967.657197-M26</f>
        <v>87430.546027999997</v>
      </c>
      <c r="M26" s="1370">
        <v>92537.111168999996</v>
      </c>
      <c r="N26" s="1368"/>
      <c r="O26" s="1367">
        <v>0</v>
      </c>
      <c r="P26" s="1371">
        <f t="shared" si="0"/>
        <v>1392979.6950739999</v>
      </c>
      <c r="Q26" s="1367">
        <v>0</v>
      </c>
      <c r="R26" s="1040"/>
      <c r="S26" s="103"/>
    </row>
    <row r="27" spans="1:21" ht="20.100000000000001" customHeight="1">
      <c r="A27" s="1365" t="s">
        <v>270</v>
      </c>
      <c r="B27" s="1366" t="s">
        <v>275</v>
      </c>
      <c r="C27" s="1363">
        <v>0</v>
      </c>
      <c r="D27" s="1367">
        <v>0</v>
      </c>
      <c r="E27" s="1368">
        <f t="shared" si="2"/>
        <v>357226.59964999999</v>
      </c>
      <c r="F27" s="1368">
        <f>326102.309572-G27</f>
        <v>326102.309572</v>
      </c>
      <c r="G27" s="1368"/>
      <c r="H27" s="1368"/>
      <c r="I27" s="1370">
        <f>18927.628448-J27</f>
        <v>17227.628447999999</v>
      </c>
      <c r="J27" s="1370">
        <v>1700</v>
      </c>
      <c r="K27" s="1368"/>
      <c r="L27" s="1370">
        <f>16346.87843-M27</f>
        <v>13896.661630000001</v>
      </c>
      <c r="M27" s="1370">
        <v>2450.2168000000001</v>
      </c>
      <c r="N27" s="1368"/>
      <c r="O27" s="1367">
        <v>0</v>
      </c>
      <c r="P27" s="1371">
        <f t="shared" si="0"/>
        <v>326102.309572</v>
      </c>
      <c r="Q27" s="1367">
        <v>0</v>
      </c>
      <c r="R27" s="1040"/>
      <c r="S27" s="103"/>
    </row>
    <row r="28" spans="1:21" ht="20.100000000000001" customHeight="1">
      <c r="A28" s="1365" t="s">
        <v>272</v>
      </c>
      <c r="B28" s="1366" t="s">
        <v>277</v>
      </c>
      <c r="C28" s="1363">
        <v>0</v>
      </c>
      <c r="D28" s="1367">
        <v>0</v>
      </c>
      <c r="E28" s="1368">
        <f t="shared" si="2"/>
        <v>93159.991999999998</v>
      </c>
      <c r="F28" s="1368">
        <f>23427.796-G28</f>
        <v>23427.795999999998</v>
      </c>
      <c r="G28" s="1368"/>
      <c r="H28" s="1368"/>
      <c r="I28" s="1369">
        <v>1702.1959999999999</v>
      </c>
      <c r="J28" s="1367"/>
      <c r="K28" s="1367"/>
      <c r="L28" s="1369">
        <v>68030</v>
      </c>
      <c r="M28" s="1370"/>
      <c r="N28" s="1368"/>
      <c r="O28" s="1367">
        <v>0</v>
      </c>
      <c r="P28" s="1371">
        <f t="shared" si="0"/>
        <v>23427.795999999998</v>
      </c>
      <c r="Q28" s="1367">
        <v>0</v>
      </c>
      <c r="R28" s="1040"/>
      <c r="S28" s="103"/>
    </row>
    <row r="29" spans="1:21" ht="20.100000000000001" hidden="1" customHeight="1">
      <c r="A29" s="1365" t="s">
        <v>278</v>
      </c>
      <c r="B29" s="1366" t="s">
        <v>279</v>
      </c>
      <c r="C29" s="1363">
        <v>0</v>
      </c>
      <c r="D29" s="1367">
        <v>0</v>
      </c>
      <c r="E29" s="1368">
        <f>F29+I29+L29</f>
        <v>143204.246151</v>
      </c>
      <c r="F29" s="1368">
        <v>143204.246151</v>
      </c>
      <c r="G29" s="1368"/>
      <c r="H29" s="1368"/>
      <c r="I29" s="1367">
        <v>0</v>
      </c>
      <c r="J29" s="1367"/>
      <c r="K29" s="1367"/>
      <c r="L29" s="1367">
        <v>0</v>
      </c>
      <c r="M29" s="1370"/>
      <c r="N29" s="1368"/>
      <c r="O29" s="1367">
        <v>0</v>
      </c>
      <c r="P29" s="1371">
        <f t="shared" si="0"/>
        <v>143204.246151</v>
      </c>
      <c r="Q29" s="1367">
        <v>0</v>
      </c>
      <c r="R29" s="1040"/>
      <c r="S29" s="103"/>
      <c r="T29" s="103"/>
    </row>
    <row r="30" spans="1:21" s="604" customFormat="1" ht="23.25" customHeight="1">
      <c r="A30" s="1648">
        <v>2</v>
      </c>
      <c r="B30" s="1649" t="s">
        <v>280</v>
      </c>
      <c r="C30" s="1650">
        <v>0</v>
      </c>
      <c r="D30" s="1651">
        <v>0</v>
      </c>
      <c r="E30" s="1652">
        <f>F30+I30+L30</f>
        <v>32774.400000000001</v>
      </c>
      <c r="F30" s="1653">
        <v>32774.400000000001</v>
      </c>
      <c r="G30" s="1653"/>
      <c r="H30" s="1653"/>
      <c r="I30" s="1651">
        <v>0</v>
      </c>
      <c r="J30" s="1651"/>
      <c r="K30" s="1651"/>
      <c r="L30" s="1651">
        <v>0</v>
      </c>
      <c r="M30" s="1652"/>
      <c r="N30" s="1653"/>
      <c r="O30" s="1651">
        <v>0</v>
      </c>
      <c r="P30" s="1654">
        <f t="shared" si="0"/>
        <v>32774.400000000001</v>
      </c>
      <c r="Q30" s="1651">
        <v>0</v>
      </c>
      <c r="R30" s="1655"/>
      <c r="S30" s="603"/>
    </row>
    <row r="31" spans="1:21" s="604" customFormat="1" ht="20.100000000000001" customHeight="1">
      <c r="A31" s="1648">
        <v>3</v>
      </c>
      <c r="B31" s="1649" t="s">
        <v>281</v>
      </c>
      <c r="C31" s="1650">
        <v>0</v>
      </c>
      <c r="D31" s="1651">
        <v>0</v>
      </c>
      <c r="E31" s="1651">
        <f>F31+I31+L31</f>
        <v>69357.533684000009</v>
      </c>
      <c r="F31" s="1656">
        <v>68634.278684000004</v>
      </c>
      <c r="G31" s="1653"/>
      <c r="H31" s="1653"/>
      <c r="I31" s="1651">
        <v>723.255</v>
      </c>
      <c r="J31" s="1651"/>
      <c r="K31" s="1651"/>
      <c r="L31" s="1651">
        <v>0</v>
      </c>
      <c r="M31" s="1652"/>
      <c r="N31" s="1653"/>
      <c r="O31" s="1651">
        <v>0</v>
      </c>
      <c r="P31" s="1654">
        <f t="shared" si="0"/>
        <v>68634.278684000004</v>
      </c>
      <c r="Q31" s="1651">
        <v>0</v>
      </c>
      <c r="R31" s="1655"/>
      <c r="S31" s="603"/>
    </row>
    <row r="32" spans="1:21" ht="20.100000000000001" customHeight="1">
      <c r="A32" s="1357" t="s">
        <v>109</v>
      </c>
      <c r="B32" s="1358" t="s">
        <v>66</v>
      </c>
      <c r="C32" s="1363">
        <f>5409477</f>
        <v>5409477</v>
      </c>
      <c r="D32" s="1374">
        <f>+D33+D34+D36+D37+D38+D39+D40+D41+D42+D43+D44+D45+D46</f>
        <v>2499257</v>
      </c>
      <c r="E32" s="1355">
        <f>+F32+I32+L32</f>
        <v>6291455.5948639996</v>
      </c>
      <c r="F32" s="1360">
        <f t="shared" ref="F32:N32" si="3">+F33+F34+F36+F37+F38+F39+F40+F41+F42+F43+F44+F45+F46</f>
        <v>2144082.4393250002</v>
      </c>
      <c r="G32" s="1360">
        <f t="shared" si="3"/>
        <v>0</v>
      </c>
      <c r="H32" s="1360">
        <f t="shared" si="3"/>
        <v>0</v>
      </c>
      <c r="I32" s="1360">
        <f t="shared" si="3"/>
        <v>3299246.9307769993</v>
      </c>
      <c r="J32" s="1360">
        <f t="shared" si="3"/>
        <v>0</v>
      </c>
      <c r="K32" s="1360">
        <f t="shared" si="3"/>
        <v>61956.748729999992</v>
      </c>
      <c r="L32" s="1360">
        <f t="shared" si="3"/>
        <v>848126.22476199991</v>
      </c>
      <c r="M32" s="1360">
        <f t="shared" si="3"/>
        <v>0</v>
      </c>
      <c r="N32" s="1360">
        <f t="shared" si="3"/>
        <v>20865.08339</v>
      </c>
      <c r="O32" s="1355">
        <f t="shared" ref="O32:O42" si="4">E32/C32*100</f>
        <v>116.30432285531485</v>
      </c>
      <c r="P32" s="1371">
        <f t="shared" si="0"/>
        <v>-355174.56067499984</v>
      </c>
      <c r="Q32" s="1355">
        <f t="shared" si="1"/>
        <v>85.788794002577575</v>
      </c>
      <c r="R32" s="1040" t="e">
        <f>+E32/"#REF!*100"</f>
        <v>#VALUE!</v>
      </c>
      <c r="S32" s="103"/>
      <c r="U32" s="103"/>
    </row>
    <row r="33" spans="1:21" ht="20.100000000000001" hidden="1" customHeight="1">
      <c r="A33" s="1365">
        <v>1</v>
      </c>
      <c r="B33" s="1366" t="s">
        <v>255</v>
      </c>
      <c r="C33" s="1363">
        <v>0</v>
      </c>
      <c r="D33" s="1375">
        <v>41736</v>
      </c>
      <c r="E33" s="1370">
        <f>F33+I33+L33</f>
        <v>165017.61423400001</v>
      </c>
      <c r="F33" s="1368">
        <f>53784.131-H33</f>
        <v>53784.131000000001</v>
      </c>
      <c r="G33" s="1368"/>
      <c r="H33" s="1368"/>
      <c r="I33" s="1368">
        <v>52944.2713</v>
      </c>
      <c r="J33" s="1370"/>
      <c r="K33" s="1368"/>
      <c r="L33" s="1368">
        <v>58289.211933999999</v>
      </c>
      <c r="M33" s="1370"/>
      <c r="N33" s="1368"/>
      <c r="O33" s="1367">
        <v>0</v>
      </c>
      <c r="P33" s="1371">
        <f t="shared" si="0"/>
        <v>12048.131000000001</v>
      </c>
      <c r="Q33" s="1370">
        <f t="shared" si="1"/>
        <v>128.86747891508529</v>
      </c>
      <c r="R33" s="1040"/>
      <c r="S33" s="134"/>
      <c r="U33" s="103"/>
    </row>
    <row r="34" spans="1:21" ht="20.100000000000001" hidden="1" customHeight="1">
      <c r="A34" s="1365">
        <v>2</v>
      </c>
      <c r="B34" s="1366" t="s">
        <v>257</v>
      </c>
      <c r="C34" s="1363">
        <v>0</v>
      </c>
      <c r="D34" s="1375">
        <v>13838</v>
      </c>
      <c r="E34" s="1370">
        <f>F34+I34+L34</f>
        <v>59273.654710000003</v>
      </c>
      <c r="F34" s="1368">
        <f>26569-H34</f>
        <v>26569</v>
      </c>
      <c r="G34" s="1368"/>
      <c r="H34" s="1376"/>
      <c r="I34" s="1368">
        <f>21476.2549-K34</f>
        <v>12534.2549</v>
      </c>
      <c r="J34" s="1370"/>
      <c r="K34" s="1376">
        <v>8942</v>
      </c>
      <c r="L34" s="1368">
        <v>20170.399809999999</v>
      </c>
      <c r="M34" s="1370"/>
      <c r="N34" s="1368"/>
      <c r="O34" s="1367">
        <v>0</v>
      </c>
      <c r="P34" s="1371">
        <f t="shared" si="0"/>
        <v>12731</v>
      </c>
      <c r="Q34" s="1370">
        <f t="shared" si="1"/>
        <v>192.00028905911259</v>
      </c>
      <c r="R34" s="1040"/>
      <c r="S34" s="134"/>
      <c r="U34" s="103"/>
    </row>
    <row r="35" spans="1:21" ht="20.100000000000001" customHeight="1">
      <c r="A35" s="1365"/>
      <c r="B35" s="1366" t="s">
        <v>342</v>
      </c>
      <c r="C35" s="1363"/>
      <c r="D35" s="1375"/>
      <c r="E35" s="1370"/>
      <c r="F35" s="1368"/>
      <c r="G35" s="1368"/>
      <c r="H35" s="1376"/>
      <c r="I35" s="1368"/>
      <c r="J35" s="1370"/>
      <c r="K35" s="1376"/>
      <c r="L35" s="1368"/>
      <c r="M35" s="1370"/>
      <c r="N35" s="1368"/>
      <c r="O35" s="1367"/>
      <c r="P35" s="1371"/>
      <c r="Q35" s="1370"/>
      <c r="R35" s="1040"/>
      <c r="S35" s="134"/>
      <c r="U35" s="103"/>
    </row>
    <row r="36" spans="1:21" ht="20.100000000000001" customHeight="1">
      <c r="A36" s="1365">
        <v>1</v>
      </c>
      <c r="B36" s="1366" t="s">
        <v>259</v>
      </c>
      <c r="C36" s="1377">
        <v>1989752</v>
      </c>
      <c r="D36" s="1375">
        <v>375046</v>
      </c>
      <c r="E36" s="1370">
        <f t="shared" ref="E36:E46" si="5">F36+I36+L36</f>
        <v>2315470.3287399998</v>
      </c>
      <c r="F36" s="1368">
        <f>390261.912639-H36+14950.371</f>
        <v>405212.28363899997</v>
      </c>
      <c r="G36" s="1368"/>
      <c r="H36" s="1368"/>
      <c r="I36" s="1368">
        <f>1906544.311852-K36</f>
        <v>1903099.4904719999</v>
      </c>
      <c r="J36" s="1370"/>
      <c r="K36" s="1368">
        <v>3444.8213799999999</v>
      </c>
      <c r="L36" s="1368">
        <v>7158.5546290000002</v>
      </c>
      <c r="M36" s="1370"/>
      <c r="N36" s="1368"/>
      <c r="O36" s="1370">
        <f t="shared" si="4"/>
        <v>116.36979526795299</v>
      </c>
      <c r="P36" s="1371">
        <f t="shared" si="0"/>
        <v>30166.283638999972</v>
      </c>
      <c r="Q36" s="1370">
        <f t="shared" si="1"/>
        <v>108.04335565210667</v>
      </c>
      <c r="R36" s="1040"/>
      <c r="U36" s="103"/>
    </row>
    <row r="37" spans="1:21" ht="20.100000000000001" customHeight="1">
      <c r="A37" s="1365">
        <v>2</v>
      </c>
      <c r="B37" s="1366" t="s">
        <v>261</v>
      </c>
      <c r="C37" s="1377">
        <v>24374</v>
      </c>
      <c r="D37" s="1375">
        <v>18770</v>
      </c>
      <c r="E37" s="1370">
        <f t="shared" si="5"/>
        <v>26009.921506999999</v>
      </c>
      <c r="F37" s="1368">
        <v>20562.415843999999</v>
      </c>
      <c r="G37" s="1368"/>
      <c r="H37" s="1368"/>
      <c r="I37" s="1368">
        <v>5447.5056629999999</v>
      </c>
      <c r="J37" s="1370"/>
      <c r="K37" s="1368"/>
      <c r="L37" s="1368">
        <v>0</v>
      </c>
      <c r="M37" s="1370"/>
      <c r="N37" s="1368"/>
      <c r="O37" s="1370">
        <f t="shared" si="4"/>
        <v>106.7117482030032</v>
      </c>
      <c r="P37" s="1371">
        <f t="shared" si="0"/>
        <v>1792.4158439999992</v>
      </c>
      <c r="Q37" s="1370">
        <f t="shared" si="1"/>
        <v>109.54936517847629</v>
      </c>
      <c r="R37" s="1040"/>
      <c r="S37" s="134"/>
      <c r="U37" s="103"/>
    </row>
    <row r="38" spans="1:21" ht="20.100000000000001" customHeight="1">
      <c r="A38" s="1365">
        <v>3</v>
      </c>
      <c r="B38" s="1366" t="s">
        <v>263</v>
      </c>
      <c r="C38" s="1363">
        <v>0</v>
      </c>
      <c r="D38" s="1375">
        <v>456986</v>
      </c>
      <c r="E38" s="1370">
        <f>F38+I38+L38</f>
        <v>669624.99922200001</v>
      </c>
      <c r="F38" s="1368">
        <f>467840.685991-H38</f>
        <v>467840.68599099998</v>
      </c>
      <c r="G38" s="1368"/>
      <c r="H38" s="1368"/>
      <c r="I38" s="1368">
        <f>208724.727101-K38</f>
        <v>201428.95923099999</v>
      </c>
      <c r="J38" s="1370"/>
      <c r="K38" s="1368">
        <v>7295.7678699999997</v>
      </c>
      <c r="L38" s="1368">
        <v>355.35399999999998</v>
      </c>
      <c r="M38" s="1370"/>
      <c r="N38" s="1368"/>
      <c r="O38" s="1367">
        <v>0</v>
      </c>
      <c r="P38" s="1371">
        <f t="shared" si="0"/>
        <v>10854.685990999977</v>
      </c>
      <c r="Q38" s="1370">
        <f t="shared" si="1"/>
        <v>102.37527757765008</v>
      </c>
      <c r="R38" s="1040"/>
      <c r="U38" s="103"/>
    </row>
    <row r="39" spans="1:21" ht="20.100000000000001" customHeight="1">
      <c r="A39" s="1365">
        <v>4</v>
      </c>
      <c r="B39" s="1366" t="s">
        <v>265</v>
      </c>
      <c r="C39" s="1363">
        <v>0</v>
      </c>
      <c r="D39" s="1375">
        <v>29221</v>
      </c>
      <c r="E39" s="1370">
        <f t="shared" si="5"/>
        <v>60383.107226</v>
      </c>
      <c r="F39" s="1368">
        <f>36982.112458-H39</f>
        <v>36982.112458000003</v>
      </c>
      <c r="G39" s="1368"/>
      <c r="H39" s="1376"/>
      <c r="I39" s="1368">
        <v>15276.693449</v>
      </c>
      <c r="J39" s="1370"/>
      <c r="K39" s="1368"/>
      <c r="L39" s="1368">
        <v>8124.3013190000001</v>
      </c>
      <c r="M39" s="1370"/>
      <c r="N39" s="1368"/>
      <c r="O39" s="1367">
        <v>0</v>
      </c>
      <c r="P39" s="1371">
        <f t="shared" si="0"/>
        <v>7761.1124580000032</v>
      </c>
      <c r="Q39" s="1370">
        <f t="shared" si="1"/>
        <v>126.56005084699362</v>
      </c>
      <c r="R39" s="1040"/>
      <c r="U39" s="103"/>
    </row>
    <row r="40" spans="1:21" ht="20.100000000000001" customHeight="1">
      <c r="A40" s="1365">
        <v>5</v>
      </c>
      <c r="B40" s="1366" t="s">
        <v>267</v>
      </c>
      <c r="C40" s="1363">
        <v>0</v>
      </c>
      <c r="D40" s="1375">
        <v>8840</v>
      </c>
      <c r="E40" s="1370">
        <f t="shared" si="5"/>
        <v>21874.774257999998</v>
      </c>
      <c r="F40" s="1368">
        <f>9079.918921-H40</f>
        <v>9079.9189210000004</v>
      </c>
      <c r="G40" s="1368"/>
      <c r="H40" s="1368"/>
      <c r="I40" s="1368">
        <v>10946.435269</v>
      </c>
      <c r="J40" s="1370"/>
      <c r="K40" s="1368"/>
      <c r="L40" s="1368">
        <v>1848.4200679999999</v>
      </c>
      <c r="M40" s="1370"/>
      <c r="N40" s="1368"/>
      <c r="O40" s="1367">
        <v>0</v>
      </c>
      <c r="P40" s="1371">
        <f t="shared" si="0"/>
        <v>239.91892100000041</v>
      </c>
      <c r="Q40" s="1370">
        <f t="shared" si="1"/>
        <v>102.71401494343893</v>
      </c>
      <c r="R40" s="1040"/>
      <c r="U40" s="103"/>
    </row>
    <row r="41" spans="1:21" ht="20.100000000000001" customHeight="1">
      <c r="A41" s="1365">
        <v>6</v>
      </c>
      <c r="B41" s="1366" t="s">
        <v>269</v>
      </c>
      <c r="C41" s="1363">
        <v>0</v>
      </c>
      <c r="D41" s="1375">
        <v>16685</v>
      </c>
      <c r="E41" s="1370">
        <f t="shared" si="5"/>
        <v>26468.646970999998</v>
      </c>
      <c r="F41" s="1368">
        <f>15925.384912-H41</f>
        <v>15925.384912</v>
      </c>
      <c r="G41" s="1368"/>
      <c r="H41" s="1368"/>
      <c r="I41" s="1368">
        <v>8491.1910590000007</v>
      </c>
      <c r="J41" s="1370"/>
      <c r="K41" s="1368"/>
      <c r="L41" s="1368">
        <v>2052.0709999999999</v>
      </c>
      <c r="M41" s="1370"/>
      <c r="N41" s="1368"/>
      <c r="O41" s="1367">
        <v>0</v>
      </c>
      <c r="P41" s="1371">
        <f t="shared" si="0"/>
        <v>-759.61508800000047</v>
      </c>
      <c r="Q41" s="1370">
        <f t="shared" si="1"/>
        <v>95.447317422834871</v>
      </c>
      <c r="R41" s="1040"/>
      <c r="U41" s="103"/>
    </row>
    <row r="42" spans="1:21" ht="20.100000000000001" customHeight="1">
      <c r="A42" s="1365">
        <v>7</v>
      </c>
      <c r="B42" s="1366" t="s">
        <v>271</v>
      </c>
      <c r="C42" s="1378">
        <v>66148</v>
      </c>
      <c r="D42" s="1375">
        <v>40672</v>
      </c>
      <c r="E42" s="1370">
        <f t="shared" si="5"/>
        <v>90212.974799000018</v>
      </c>
      <c r="F42" s="1368">
        <v>45648.319447000002</v>
      </c>
      <c r="G42" s="1368"/>
      <c r="H42" s="1368"/>
      <c r="I42" s="1368">
        <v>35848.912273000002</v>
      </c>
      <c r="J42" s="1370"/>
      <c r="K42" s="1368"/>
      <c r="L42" s="1368">
        <v>8715.7430789999999</v>
      </c>
      <c r="M42" s="1370"/>
      <c r="N42" s="1368"/>
      <c r="O42" s="1370">
        <f t="shared" si="4"/>
        <v>136.38050250801237</v>
      </c>
      <c r="P42" s="1371">
        <f t="shared" si="0"/>
        <v>4976.3194470000017</v>
      </c>
      <c r="Q42" s="1370">
        <f t="shared" si="1"/>
        <v>112.23524647669159</v>
      </c>
      <c r="R42" s="1040"/>
      <c r="U42" s="103"/>
    </row>
    <row r="43" spans="1:21" ht="20.100000000000001" customHeight="1">
      <c r="A43" s="1365">
        <v>8</v>
      </c>
      <c r="B43" s="1366" t="s">
        <v>273</v>
      </c>
      <c r="C43" s="1363">
        <v>0</v>
      </c>
      <c r="D43" s="1375">
        <v>764591</v>
      </c>
      <c r="E43" s="1370">
        <f t="shared" si="5"/>
        <v>1076999.4449519999</v>
      </c>
      <c r="F43" s="1368">
        <f>558837.754607-H43</f>
        <v>558837.75460700004</v>
      </c>
      <c r="G43" s="1368"/>
      <c r="H43" s="1368"/>
      <c r="I43" s="1368">
        <f>404030.089274-K43</f>
        <v>400547.89427400002</v>
      </c>
      <c r="J43" s="1370"/>
      <c r="K43" s="1368">
        <v>3482.1950000000002</v>
      </c>
      <c r="L43" s="1368">
        <f>128797.117771-N43</f>
        <v>117613.796071</v>
      </c>
      <c r="M43" s="1370"/>
      <c r="N43" s="1368">
        <v>11183.3217</v>
      </c>
      <c r="O43" s="1367">
        <v>0</v>
      </c>
      <c r="P43" s="1371">
        <f t="shared" si="0"/>
        <v>-205753.24539299996</v>
      </c>
      <c r="Q43" s="1370">
        <f t="shared" si="1"/>
        <v>73.089763626174005</v>
      </c>
      <c r="R43" s="1040"/>
      <c r="S43" s="116"/>
      <c r="U43" s="103"/>
    </row>
    <row r="44" spans="1:21" ht="20.100000000000001" customHeight="1">
      <c r="A44" s="1365">
        <v>9</v>
      </c>
      <c r="B44" s="1366" t="s">
        <v>275</v>
      </c>
      <c r="C44" s="1363">
        <v>0</v>
      </c>
      <c r="D44" s="1375">
        <v>472261</v>
      </c>
      <c r="E44" s="1370">
        <f t="shared" si="5"/>
        <v>1283391.388913</v>
      </c>
      <c r="F44" s="1368">
        <f>341255.44615-H44</f>
        <v>341255.44614999997</v>
      </c>
      <c r="G44" s="1368"/>
      <c r="H44" s="1368"/>
      <c r="I44" s="1368">
        <f>379436.689603-K44</f>
        <v>378137.72512299998</v>
      </c>
      <c r="J44" s="1370"/>
      <c r="K44" s="1368">
        <v>1298.9644800000001</v>
      </c>
      <c r="L44" s="1368">
        <f>571227.67933-N44</f>
        <v>563998.21763999993</v>
      </c>
      <c r="M44" s="1370"/>
      <c r="N44" s="1368">
        <v>7229.4616900000001</v>
      </c>
      <c r="O44" s="1367">
        <v>0</v>
      </c>
      <c r="P44" s="1371">
        <f t="shared" si="0"/>
        <v>-131005.55385000003</v>
      </c>
      <c r="Q44" s="1370">
        <f t="shared" si="1"/>
        <v>72.259925369657878</v>
      </c>
      <c r="R44" s="1040"/>
      <c r="S44" s="116"/>
      <c r="U44" s="103"/>
    </row>
    <row r="45" spans="1:21" ht="20.100000000000001" customHeight="1">
      <c r="A45" s="1365">
        <v>10</v>
      </c>
      <c r="B45" s="1366" t="s">
        <v>277</v>
      </c>
      <c r="C45" s="1363">
        <v>0</v>
      </c>
      <c r="D45" s="1375">
        <v>233108</v>
      </c>
      <c r="E45" s="1370">
        <f t="shared" si="5"/>
        <v>408639.05448099994</v>
      </c>
      <c r="F45" s="1368">
        <f>111091.244776-H45</f>
        <v>111091.24477600001</v>
      </c>
      <c r="G45" s="1368"/>
      <c r="H45" s="1368"/>
      <c r="I45" s="1368">
        <f>279403.056498-K45</f>
        <v>241910.05649799999</v>
      </c>
      <c r="J45" s="1370"/>
      <c r="K45" s="1376">
        <v>37493</v>
      </c>
      <c r="L45" s="1368">
        <f>58090.053207-N45</f>
        <v>55637.753206999994</v>
      </c>
      <c r="M45" s="1370"/>
      <c r="N45" s="1376">
        <f>981.3+1471</f>
        <v>2452.3000000000002</v>
      </c>
      <c r="O45" s="1367">
        <v>0</v>
      </c>
      <c r="P45" s="1371">
        <f t="shared" si="0"/>
        <v>-122016.75522399999</v>
      </c>
      <c r="Q45" s="1370">
        <f t="shared" si="1"/>
        <v>47.656556092455006</v>
      </c>
      <c r="R45" s="1040"/>
      <c r="S45" s="205"/>
      <c r="U45" s="103"/>
    </row>
    <row r="46" spans="1:21" ht="20.100000000000001" hidden="1" customHeight="1">
      <c r="A46" s="1365">
        <v>13</v>
      </c>
      <c r="B46" s="1366" t="s">
        <v>288</v>
      </c>
      <c r="C46" s="1363">
        <v>0</v>
      </c>
      <c r="D46" s="1375">
        <v>27503</v>
      </c>
      <c r="E46" s="1370">
        <f t="shared" si="5"/>
        <v>88089.684850999998</v>
      </c>
      <c r="F46" s="1368">
        <f>50888.279525+405.462055</f>
        <v>51293.741580000002</v>
      </c>
      <c r="G46" s="1368"/>
      <c r="H46" s="1368"/>
      <c r="I46" s="1368">
        <v>32633.541266</v>
      </c>
      <c r="J46" s="1370"/>
      <c r="K46" s="1368"/>
      <c r="L46" s="1368">
        <v>4162.4020049999999</v>
      </c>
      <c r="M46" s="1370"/>
      <c r="N46" s="1368"/>
      <c r="O46" s="1367">
        <v>0</v>
      </c>
      <c r="P46" s="1371">
        <f t="shared" si="0"/>
        <v>23790.741580000002</v>
      </c>
      <c r="Q46" s="1370">
        <f t="shared" si="1"/>
        <v>186.50235094353346</v>
      </c>
      <c r="R46" s="1040"/>
      <c r="U46" s="103"/>
    </row>
    <row r="47" spans="1:21" s="299" customFormat="1" ht="20.100000000000001" customHeight="1">
      <c r="A47" s="1357" t="s">
        <v>118</v>
      </c>
      <c r="B47" s="1358" t="s">
        <v>996</v>
      </c>
      <c r="C47" s="1363">
        <v>800</v>
      </c>
      <c r="D47" s="1379">
        <f>1783</f>
        <v>1783</v>
      </c>
      <c r="E47" s="1360">
        <f>F47+I47+L47</f>
        <v>403.904653</v>
      </c>
      <c r="F47" s="1360">
        <f>403.904653</f>
        <v>403.904653</v>
      </c>
      <c r="G47" s="1360"/>
      <c r="H47" s="1360"/>
      <c r="I47" s="1367">
        <v>0</v>
      </c>
      <c r="J47" s="1367"/>
      <c r="K47" s="1367"/>
      <c r="L47" s="1367">
        <v>0</v>
      </c>
      <c r="M47" s="1355"/>
      <c r="N47" s="1360"/>
      <c r="O47" s="1355">
        <f>E47/C47*100</f>
        <v>50.488081625000007</v>
      </c>
      <c r="P47" s="1371">
        <f t="shared" si="0"/>
        <v>-1379.0953469999999</v>
      </c>
      <c r="Q47" s="1355">
        <f t="shared" si="1"/>
        <v>22.65309326977005</v>
      </c>
      <c r="R47" s="1039"/>
    </row>
    <row r="48" spans="1:21" s="299" customFormat="1" ht="20.100000000000001" customHeight="1">
      <c r="A48" s="1357" t="s">
        <v>320</v>
      </c>
      <c r="B48" s="1358" t="s">
        <v>68</v>
      </c>
      <c r="C48" s="1361">
        <v>1000</v>
      </c>
      <c r="D48" s="1362">
        <v>1000</v>
      </c>
      <c r="E48" s="1355">
        <f t="shared" ref="E48" si="6">F48+I48+L48</f>
        <v>1000</v>
      </c>
      <c r="F48" s="1360">
        <v>1000</v>
      </c>
      <c r="G48" s="1360"/>
      <c r="H48" s="1360"/>
      <c r="I48" s="1364">
        <v>0</v>
      </c>
      <c r="J48" s="1364"/>
      <c r="K48" s="1364"/>
      <c r="L48" s="1364">
        <v>0</v>
      </c>
      <c r="M48" s="1355"/>
      <c r="N48" s="1360"/>
      <c r="O48" s="1355">
        <f>E48/C48*100</f>
        <v>100</v>
      </c>
      <c r="P48" s="1371">
        <f t="shared" si="0"/>
        <v>0</v>
      </c>
      <c r="Q48" s="1355">
        <f t="shared" si="1"/>
        <v>100</v>
      </c>
      <c r="R48" s="1039"/>
      <c r="S48" s="300"/>
    </row>
    <row r="49" spans="1:20" s="302" customFormat="1" ht="20.100000000000001" customHeight="1">
      <c r="A49" s="1139" t="s">
        <v>321</v>
      </c>
      <c r="B49" s="1380" t="s">
        <v>322</v>
      </c>
      <c r="C49" s="1361">
        <v>143210</v>
      </c>
      <c r="D49" s="1379">
        <v>81655</v>
      </c>
      <c r="E49" s="1364">
        <v>0</v>
      </c>
      <c r="F49" s="1364">
        <v>0</v>
      </c>
      <c r="G49" s="1364"/>
      <c r="H49" s="1364"/>
      <c r="I49" s="1364">
        <v>0</v>
      </c>
      <c r="J49" s="1364"/>
      <c r="K49" s="1364"/>
      <c r="L49" s="1364">
        <v>0</v>
      </c>
      <c r="M49" s="1360"/>
      <c r="N49" s="1360"/>
      <c r="O49" s="1360">
        <f>E49/C49*100</f>
        <v>0</v>
      </c>
      <c r="P49" s="1371">
        <f t="shared" si="0"/>
        <v>-81655</v>
      </c>
      <c r="Q49" s="1367">
        <f t="shared" si="1"/>
        <v>0</v>
      </c>
      <c r="R49" s="1039"/>
    </row>
    <row r="50" spans="1:20" s="299" customFormat="1" ht="20.100000000000001" customHeight="1">
      <c r="A50" s="1140" t="s">
        <v>323</v>
      </c>
      <c r="B50" s="1381" t="s">
        <v>997</v>
      </c>
      <c r="C50" s="1382"/>
      <c r="D50" s="1383"/>
      <c r="E50" s="1383"/>
      <c r="F50" s="1383"/>
      <c r="G50" s="1383"/>
      <c r="H50" s="1383"/>
      <c r="I50" s="1383"/>
      <c r="J50" s="1383"/>
      <c r="K50" s="1383"/>
      <c r="L50" s="1383"/>
      <c r="M50" s="1383"/>
      <c r="N50" s="1383"/>
      <c r="O50" s="1383"/>
      <c r="P50" s="1371">
        <f t="shared" si="0"/>
        <v>0</v>
      </c>
      <c r="Q50" s="1367">
        <v>0</v>
      </c>
      <c r="R50" s="1039"/>
    </row>
    <row r="51" spans="1:20" s="299" customFormat="1" ht="16.5" hidden="1" customHeight="1">
      <c r="A51" s="1357" t="s">
        <v>325</v>
      </c>
      <c r="B51" s="1358" t="s">
        <v>326</v>
      </c>
      <c r="C51" s="1363">
        <v>0</v>
      </c>
      <c r="D51" s="1367">
        <v>0</v>
      </c>
      <c r="E51" s="1367">
        <v>0</v>
      </c>
      <c r="F51" s="1364">
        <v>0</v>
      </c>
      <c r="G51" s="1367"/>
      <c r="H51" s="1367"/>
      <c r="I51" s="1367">
        <v>0</v>
      </c>
      <c r="J51" s="1367"/>
      <c r="K51" s="1367"/>
      <c r="L51" s="1367">
        <v>0</v>
      </c>
      <c r="M51" s="1367"/>
      <c r="N51" s="1367"/>
      <c r="O51" s="1367">
        <v>0</v>
      </c>
      <c r="P51" s="1371">
        <f t="shared" si="0"/>
        <v>0</v>
      </c>
      <c r="Q51" s="1367" t="e">
        <f t="shared" si="1"/>
        <v>#DIV/0!</v>
      </c>
      <c r="R51" s="1039" t="e">
        <f>+E51/"#REF!*100"</f>
        <v>#VALUE!</v>
      </c>
    </row>
    <row r="52" spans="1:20" s="299" customFormat="1" ht="17.25" hidden="1" customHeight="1">
      <c r="A52" s="1357" t="s">
        <v>325</v>
      </c>
      <c r="B52" s="1358" t="s">
        <v>120</v>
      </c>
      <c r="C52" s="1384"/>
      <c r="D52" s="1362"/>
      <c r="E52" s="1355"/>
      <c r="F52" s="1360"/>
      <c r="G52" s="1360"/>
      <c r="H52" s="1360"/>
      <c r="I52" s="1355"/>
      <c r="J52" s="1355"/>
      <c r="K52" s="1360"/>
      <c r="L52" s="1355"/>
      <c r="M52" s="1355"/>
      <c r="N52" s="1360"/>
      <c r="O52" s="1355"/>
      <c r="P52" s="1371">
        <f t="shared" si="0"/>
        <v>0</v>
      </c>
      <c r="Q52" s="1367" t="e">
        <f t="shared" si="1"/>
        <v>#DIV/0!</v>
      </c>
      <c r="R52" s="1040" t="e">
        <f>+E52/"#REF!*100"</f>
        <v>#VALUE!</v>
      </c>
    </row>
    <row r="53" spans="1:20" s="299" customFormat="1" ht="17.25" hidden="1" customHeight="1">
      <c r="A53" s="1385"/>
      <c r="B53" s="1386"/>
      <c r="C53" s="1382"/>
      <c r="D53" s="1383"/>
      <c r="E53" s="1383"/>
      <c r="F53" s="1383"/>
      <c r="G53" s="1383"/>
      <c r="H53" s="1383"/>
      <c r="I53" s="1383"/>
      <c r="J53" s="1383"/>
      <c r="K53" s="1383"/>
      <c r="L53" s="1383"/>
      <c r="M53" s="1383"/>
      <c r="N53" s="1383"/>
      <c r="O53" s="1383"/>
      <c r="P53" s="1371">
        <f t="shared" si="0"/>
        <v>0</v>
      </c>
      <c r="Q53" s="1367" t="e">
        <f t="shared" si="1"/>
        <v>#DIV/0!</v>
      </c>
      <c r="R53" s="1040"/>
    </row>
    <row r="54" spans="1:20" s="117" customFormat="1" ht="20.100000000000001" customHeight="1">
      <c r="A54" s="1357" t="s">
        <v>121</v>
      </c>
      <c r="B54" s="1358" t="s">
        <v>2850</v>
      </c>
      <c r="C54" s="1361"/>
      <c r="D54" s="1362"/>
      <c r="E54" s="1355">
        <f>F54+I54+L54</f>
        <v>1937171.8458830002</v>
      </c>
      <c r="F54" s="1360">
        <f>1356884.374032+15074+352681-6143.397308+19245.629-1336.875703</f>
        <v>1736404.7300210001</v>
      </c>
      <c r="G54" s="1360"/>
      <c r="H54" s="1360"/>
      <c r="I54" s="1360">
        <v>179265.12734599999</v>
      </c>
      <c r="J54" s="1360"/>
      <c r="K54" s="1360"/>
      <c r="L54" s="1360">
        <v>21501.988516000001</v>
      </c>
      <c r="M54" s="1355"/>
      <c r="N54" s="1360"/>
      <c r="O54" s="1355"/>
      <c r="P54" s="1371">
        <f t="shared" si="0"/>
        <v>1736404.7300210001</v>
      </c>
      <c r="Q54" s="1367">
        <v>0</v>
      </c>
      <c r="R54" s="1287"/>
    </row>
    <row r="55" spans="1:20" s="117" customFormat="1" ht="15" hidden="1" customHeight="1">
      <c r="A55" s="1100" t="s">
        <v>428</v>
      </c>
      <c r="B55" s="1101" t="s">
        <v>338</v>
      </c>
      <c r="C55" s="1289">
        <v>0</v>
      </c>
      <c r="D55" s="1290">
        <v>0</v>
      </c>
      <c r="E55" s="1264">
        <v>0</v>
      </c>
      <c r="F55" s="1291">
        <f>5214+25817</f>
        <v>31031</v>
      </c>
      <c r="G55" s="1292"/>
      <c r="H55" s="1292"/>
      <c r="I55" s="1264">
        <v>1815.826802</v>
      </c>
      <c r="J55" s="1264"/>
      <c r="K55" s="1292"/>
      <c r="L55" s="1289">
        <v>0</v>
      </c>
      <c r="M55" s="1264"/>
      <c r="N55" s="1292"/>
      <c r="O55" s="1293">
        <v>0</v>
      </c>
      <c r="P55" s="1344">
        <f t="shared" si="0"/>
        <v>31031</v>
      </c>
      <c r="Q55" s="1293">
        <v>0</v>
      </c>
      <c r="R55" s="350"/>
    </row>
    <row r="56" spans="1:20" s="117" customFormat="1" ht="15" hidden="1" customHeight="1">
      <c r="A56" s="270"/>
      <c r="B56" s="275"/>
      <c r="C56" s="518"/>
      <c r="D56" s="305"/>
      <c r="E56" s="273"/>
      <c r="F56" s="594"/>
      <c r="G56" s="205"/>
      <c r="H56" s="205"/>
      <c r="I56" s="273"/>
      <c r="J56" s="273"/>
      <c r="K56" s="205"/>
      <c r="L56" s="518"/>
      <c r="M56" s="273"/>
      <c r="N56" s="205"/>
      <c r="O56" s="279"/>
      <c r="P56" s="1069">
        <f t="shared" si="0"/>
        <v>0</v>
      </c>
      <c r="Q56" s="279"/>
      <c r="R56" s="350"/>
    </row>
    <row r="57" spans="1:20" ht="15" hidden="1" customHeight="1">
      <c r="A57" s="270" t="s">
        <v>80</v>
      </c>
      <c r="B57" s="271" t="s">
        <v>333</v>
      </c>
      <c r="C57" s="518">
        <f>+C58+C59</f>
        <v>0</v>
      </c>
      <c r="D57" s="305">
        <f>+D58+D59</f>
        <v>0</v>
      </c>
      <c r="E57" s="273">
        <f>F57+I57+L57</f>
        <v>5202830.0485070003</v>
      </c>
      <c r="F57" s="205">
        <f>+F58+F59</f>
        <v>4169359.5692720003</v>
      </c>
      <c r="G57" s="205">
        <f t="shared" ref="G57:M57" si="7">+G58+G59</f>
        <v>0</v>
      </c>
      <c r="H57" s="205">
        <f t="shared" si="7"/>
        <v>0</v>
      </c>
      <c r="I57" s="273">
        <f>+I58+I59</f>
        <v>1033470.479235</v>
      </c>
      <c r="J57" s="273">
        <f t="shared" si="7"/>
        <v>0</v>
      </c>
      <c r="K57" s="205">
        <f t="shared" si="7"/>
        <v>0</v>
      </c>
      <c r="L57" s="518">
        <f t="shared" si="7"/>
        <v>0</v>
      </c>
      <c r="M57" s="273">
        <f t="shared" si="7"/>
        <v>0</v>
      </c>
      <c r="N57" s="205"/>
      <c r="O57" s="279">
        <v>0</v>
      </c>
      <c r="P57" s="1069">
        <f t="shared" si="0"/>
        <v>4169359.5692720003</v>
      </c>
      <c r="Q57" s="279">
        <v>0</v>
      </c>
      <c r="R57" s="303" t="e">
        <f>+E57/"#REF!*100"</f>
        <v>#VALUE!</v>
      </c>
    </row>
    <row r="58" spans="1:20" ht="15" hidden="1" customHeight="1">
      <c r="A58" s="304">
        <v>1</v>
      </c>
      <c r="B58" s="281" t="s">
        <v>334</v>
      </c>
      <c r="C58" s="518">
        <v>0</v>
      </c>
      <c r="D58" s="305">
        <v>0</v>
      </c>
      <c r="E58" s="219">
        <f>F58+I58+L58</f>
        <v>3379385.2131139999</v>
      </c>
      <c r="F58" s="213">
        <v>2795442.0380000002</v>
      </c>
      <c r="G58" s="213"/>
      <c r="H58" s="213"/>
      <c r="I58" s="218">
        <v>583943.17511399998</v>
      </c>
      <c r="J58" s="219"/>
      <c r="K58" s="213"/>
      <c r="L58" s="518">
        <v>0</v>
      </c>
      <c r="M58" s="219"/>
      <c r="N58" s="213"/>
      <c r="O58" s="279">
        <v>0</v>
      </c>
      <c r="P58" s="1069">
        <f t="shared" si="0"/>
        <v>2795442.0380000002</v>
      </c>
      <c r="Q58" s="279">
        <v>0</v>
      </c>
      <c r="R58" s="303" t="e">
        <f>+E58/"#REF!*100"</f>
        <v>#VALUE!</v>
      </c>
    </row>
    <row r="59" spans="1:20" ht="15.75" hidden="1" customHeight="1">
      <c r="A59" s="304">
        <v>2</v>
      </c>
      <c r="B59" s="281" t="s">
        <v>335</v>
      </c>
      <c r="C59" s="518">
        <f>+C60+C61</f>
        <v>0</v>
      </c>
      <c r="D59" s="305">
        <f>+D60+D61</f>
        <v>0</v>
      </c>
      <c r="E59" s="219">
        <f>F59+I59+L59</f>
        <v>1823444.8353929999</v>
      </c>
      <c r="F59" s="213">
        <f>+F60+F61</f>
        <v>1373917.5312719999</v>
      </c>
      <c r="G59" s="213"/>
      <c r="H59" s="213"/>
      <c r="I59" s="213">
        <f>+I60+I61</f>
        <v>449527.30412099999</v>
      </c>
      <c r="J59" s="219"/>
      <c r="K59" s="213"/>
      <c r="L59" s="518">
        <f>+L60+L61</f>
        <v>0</v>
      </c>
      <c r="M59" s="219"/>
      <c r="N59" s="213"/>
      <c r="O59" s="279">
        <v>0</v>
      </c>
      <c r="P59" s="1069">
        <f t="shared" si="0"/>
        <v>1373917.5312719999</v>
      </c>
      <c r="Q59" s="279">
        <v>0</v>
      </c>
      <c r="R59" s="303"/>
    </row>
    <row r="60" spans="1:20" ht="15.75" hidden="1" customHeight="1">
      <c r="A60" s="304" t="s">
        <v>291</v>
      </c>
      <c r="B60" s="281" t="s">
        <v>336</v>
      </c>
      <c r="C60" s="518">
        <v>0</v>
      </c>
      <c r="D60" s="305">
        <v>0</v>
      </c>
      <c r="E60" s="219">
        <f>F60+I60+L60</f>
        <v>1823444.8353929999</v>
      </c>
      <c r="F60" s="213">
        <v>1373917.5312719999</v>
      </c>
      <c r="G60" s="213"/>
      <c r="H60" s="213"/>
      <c r="I60" s="218">
        <v>449527.30412099999</v>
      </c>
      <c r="J60" s="219"/>
      <c r="K60" s="213"/>
      <c r="L60" s="518">
        <v>0</v>
      </c>
      <c r="M60" s="219"/>
      <c r="N60" s="213"/>
      <c r="O60" s="279">
        <v>0</v>
      </c>
      <c r="P60" s="1069">
        <f t="shared" si="0"/>
        <v>1373917.5312719999</v>
      </c>
      <c r="Q60" s="279">
        <v>0</v>
      </c>
      <c r="R60" s="306"/>
    </row>
    <row r="61" spans="1:20" ht="14.25" hidden="1" customHeight="1">
      <c r="A61" s="304" t="s">
        <v>293</v>
      </c>
      <c r="B61" s="281" t="s">
        <v>337</v>
      </c>
      <c r="C61" s="518">
        <v>0</v>
      </c>
      <c r="D61" s="305">
        <v>0</v>
      </c>
      <c r="E61" s="305">
        <v>0</v>
      </c>
      <c r="F61" s="305">
        <v>0</v>
      </c>
      <c r="G61" s="305"/>
      <c r="H61" s="305"/>
      <c r="I61" s="305">
        <v>0</v>
      </c>
      <c r="J61" s="219"/>
      <c r="K61" s="213"/>
      <c r="L61" s="518">
        <v>0</v>
      </c>
      <c r="M61" s="219"/>
      <c r="N61" s="213"/>
      <c r="O61" s="279">
        <v>0</v>
      </c>
      <c r="P61" s="1069">
        <f t="shared" si="0"/>
        <v>0</v>
      </c>
      <c r="Q61" s="279">
        <v>0</v>
      </c>
      <c r="R61" s="307"/>
      <c r="T61" s="103"/>
    </row>
    <row r="62" spans="1:20" s="119" customFormat="1" ht="14.25" hidden="1" customHeight="1">
      <c r="P62" s="1069">
        <f t="shared" si="0"/>
        <v>0</v>
      </c>
      <c r="R62" s="308"/>
    </row>
    <row r="63" spans="1:20" s="126" customFormat="1" ht="17.25" hidden="1" customHeight="1">
      <c r="A63" s="281"/>
      <c r="B63" s="270" t="s">
        <v>339</v>
      </c>
      <c r="C63" s="517">
        <f>+C13+C60</f>
        <v>7211277</v>
      </c>
      <c r="D63" s="276">
        <f>+D13+D57</f>
        <v>4089905</v>
      </c>
      <c r="E63" s="273" t="e">
        <f>+F63+I63+L63</f>
        <v>#REF!</v>
      </c>
      <c r="F63" s="205">
        <f>F13+F57+F55</f>
        <v>8682670.6331099998</v>
      </c>
      <c r="G63" s="205">
        <f>+G57+G13</f>
        <v>0</v>
      </c>
      <c r="H63" s="205">
        <f>+H57+H13</f>
        <v>0</v>
      </c>
      <c r="I63" s="205" t="e">
        <f>I13+I57+I55</f>
        <v>#REF!</v>
      </c>
      <c r="J63" s="205">
        <f>+J57+J13</f>
        <v>0</v>
      </c>
      <c r="K63" s="205">
        <f>+K57+K13</f>
        <v>0</v>
      </c>
      <c r="L63" s="205" t="e">
        <f>L13+L57+L55</f>
        <v>#REF!</v>
      </c>
      <c r="M63" s="273"/>
      <c r="N63" s="205"/>
      <c r="O63" s="273" t="e">
        <f>E63/C63*100</f>
        <v>#REF!</v>
      </c>
      <c r="P63" s="1069">
        <f t="shared" si="0"/>
        <v>4592765.6331099998</v>
      </c>
      <c r="Q63" s="273" t="e">
        <f>E63/D63*100</f>
        <v>#REF!</v>
      </c>
      <c r="R63" s="1064"/>
      <c r="T63" s="309"/>
    </row>
    <row r="64" spans="1:20" s="126" customFormat="1" ht="16.5" customHeight="1">
      <c r="A64" s="310"/>
      <c r="B64" s="311"/>
      <c r="C64" s="312"/>
      <c r="D64" s="313"/>
      <c r="E64" s="312"/>
      <c r="F64" s="314"/>
      <c r="G64" s="314"/>
      <c r="H64" s="314"/>
      <c r="I64" s="314"/>
      <c r="J64" s="314"/>
      <c r="K64" s="314"/>
      <c r="L64" s="314"/>
      <c r="M64" s="314"/>
      <c r="N64" s="314"/>
      <c r="O64" s="312"/>
      <c r="P64" s="312"/>
      <c r="Q64" s="312"/>
      <c r="R64" s="1064"/>
    </row>
    <row r="65" spans="1:21" s="126" customFormat="1" ht="16.5" hidden="1">
      <c r="A65" s="315"/>
      <c r="B65" s="316" t="s">
        <v>984</v>
      </c>
      <c r="C65" s="1681" t="s">
        <v>985</v>
      </c>
      <c r="D65" s="1681"/>
      <c r="E65" s="1681"/>
      <c r="F65" s="1681"/>
      <c r="G65" s="317"/>
      <c r="H65" s="399"/>
      <c r="I65" s="1682" t="s">
        <v>985</v>
      </c>
      <c r="J65" s="1682"/>
      <c r="K65" s="1682"/>
      <c r="L65" s="1682"/>
      <c r="M65" s="1682"/>
      <c r="N65" s="1682"/>
      <c r="O65" s="1682"/>
      <c r="P65" s="1682"/>
      <c r="Q65" s="1682"/>
      <c r="R65" s="1064"/>
    </row>
    <row r="66" spans="1:21" s="126" customFormat="1" ht="16.5" hidden="1">
      <c r="A66" s="315"/>
      <c r="B66" s="318" t="s">
        <v>340</v>
      </c>
      <c r="C66" s="1675" t="s">
        <v>239</v>
      </c>
      <c r="D66" s="1675"/>
      <c r="E66" s="1675"/>
      <c r="F66" s="1675"/>
      <c r="G66" s="317"/>
      <c r="H66" s="317"/>
      <c r="I66" s="1676" t="s">
        <v>85</v>
      </c>
      <c r="J66" s="1676"/>
      <c r="K66" s="1676"/>
      <c r="L66" s="1676"/>
      <c r="M66" s="1676"/>
      <c r="N66" s="1676"/>
      <c r="O66" s="1676"/>
      <c r="P66" s="1676"/>
      <c r="Q66" s="1676"/>
      <c r="R66" s="1064"/>
    </row>
    <row r="67" spans="1:21" s="126" customFormat="1" ht="16.5" hidden="1">
      <c r="A67" s="315"/>
      <c r="B67" s="318"/>
      <c r="C67" s="319"/>
      <c r="D67" s="320"/>
      <c r="E67" s="319"/>
      <c r="F67" s="472"/>
      <c r="G67" s="399"/>
      <c r="H67" s="399"/>
      <c r="I67" s="1676" t="s">
        <v>86</v>
      </c>
      <c r="J67" s="1676"/>
      <c r="K67" s="1676"/>
      <c r="L67" s="1676"/>
      <c r="M67" s="1676"/>
      <c r="N67" s="1676"/>
      <c r="O67" s="1676"/>
      <c r="P67" s="1676"/>
      <c r="Q67" s="1676"/>
      <c r="R67" s="1064"/>
      <c r="S67" s="926">
        <f>+'TH CHI_62_342_BTC'!E108</f>
        <v>16564755.349519003</v>
      </c>
      <c r="T67" s="927" t="s">
        <v>2723</v>
      </c>
    </row>
    <row r="68" spans="1:21" s="126" customFormat="1" ht="22.5" hidden="1" customHeight="1">
      <c r="A68" s="310"/>
      <c r="B68" s="311"/>
      <c r="C68" s="312"/>
      <c r="D68" s="313"/>
      <c r="E68" s="472">
        <v>16231065.309237</v>
      </c>
      <c r="F68" s="534">
        <v>10085385.322849</v>
      </c>
      <c r="G68" s="314"/>
      <c r="H68" s="399"/>
      <c r="I68" s="314">
        <v>4987347.1970929997</v>
      </c>
      <c r="J68" s="314"/>
      <c r="K68" s="314"/>
      <c r="L68" s="314"/>
      <c r="M68" s="314"/>
      <c r="N68" s="314"/>
      <c r="O68" s="312"/>
      <c r="P68" s="312"/>
      <c r="Q68" s="312"/>
      <c r="R68" s="1064"/>
      <c r="S68" s="309" t="e">
        <f>+E63-S67</f>
        <v>#REF!</v>
      </c>
    </row>
    <row r="69" spans="1:21" ht="16.5" hidden="1">
      <c r="B69" s="515"/>
      <c r="C69" s="325"/>
      <c r="D69" s="321"/>
      <c r="E69" s="572" t="e">
        <f>+E63-E68</f>
        <v>#REF!</v>
      </c>
      <c r="F69" s="572">
        <f>+F68-F63</f>
        <v>1402714.6897390001</v>
      </c>
      <c r="G69" s="577"/>
      <c r="H69" s="578"/>
      <c r="I69" s="572" t="e">
        <f>+I63-I68</f>
        <v>#REF!</v>
      </c>
      <c r="J69" s="1064"/>
      <c r="K69" s="324"/>
      <c r="L69" s="448">
        <v>1158332.789295</v>
      </c>
      <c r="M69" s="1064"/>
      <c r="N69" s="324"/>
      <c r="O69" s="1064"/>
      <c r="P69" s="1064"/>
      <c r="Q69" s="1064"/>
      <c r="R69" s="1065"/>
      <c r="S69" s="103"/>
      <c r="U69" s="506"/>
    </row>
    <row r="70" spans="1:21">
      <c r="B70" s="1066"/>
      <c r="C70" s="324"/>
      <c r="D70" s="1065"/>
      <c r="E70" s="103"/>
      <c r="F70" s="509"/>
      <c r="G70" s="325"/>
      <c r="H70" s="325"/>
      <c r="I70" s="131"/>
      <c r="J70" s="1066"/>
      <c r="K70" s="326"/>
      <c r="L70" s="572" t="e">
        <f>+L63-L69</f>
        <v>#REF!</v>
      </c>
      <c r="M70" s="1066"/>
      <c r="N70" s="326"/>
      <c r="O70" s="1066"/>
      <c r="P70" s="1066"/>
      <c r="Q70" s="1066"/>
    </row>
    <row r="71" spans="1:21" ht="15" customHeight="1">
      <c r="E71" s="125"/>
      <c r="F71" s="327"/>
      <c r="G71" s="327"/>
      <c r="H71" s="327"/>
      <c r="I71" s="1065"/>
      <c r="J71" s="1065"/>
      <c r="K71" s="328"/>
      <c r="L71" s="1065"/>
      <c r="M71" s="1065"/>
      <c r="N71" s="328"/>
      <c r="O71" s="1065"/>
      <c r="P71" s="1065"/>
      <c r="Q71" s="1065"/>
    </row>
    <row r="72" spans="1:21">
      <c r="E72" s="329"/>
      <c r="F72" s="327"/>
      <c r="I72" s="506"/>
      <c r="L72" s="103"/>
    </row>
    <row r="73" spans="1:21">
      <c r="E73" s="125"/>
      <c r="F73" s="330"/>
      <c r="I73" s="103"/>
      <c r="L73" s="103"/>
      <c r="S73" s="103"/>
    </row>
    <row r="74" spans="1:21">
      <c r="E74" s="103"/>
      <c r="I74" s="103"/>
      <c r="K74" s="330"/>
      <c r="L74" s="103"/>
    </row>
    <row r="75" spans="1:21">
      <c r="F75" s="330"/>
      <c r="I75" s="103"/>
    </row>
    <row r="76" spans="1:21">
      <c r="E76" s="103"/>
      <c r="F76" s="330"/>
    </row>
    <row r="77" spans="1:21">
      <c r="F77" s="330"/>
      <c r="I77" s="103"/>
    </row>
    <row r="78" spans="1:21">
      <c r="F78" s="330"/>
    </row>
    <row r="82" spans="2:2">
      <c r="B82" s="103"/>
    </row>
  </sheetData>
  <sheetProtection selectLockedCells="1" selectUnlockedCells="1"/>
  <mergeCells count="14">
    <mergeCell ref="A4:Q4"/>
    <mergeCell ref="A5:Q5"/>
    <mergeCell ref="A8:A9"/>
    <mergeCell ref="B8:B9"/>
    <mergeCell ref="D8:D9"/>
    <mergeCell ref="E8:E9"/>
    <mergeCell ref="F8:F9"/>
    <mergeCell ref="Q8:Q9"/>
    <mergeCell ref="D1:Q1"/>
    <mergeCell ref="C65:F65"/>
    <mergeCell ref="I65:Q65"/>
    <mergeCell ref="C66:F66"/>
    <mergeCell ref="I66:Q66"/>
    <mergeCell ref="I67:Q67"/>
  </mergeCells>
  <printOptions horizontalCentered="1"/>
  <pageMargins left="0.19685039370078741" right="0.19685039370078741" top="0.59055118110236227" bottom="0.59055118110236227" header="0" footer="0.23622047244094491"/>
  <pageSetup paperSize="9" firstPageNumber="0" orientation="portrait" r:id="rId1"/>
  <headerFooter differentFirst="1" alignWithMargins="0">
    <oddFooter>&amp;C&amp;"Times New Roman,Regular"&amp;12&amp;P</oddFoot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51"/>
  <sheetViews>
    <sheetView zoomScale="115" zoomScaleNormal="115" workbookViewId="0">
      <selection activeCell="K19" sqref="K19"/>
    </sheetView>
  </sheetViews>
  <sheetFormatPr defaultRowHeight="16.5"/>
  <cols>
    <col min="1" max="1" width="3.85546875" style="962" customWidth="1"/>
    <col min="2" max="2" width="54.85546875" style="960" customWidth="1"/>
    <col min="3" max="3" width="9" style="960" hidden="1" customWidth="1"/>
    <col min="4" max="4" width="8.7109375" style="960" hidden="1" customWidth="1"/>
    <col min="5" max="5" width="9.140625" style="960" hidden="1" customWidth="1"/>
    <col min="6" max="6" width="10.42578125" style="960" customWidth="1"/>
    <col min="7" max="7" width="9.7109375" style="960" customWidth="1"/>
    <col min="8" max="8" width="9.7109375" style="961" customWidth="1"/>
    <col min="9" max="9" width="8.42578125" style="960" customWidth="1"/>
    <col min="10" max="10" width="6.85546875" style="960" customWidth="1"/>
    <col min="11" max="11" width="7.42578125" style="960" customWidth="1"/>
    <col min="12" max="12" width="6.42578125" style="960" customWidth="1"/>
    <col min="13" max="13" width="7.5703125" style="960" customWidth="1"/>
    <col min="14" max="14" width="8" style="960" customWidth="1"/>
    <col min="15" max="15" width="9.42578125" style="960" customWidth="1"/>
    <col min="16" max="18" width="0" style="960" hidden="1" customWidth="1"/>
    <col min="19" max="19" width="11.42578125" style="960" hidden="1" customWidth="1"/>
    <col min="20" max="20" width="23.85546875" style="960" hidden="1" customWidth="1"/>
    <col min="21" max="21" width="18.7109375" style="960" hidden="1" customWidth="1"/>
    <col min="22" max="22" width="12.7109375" style="960" hidden="1" customWidth="1"/>
    <col min="23" max="23" width="9.140625" style="960"/>
    <col min="24" max="24" width="24.85546875" style="960" customWidth="1"/>
    <col min="25" max="16384" width="9.140625" style="960"/>
  </cols>
  <sheetData>
    <row r="1" spans="1:24" s="966" customFormat="1" ht="17.100000000000001" customHeight="1">
      <c r="A1" s="1467" t="s">
        <v>3123</v>
      </c>
      <c r="B1" s="1468"/>
      <c r="H1" s="1469"/>
      <c r="M1" s="1895" t="s">
        <v>3124</v>
      </c>
      <c r="N1" s="1895"/>
      <c r="O1" s="1895"/>
    </row>
    <row r="2" spans="1:24" s="966" customFormat="1" ht="17.100000000000001" customHeight="1">
      <c r="A2" s="1467" t="s">
        <v>2878</v>
      </c>
      <c r="B2" s="1470"/>
      <c r="H2" s="1469"/>
      <c r="M2" s="1470"/>
      <c r="N2" s="1470"/>
      <c r="O2" s="1470"/>
    </row>
    <row r="3" spans="1:24" ht="31.5" customHeight="1">
      <c r="A3" s="1259"/>
      <c r="B3" s="1259"/>
      <c r="M3" s="1259"/>
      <c r="N3" s="1259"/>
      <c r="O3" s="1259"/>
    </row>
    <row r="4" spans="1:24" ht="23.25" customHeight="1">
      <c r="A4" s="1749" t="s">
        <v>2740</v>
      </c>
      <c r="B4" s="1749"/>
      <c r="C4" s="1749"/>
      <c r="D4" s="1749"/>
      <c r="E4" s="1749"/>
      <c r="F4" s="1749"/>
      <c r="G4" s="1749"/>
      <c r="H4" s="1749"/>
      <c r="I4" s="1749"/>
      <c r="J4" s="1749"/>
      <c r="K4" s="1749"/>
      <c r="L4" s="1749"/>
      <c r="M4" s="1749"/>
      <c r="N4" s="1749"/>
      <c r="O4" s="1749"/>
      <c r="P4" s="1749"/>
      <c r="Q4" s="1749"/>
      <c r="R4" s="1749"/>
    </row>
    <row r="5" spans="1:24" ht="21.75" customHeight="1">
      <c r="A5" s="1750" t="s">
        <v>3125</v>
      </c>
      <c r="B5" s="1750"/>
      <c r="C5" s="1750"/>
      <c r="D5" s="1750"/>
      <c r="E5" s="1750"/>
      <c r="F5" s="1750"/>
      <c r="G5" s="1750"/>
      <c r="H5" s="1750"/>
      <c r="I5" s="1750"/>
      <c r="J5" s="1750"/>
      <c r="K5" s="1750"/>
      <c r="L5" s="1750"/>
      <c r="M5" s="1750"/>
      <c r="N5" s="1750"/>
      <c r="O5" s="1750"/>
      <c r="P5" s="1260"/>
      <c r="Q5" s="1260"/>
      <c r="R5" s="1260"/>
    </row>
    <row r="6" spans="1:24" ht="18.75" customHeight="1">
      <c r="A6" s="1260"/>
      <c r="B6" s="1260"/>
      <c r="C6" s="1260"/>
      <c r="D6" s="1260"/>
      <c r="E6" s="1260"/>
      <c r="F6" s="1260"/>
      <c r="G6" s="1260"/>
      <c r="H6" s="1260"/>
      <c r="I6" s="1260"/>
      <c r="J6" s="1260"/>
      <c r="K6" s="1260"/>
      <c r="L6" s="1260"/>
      <c r="M6" s="1260"/>
      <c r="N6" s="1260"/>
      <c r="O6" s="1260"/>
      <c r="P6" s="1260"/>
      <c r="Q6" s="1260"/>
      <c r="R6" s="1260"/>
    </row>
    <row r="7" spans="1:24" ht="23.25" customHeight="1">
      <c r="M7" s="1751" t="s">
        <v>44</v>
      </c>
      <c r="N7" s="1751"/>
      <c r="O7" s="1751"/>
      <c r="P7" s="1751"/>
      <c r="Q7" s="1751"/>
      <c r="R7" s="1751"/>
    </row>
    <row r="8" spans="1:24" s="1258" customFormat="1" ht="20.100000000000001" customHeight="1">
      <c r="A8" s="1754" t="s">
        <v>45</v>
      </c>
      <c r="B8" s="1754" t="s">
        <v>543</v>
      </c>
      <c r="C8" s="1754" t="s">
        <v>123</v>
      </c>
      <c r="D8" s="1754"/>
      <c r="E8" s="1754"/>
      <c r="F8" s="1754" t="s">
        <v>96</v>
      </c>
      <c r="G8" s="1754"/>
      <c r="H8" s="1754"/>
      <c r="I8" s="1754"/>
      <c r="J8" s="1754"/>
      <c r="K8" s="1754"/>
      <c r="L8" s="1754"/>
      <c r="M8" s="1754"/>
      <c r="N8" s="1754"/>
      <c r="O8" s="1754"/>
      <c r="P8" s="1753" t="s">
        <v>544</v>
      </c>
      <c r="Q8" s="1752"/>
      <c r="R8" s="1752"/>
    </row>
    <row r="9" spans="1:24" s="1258" customFormat="1" ht="20.100000000000001" customHeight="1">
      <c r="A9" s="1754"/>
      <c r="B9" s="1754"/>
      <c r="C9" s="1754" t="s">
        <v>240</v>
      </c>
      <c r="D9" s="1754" t="s">
        <v>545</v>
      </c>
      <c r="E9" s="1754" t="s">
        <v>546</v>
      </c>
      <c r="F9" s="1754" t="s">
        <v>132</v>
      </c>
      <c r="G9" s="1754" t="s">
        <v>2981</v>
      </c>
      <c r="H9" s="1756" t="s">
        <v>2980</v>
      </c>
      <c r="I9" s="1754" t="s">
        <v>2983</v>
      </c>
      <c r="J9" s="1754" t="s">
        <v>547</v>
      </c>
      <c r="K9" s="1754" t="s">
        <v>548</v>
      </c>
      <c r="L9" s="1754"/>
      <c r="M9" s="1754"/>
      <c r="N9" s="1754" t="s">
        <v>2982</v>
      </c>
      <c r="O9" s="1754" t="s">
        <v>549</v>
      </c>
      <c r="P9" s="1753" t="s">
        <v>240</v>
      </c>
      <c r="Q9" s="1752" t="s">
        <v>550</v>
      </c>
      <c r="R9" s="1752" t="s">
        <v>551</v>
      </c>
    </row>
    <row r="10" spans="1:24" s="1258" customFormat="1" ht="60" customHeight="1">
      <c r="A10" s="1754"/>
      <c r="B10" s="1754"/>
      <c r="C10" s="1754"/>
      <c r="D10" s="1754"/>
      <c r="E10" s="1754"/>
      <c r="F10" s="1754"/>
      <c r="G10" s="1754"/>
      <c r="H10" s="1756"/>
      <c r="I10" s="1754"/>
      <c r="J10" s="1754"/>
      <c r="K10" s="1476" t="s">
        <v>240</v>
      </c>
      <c r="L10" s="1476" t="s">
        <v>550</v>
      </c>
      <c r="M10" s="1476" t="s">
        <v>552</v>
      </c>
      <c r="N10" s="1754"/>
      <c r="O10" s="1754"/>
      <c r="P10" s="1753"/>
      <c r="Q10" s="1752"/>
      <c r="R10" s="1752"/>
    </row>
    <row r="11" spans="1:24" s="1258" customFormat="1" ht="20.100000000000001" customHeight="1">
      <c r="A11" s="1477" t="s">
        <v>57</v>
      </c>
      <c r="B11" s="1477" t="s">
        <v>80</v>
      </c>
      <c r="C11" s="1477">
        <v>1</v>
      </c>
      <c r="D11" s="1477">
        <v>2</v>
      </c>
      <c r="E11" s="1477">
        <v>3</v>
      </c>
      <c r="F11" s="1477">
        <v>1</v>
      </c>
      <c r="G11" s="1477">
        <v>2</v>
      </c>
      <c r="H11" s="1478">
        <v>3</v>
      </c>
      <c r="I11" s="1477">
        <v>4</v>
      </c>
      <c r="J11" s="1477">
        <v>5</v>
      </c>
      <c r="K11" s="1477">
        <v>6</v>
      </c>
      <c r="L11" s="1477">
        <v>7</v>
      </c>
      <c r="M11" s="1477">
        <v>8</v>
      </c>
      <c r="N11" s="1477">
        <v>9</v>
      </c>
      <c r="O11" s="1477">
        <v>10</v>
      </c>
      <c r="P11" s="1474" t="s">
        <v>553</v>
      </c>
      <c r="Q11" s="1257" t="s">
        <v>554</v>
      </c>
      <c r="R11" s="1257">
        <v>15</v>
      </c>
      <c r="T11" s="1471"/>
      <c r="U11" s="1472">
        <v>10505673.049838001</v>
      </c>
      <c r="V11" s="1473">
        <f>+F12-U11</f>
        <v>8.5339993238449097E-3</v>
      </c>
      <c r="X11" s="1471"/>
    </row>
    <row r="12" spans="1:24" s="966" customFormat="1" ht="20.100000000000001" customHeight="1">
      <c r="A12" s="1252"/>
      <c r="B12" s="1476" t="s">
        <v>343</v>
      </c>
      <c r="C12" s="1479"/>
      <c r="D12" s="1479"/>
      <c r="E12" s="1479"/>
      <c r="F12" s="1480">
        <f t="shared" ref="F12:O12" si="0">+F13+F192+F203+F242+F243+F244+F245+F246+F247</f>
        <v>10505673.058372</v>
      </c>
      <c r="G12" s="1480">
        <f t="shared" si="0"/>
        <v>1703453.2417049999</v>
      </c>
      <c r="H12" s="1480">
        <f t="shared" si="0"/>
        <v>2093360.596355</v>
      </c>
      <c r="I12" s="1480">
        <f t="shared" si="0"/>
        <v>403.904653</v>
      </c>
      <c r="J12" s="1480">
        <f t="shared" si="0"/>
        <v>1000</v>
      </c>
      <c r="K12" s="1480">
        <f t="shared" si="0"/>
        <v>14764.986999999999</v>
      </c>
      <c r="L12" s="1480">
        <f t="shared" si="0"/>
        <v>181.09700000000001</v>
      </c>
      <c r="M12" s="1480">
        <f t="shared" si="0"/>
        <v>14583.89</v>
      </c>
      <c r="N12" s="1480">
        <f t="shared" si="0"/>
        <v>669297.34265900007</v>
      </c>
      <c r="O12" s="1480">
        <f t="shared" si="0"/>
        <v>1736404.7300210001</v>
      </c>
      <c r="P12" s="974"/>
      <c r="Q12" s="965"/>
      <c r="R12" s="965"/>
      <c r="V12" s="967">
        <v>13673</v>
      </c>
    </row>
    <row r="13" spans="1:24" s="966" customFormat="1" ht="20.100000000000001" customHeight="1">
      <c r="A13" s="1252" t="s">
        <v>108</v>
      </c>
      <c r="B13" s="1481" t="s">
        <v>555</v>
      </c>
      <c r="C13" s="1482"/>
      <c r="D13" s="1482"/>
      <c r="E13" s="1482"/>
      <c r="F13" s="1480">
        <f>SUM(F14:F191)</f>
        <v>1619793.8885179993</v>
      </c>
      <c r="G13" s="1483">
        <v>0</v>
      </c>
      <c r="H13" s="1480">
        <f>SUM(H14:H191)</f>
        <v>1605209.9985179999</v>
      </c>
      <c r="I13" s="1483">
        <v>0</v>
      </c>
      <c r="J13" s="1483">
        <v>0</v>
      </c>
      <c r="K13" s="1480">
        <f>SUM(K14:K191)</f>
        <v>14583.89</v>
      </c>
      <c r="L13" s="1480">
        <f>SUM(L14:L191)</f>
        <v>0</v>
      </c>
      <c r="M13" s="1480">
        <f>SUM(M14:M191)</f>
        <v>14583.89</v>
      </c>
      <c r="N13" s="1483">
        <v>0</v>
      </c>
      <c r="O13" s="1483">
        <v>0</v>
      </c>
      <c r="P13" s="1475"/>
      <c r="Q13" s="968"/>
      <c r="R13" s="968"/>
      <c r="T13" s="967"/>
      <c r="V13" s="967">
        <f>+V12-V11</f>
        <v>13672.991466000676</v>
      </c>
    </row>
    <row r="14" spans="1:24" ht="20.100000000000001" customHeight="1">
      <c r="A14" s="1484" t="s">
        <v>104</v>
      </c>
      <c r="B14" s="1485" t="s">
        <v>2985</v>
      </c>
      <c r="C14" s="1486"/>
      <c r="D14" s="1486"/>
      <c r="E14" s="1486"/>
      <c r="F14" s="1487">
        <f>+H14+K14</f>
        <v>3271.7449449999999</v>
      </c>
      <c r="G14" s="1483">
        <v>0</v>
      </c>
      <c r="H14" s="1487">
        <v>3271.7449449999999</v>
      </c>
      <c r="I14" s="1483">
        <v>0</v>
      </c>
      <c r="J14" s="1483">
        <v>0</v>
      </c>
      <c r="K14" s="1483">
        <f>+L14+M14</f>
        <v>0</v>
      </c>
      <c r="L14" s="1483">
        <v>0</v>
      </c>
      <c r="M14" s="1483">
        <v>0</v>
      </c>
      <c r="N14" s="1483">
        <v>0</v>
      </c>
      <c r="O14" s="1483">
        <v>0</v>
      </c>
      <c r="P14" s="970"/>
      <c r="Q14" s="969"/>
      <c r="R14" s="969"/>
      <c r="S14" s="961"/>
      <c r="V14" s="964">
        <f>+N12+K12</f>
        <v>684062.32965900004</v>
      </c>
    </row>
    <row r="15" spans="1:24" ht="20.100000000000001" customHeight="1">
      <c r="A15" s="1484" t="s">
        <v>105</v>
      </c>
      <c r="B15" s="1485" t="s">
        <v>2984</v>
      </c>
      <c r="C15" s="1486"/>
      <c r="D15" s="1486"/>
      <c r="E15" s="1486"/>
      <c r="F15" s="1487">
        <f t="shared" ref="F15:F78" si="1">+H15+K15</f>
        <v>1989.1595480000001</v>
      </c>
      <c r="G15" s="1483">
        <v>0</v>
      </c>
      <c r="H15" s="1487">
        <v>1989.1595480000001</v>
      </c>
      <c r="I15" s="1483">
        <v>0</v>
      </c>
      <c r="J15" s="1483">
        <v>0</v>
      </c>
      <c r="K15" s="1483">
        <f t="shared" ref="K15:K78" si="2">+L15+M15</f>
        <v>0</v>
      </c>
      <c r="L15" s="1483">
        <v>0</v>
      </c>
      <c r="M15" s="1483">
        <v>0</v>
      </c>
      <c r="N15" s="1483">
        <v>0</v>
      </c>
      <c r="O15" s="1483">
        <v>0</v>
      </c>
      <c r="P15" s="970"/>
      <c r="Q15" s="969"/>
      <c r="R15" s="969"/>
      <c r="T15" s="964"/>
      <c r="V15" s="964">
        <f>+'TH CHI_62_342_51_52_53_31'!F80</f>
        <v>684062.32112500002</v>
      </c>
    </row>
    <row r="16" spans="1:24" ht="20.100000000000001" customHeight="1">
      <c r="A16" s="1484" t="s">
        <v>106</v>
      </c>
      <c r="B16" s="1485" t="s">
        <v>2986</v>
      </c>
      <c r="C16" s="1486"/>
      <c r="D16" s="1486"/>
      <c r="E16" s="1486"/>
      <c r="F16" s="1487">
        <f t="shared" si="1"/>
        <v>305.501531</v>
      </c>
      <c r="G16" s="1483">
        <v>0</v>
      </c>
      <c r="H16" s="1487">
        <v>305.501531</v>
      </c>
      <c r="I16" s="1483">
        <v>0</v>
      </c>
      <c r="J16" s="1483">
        <v>0</v>
      </c>
      <c r="K16" s="1483">
        <f t="shared" si="2"/>
        <v>0</v>
      </c>
      <c r="L16" s="1483">
        <v>0</v>
      </c>
      <c r="M16" s="1483">
        <v>0</v>
      </c>
      <c r="N16" s="1483">
        <v>0</v>
      </c>
      <c r="O16" s="1483">
        <v>0</v>
      </c>
      <c r="P16" s="970"/>
      <c r="Q16" s="969"/>
      <c r="R16" s="969"/>
      <c r="V16" s="964">
        <f>+V14-V15</f>
        <v>8.5340000223368406E-3</v>
      </c>
    </row>
    <row r="17" spans="1:20" ht="20.100000000000001" customHeight="1">
      <c r="A17" s="1484" t="s">
        <v>128</v>
      </c>
      <c r="B17" s="1485" t="s">
        <v>13</v>
      </c>
      <c r="C17" s="1486"/>
      <c r="D17" s="1486"/>
      <c r="E17" s="1486"/>
      <c r="F17" s="1487">
        <f>+H17+K17</f>
        <v>9033.7436429999998</v>
      </c>
      <c r="G17" s="1483">
        <v>0</v>
      </c>
      <c r="H17" s="1487">
        <v>7526.3036430000002</v>
      </c>
      <c r="I17" s="1483">
        <v>0</v>
      </c>
      <c r="J17" s="1483">
        <v>0</v>
      </c>
      <c r="K17" s="1488">
        <f t="shared" si="2"/>
        <v>1507.44</v>
      </c>
      <c r="L17" s="1488"/>
      <c r="M17" s="1487">
        <v>1507.44</v>
      </c>
      <c r="N17" s="1483">
        <v>0</v>
      </c>
      <c r="O17" s="1483">
        <v>0</v>
      </c>
      <c r="P17" s="970"/>
      <c r="Q17" s="969"/>
      <c r="R17" s="969"/>
    </row>
    <row r="18" spans="1:20" ht="20.100000000000001" customHeight="1">
      <c r="A18" s="1484" t="s">
        <v>359</v>
      </c>
      <c r="B18" s="1485" t="s">
        <v>2987</v>
      </c>
      <c r="C18" s="1486"/>
      <c r="D18" s="1486"/>
      <c r="E18" s="1486"/>
      <c r="F18" s="1487">
        <f t="shared" si="1"/>
        <v>300.82200999999998</v>
      </c>
      <c r="G18" s="1483">
        <v>0</v>
      </c>
      <c r="H18" s="1487">
        <v>300.82200999999998</v>
      </c>
      <c r="I18" s="1483">
        <v>0</v>
      </c>
      <c r="J18" s="1483">
        <v>0</v>
      </c>
      <c r="K18" s="1483">
        <f t="shared" si="2"/>
        <v>0</v>
      </c>
      <c r="L18" s="1483">
        <v>0</v>
      </c>
      <c r="M18" s="1483">
        <v>0</v>
      </c>
      <c r="N18" s="1483">
        <v>0</v>
      </c>
      <c r="O18" s="1483">
        <v>0</v>
      </c>
      <c r="P18" s="970"/>
      <c r="Q18" s="969"/>
      <c r="R18" s="969"/>
    </row>
    <row r="19" spans="1:20" ht="20.100000000000001" customHeight="1">
      <c r="A19" s="1484" t="s">
        <v>107</v>
      </c>
      <c r="B19" s="1485" t="s">
        <v>2988</v>
      </c>
      <c r="C19" s="1486"/>
      <c r="D19" s="1486"/>
      <c r="E19" s="1486"/>
      <c r="F19" s="1487">
        <f t="shared" si="1"/>
        <v>4689.2733520000002</v>
      </c>
      <c r="G19" s="1483">
        <v>0</v>
      </c>
      <c r="H19" s="1487">
        <v>4689.2733520000002</v>
      </c>
      <c r="I19" s="1483">
        <v>0</v>
      </c>
      <c r="J19" s="1483">
        <v>0</v>
      </c>
      <c r="K19" s="1483">
        <f t="shared" si="2"/>
        <v>0</v>
      </c>
      <c r="L19" s="1483">
        <v>0</v>
      </c>
      <c r="M19" s="1483">
        <v>0</v>
      </c>
      <c r="N19" s="1483">
        <v>0</v>
      </c>
      <c r="O19" s="1483">
        <v>0</v>
      </c>
      <c r="P19" s="970"/>
      <c r="Q19" s="969"/>
      <c r="R19" s="969"/>
    </row>
    <row r="20" spans="1:20" ht="20.100000000000001" customHeight="1">
      <c r="A20" s="1484" t="s">
        <v>433</v>
      </c>
      <c r="B20" s="1485" t="s">
        <v>2741</v>
      </c>
      <c r="C20" s="1486"/>
      <c r="D20" s="1486"/>
      <c r="E20" s="1486"/>
      <c r="F20" s="1487">
        <f>+H20+K20</f>
        <v>654.49785999999995</v>
      </c>
      <c r="G20" s="1483">
        <v>0</v>
      </c>
      <c r="H20" s="1487">
        <v>654.49785999999995</v>
      </c>
      <c r="I20" s="1483">
        <v>0</v>
      </c>
      <c r="J20" s="1483">
        <v>0</v>
      </c>
      <c r="K20" s="1483">
        <f t="shared" si="2"/>
        <v>0</v>
      </c>
      <c r="L20" s="1483">
        <v>0</v>
      </c>
      <c r="M20" s="1483">
        <v>0</v>
      </c>
      <c r="N20" s="1483">
        <v>0</v>
      </c>
      <c r="O20" s="1483">
        <v>0</v>
      </c>
      <c r="P20" s="970"/>
      <c r="Q20" s="969"/>
      <c r="R20" s="969"/>
      <c r="T20" s="964">
        <f>+M13+N240</f>
        <v>50721.851504000006</v>
      </c>
    </row>
    <row r="21" spans="1:20" ht="20.100000000000001" customHeight="1">
      <c r="A21" s="1484" t="s">
        <v>434</v>
      </c>
      <c r="B21" s="1485" t="s">
        <v>3090</v>
      </c>
      <c r="C21" s="1486"/>
      <c r="D21" s="1486"/>
      <c r="E21" s="1486"/>
      <c r="F21" s="1487">
        <f t="shared" si="1"/>
        <v>211.26599999999999</v>
      </c>
      <c r="G21" s="1483">
        <v>0</v>
      </c>
      <c r="H21" s="1487">
        <v>211.26599999999999</v>
      </c>
      <c r="I21" s="1483">
        <v>0</v>
      </c>
      <c r="J21" s="1483">
        <v>0</v>
      </c>
      <c r="K21" s="1483">
        <f t="shared" si="2"/>
        <v>0</v>
      </c>
      <c r="L21" s="1483">
        <v>0</v>
      </c>
      <c r="M21" s="1483">
        <v>0</v>
      </c>
      <c r="N21" s="1483">
        <v>0</v>
      </c>
      <c r="O21" s="1483">
        <v>0</v>
      </c>
      <c r="P21" s="970"/>
      <c r="Q21" s="969"/>
      <c r="R21" s="969"/>
      <c r="S21" s="964"/>
      <c r="T21" s="964"/>
    </row>
    <row r="22" spans="1:20" ht="20.100000000000001" customHeight="1">
      <c r="A22" s="1484" t="s">
        <v>436</v>
      </c>
      <c r="B22" s="1485" t="s">
        <v>2989</v>
      </c>
      <c r="C22" s="1486"/>
      <c r="D22" s="1486"/>
      <c r="E22" s="1486"/>
      <c r="F22" s="1487">
        <f t="shared" si="1"/>
        <v>82.337100000000007</v>
      </c>
      <c r="G22" s="1483">
        <v>0</v>
      </c>
      <c r="H22" s="1487">
        <v>82.337100000000007</v>
      </c>
      <c r="I22" s="1483">
        <v>0</v>
      </c>
      <c r="J22" s="1483">
        <v>0</v>
      </c>
      <c r="K22" s="1483">
        <f t="shared" si="2"/>
        <v>0</v>
      </c>
      <c r="L22" s="1483">
        <v>0</v>
      </c>
      <c r="M22" s="1483">
        <v>0</v>
      </c>
      <c r="N22" s="1483">
        <v>0</v>
      </c>
      <c r="O22" s="1483">
        <v>0</v>
      </c>
      <c r="P22" s="970"/>
      <c r="Q22" s="969"/>
      <c r="R22" s="969"/>
      <c r="T22" s="964">
        <f>+F13+F203</f>
        <v>2144082.4478589995</v>
      </c>
    </row>
    <row r="23" spans="1:20" ht="32.1" customHeight="1">
      <c r="A23" s="1484" t="s">
        <v>438</v>
      </c>
      <c r="B23" s="1485" t="s">
        <v>2990</v>
      </c>
      <c r="C23" s="1486"/>
      <c r="D23" s="1486"/>
      <c r="E23" s="1486"/>
      <c r="F23" s="1487">
        <f t="shared" si="1"/>
        <v>219.131</v>
      </c>
      <c r="G23" s="1483">
        <v>0</v>
      </c>
      <c r="H23" s="1487">
        <v>219.131</v>
      </c>
      <c r="I23" s="1483">
        <v>0</v>
      </c>
      <c r="J23" s="1483">
        <v>0</v>
      </c>
      <c r="K23" s="1483">
        <f t="shared" si="2"/>
        <v>0</v>
      </c>
      <c r="L23" s="1483">
        <v>0</v>
      </c>
      <c r="M23" s="1483">
        <v>0</v>
      </c>
      <c r="N23" s="1483">
        <v>0</v>
      </c>
      <c r="O23" s="1483">
        <v>0</v>
      </c>
      <c r="P23" s="970"/>
      <c r="Q23" s="969"/>
      <c r="R23" s="969"/>
    </row>
    <row r="24" spans="1:20" ht="20.100000000000001" customHeight="1">
      <c r="A24" s="1484" t="s">
        <v>440</v>
      </c>
      <c r="B24" s="1485" t="s">
        <v>2991</v>
      </c>
      <c r="C24" s="1486"/>
      <c r="D24" s="1486"/>
      <c r="E24" s="1486"/>
      <c r="F24" s="1487">
        <f t="shared" si="1"/>
        <v>1457.0003939999999</v>
      </c>
      <c r="G24" s="1483">
        <v>0</v>
      </c>
      <c r="H24" s="1487">
        <v>1457.0003939999999</v>
      </c>
      <c r="I24" s="1483">
        <v>0</v>
      </c>
      <c r="J24" s="1483">
        <v>0</v>
      </c>
      <c r="K24" s="1483">
        <f t="shared" si="2"/>
        <v>0</v>
      </c>
      <c r="L24" s="1483">
        <v>0</v>
      </c>
      <c r="M24" s="1483">
        <v>0</v>
      </c>
      <c r="N24" s="1483">
        <v>0</v>
      </c>
      <c r="O24" s="1483">
        <v>0</v>
      </c>
      <c r="P24" s="970"/>
      <c r="Q24" s="969"/>
      <c r="R24" s="969"/>
      <c r="S24" s="964"/>
    </row>
    <row r="25" spans="1:20" ht="20.100000000000001" customHeight="1">
      <c r="A25" s="1484" t="s">
        <v>441</v>
      </c>
      <c r="B25" s="1485" t="s">
        <v>2992</v>
      </c>
      <c r="C25" s="1486"/>
      <c r="D25" s="1486"/>
      <c r="E25" s="1486"/>
      <c r="F25" s="1487">
        <f t="shared" si="1"/>
        <v>634</v>
      </c>
      <c r="G25" s="1483">
        <v>0</v>
      </c>
      <c r="H25" s="1487">
        <v>634</v>
      </c>
      <c r="I25" s="1483">
        <v>0</v>
      </c>
      <c r="J25" s="1483">
        <v>0</v>
      </c>
      <c r="K25" s="1483">
        <f t="shared" si="2"/>
        <v>0</v>
      </c>
      <c r="L25" s="1483">
        <v>0</v>
      </c>
      <c r="M25" s="1483">
        <v>0</v>
      </c>
      <c r="N25" s="1483">
        <v>0</v>
      </c>
      <c r="O25" s="1483">
        <v>0</v>
      </c>
      <c r="P25" s="970"/>
      <c r="Q25" s="969"/>
      <c r="R25" s="969"/>
    </row>
    <row r="26" spans="1:20" ht="20.100000000000001" customHeight="1">
      <c r="A26" s="1484" t="s">
        <v>442</v>
      </c>
      <c r="B26" s="1485" t="s">
        <v>2993</v>
      </c>
      <c r="C26" s="1486"/>
      <c r="D26" s="1486"/>
      <c r="E26" s="1486"/>
      <c r="F26" s="1487">
        <f t="shared" si="1"/>
        <v>14052.215319000001</v>
      </c>
      <c r="G26" s="1483">
        <v>0</v>
      </c>
      <c r="H26" s="1487">
        <v>14052.215319000001</v>
      </c>
      <c r="I26" s="1483">
        <v>0</v>
      </c>
      <c r="J26" s="1483">
        <v>0</v>
      </c>
      <c r="K26" s="1483">
        <f t="shared" si="2"/>
        <v>0</v>
      </c>
      <c r="L26" s="1483">
        <v>0</v>
      </c>
      <c r="M26" s="1483">
        <v>0</v>
      </c>
      <c r="N26" s="1483">
        <v>0</v>
      </c>
      <c r="O26" s="1483">
        <v>0</v>
      </c>
      <c r="P26" s="970"/>
      <c r="Q26" s="969"/>
      <c r="R26" s="969"/>
    </row>
    <row r="27" spans="1:20" ht="20.100000000000001" customHeight="1">
      <c r="A27" s="1484" t="s">
        <v>443</v>
      </c>
      <c r="B27" s="1485" t="s">
        <v>2742</v>
      </c>
      <c r="C27" s="1486"/>
      <c r="D27" s="1486"/>
      <c r="E27" s="1486"/>
      <c r="F27" s="1487">
        <f t="shared" si="1"/>
        <v>939.15925800000002</v>
      </c>
      <c r="G27" s="1483">
        <v>0</v>
      </c>
      <c r="H27" s="1487">
        <v>939.15925800000002</v>
      </c>
      <c r="I27" s="1483">
        <v>0</v>
      </c>
      <c r="J27" s="1483">
        <v>0</v>
      </c>
      <c r="K27" s="1483">
        <f t="shared" si="2"/>
        <v>0</v>
      </c>
      <c r="L27" s="1483">
        <v>0</v>
      </c>
      <c r="M27" s="1483">
        <v>0</v>
      </c>
      <c r="N27" s="1483">
        <v>0</v>
      </c>
      <c r="O27" s="1483">
        <v>0</v>
      </c>
      <c r="P27" s="970"/>
      <c r="Q27" s="969"/>
      <c r="R27" s="969"/>
    </row>
    <row r="28" spans="1:20" ht="20.100000000000001" customHeight="1">
      <c r="A28" s="1484" t="s">
        <v>445</v>
      </c>
      <c r="B28" s="1485" t="s">
        <v>2994</v>
      </c>
      <c r="C28" s="1486"/>
      <c r="D28" s="1486"/>
      <c r="E28" s="1486"/>
      <c r="F28" s="1487">
        <f t="shared" si="1"/>
        <v>1831.1579999999999</v>
      </c>
      <c r="G28" s="1483">
        <v>0</v>
      </c>
      <c r="H28" s="1487">
        <v>1831.1579999999999</v>
      </c>
      <c r="I28" s="1483">
        <v>0</v>
      </c>
      <c r="J28" s="1483">
        <v>0</v>
      </c>
      <c r="K28" s="1483">
        <f t="shared" si="2"/>
        <v>0</v>
      </c>
      <c r="L28" s="1483">
        <v>0</v>
      </c>
      <c r="M28" s="1483">
        <v>0</v>
      </c>
      <c r="N28" s="1483">
        <v>0</v>
      </c>
      <c r="O28" s="1483">
        <v>0</v>
      </c>
      <c r="P28" s="970"/>
      <c r="Q28" s="969"/>
      <c r="R28" s="969"/>
    </row>
    <row r="29" spans="1:20" ht="20.100000000000001" customHeight="1">
      <c r="A29" s="1484" t="s">
        <v>446</v>
      </c>
      <c r="B29" s="1485" t="s">
        <v>20</v>
      </c>
      <c r="C29" s="1486"/>
      <c r="D29" s="1486"/>
      <c r="E29" s="1486"/>
      <c r="F29" s="1487">
        <f>+H29+K29</f>
        <v>5473.4461000000001</v>
      </c>
      <c r="G29" s="1483">
        <v>0</v>
      </c>
      <c r="H29" s="1487">
        <v>5403.4461000000001</v>
      </c>
      <c r="I29" s="1483">
        <v>0</v>
      </c>
      <c r="J29" s="1483">
        <v>0</v>
      </c>
      <c r="K29" s="1488">
        <f t="shared" si="2"/>
        <v>70</v>
      </c>
      <c r="L29" s="1483">
        <v>0</v>
      </c>
      <c r="M29" s="1487">
        <v>70</v>
      </c>
      <c r="N29" s="1483">
        <v>0</v>
      </c>
      <c r="O29" s="1483">
        <v>0</v>
      </c>
      <c r="P29" s="970"/>
      <c r="Q29" s="969"/>
      <c r="R29" s="969"/>
    </row>
    <row r="30" spans="1:20" ht="20.100000000000001" customHeight="1">
      <c r="A30" s="1484" t="s">
        <v>447</v>
      </c>
      <c r="B30" s="1485" t="s">
        <v>427</v>
      </c>
      <c r="C30" s="1486"/>
      <c r="D30" s="1486"/>
      <c r="E30" s="1486"/>
      <c r="F30" s="1487">
        <f t="shared" si="1"/>
        <v>2329.1074319999998</v>
      </c>
      <c r="G30" s="1483">
        <v>0</v>
      </c>
      <c r="H30" s="1487">
        <v>2329.1074319999998</v>
      </c>
      <c r="I30" s="1483">
        <v>0</v>
      </c>
      <c r="J30" s="1483">
        <v>0</v>
      </c>
      <c r="K30" s="1483">
        <f t="shared" si="2"/>
        <v>0</v>
      </c>
      <c r="L30" s="1483">
        <v>0</v>
      </c>
      <c r="M30" s="1483">
        <v>0</v>
      </c>
      <c r="N30" s="1483">
        <v>0</v>
      </c>
      <c r="O30" s="1483">
        <v>0</v>
      </c>
      <c r="P30" s="970"/>
      <c r="Q30" s="969"/>
      <c r="R30" s="969"/>
    </row>
    <row r="31" spans="1:20" ht="20.100000000000001" customHeight="1">
      <c r="A31" s="1484" t="s">
        <v>449</v>
      </c>
      <c r="B31" s="1485" t="s">
        <v>2995</v>
      </c>
      <c r="C31" s="1486"/>
      <c r="D31" s="1486"/>
      <c r="E31" s="1486"/>
      <c r="F31" s="1487">
        <f t="shared" si="1"/>
        <v>11701.466</v>
      </c>
      <c r="G31" s="1483">
        <v>0</v>
      </c>
      <c r="H31" s="1487">
        <v>11701.466</v>
      </c>
      <c r="I31" s="1483">
        <v>0</v>
      </c>
      <c r="J31" s="1483">
        <v>0</v>
      </c>
      <c r="K31" s="1483">
        <f t="shared" si="2"/>
        <v>0</v>
      </c>
      <c r="L31" s="1483">
        <v>0</v>
      </c>
      <c r="M31" s="1483">
        <v>0</v>
      </c>
      <c r="N31" s="1483">
        <v>0</v>
      </c>
      <c r="O31" s="1483">
        <v>0</v>
      </c>
      <c r="P31" s="970"/>
      <c r="Q31" s="969"/>
      <c r="R31" s="969"/>
    </row>
    <row r="32" spans="1:20" ht="20.100000000000001" customHeight="1">
      <c r="A32" s="1484" t="s">
        <v>450</v>
      </c>
      <c r="B32" s="1485" t="s">
        <v>2996</v>
      </c>
      <c r="C32" s="1486"/>
      <c r="D32" s="1486"/>
      <c r="E32" s="1486"/>
      <c r="F32" s="1487">
        <f t="shared" si="1"/>
        <v>5997.9035480000002</v>
      </c>
      <c r="G32" s="1483">
        <v>0</v>
      </c>
      <c r="H32" s="1487">
        <v>5997.9035480000002</v>
      </c>
      <c r="I32" s="1483">
        <v>0</v>
      </c>
      <c r="J32" s="1483">
        <v>0</v>
      </c>
      <c r="K32" s="1483">
        <f t="shared" si="2"/>
        <v>0</v>
      </c>
      <c r="L32" s="1483">
        <v>0</v>
      </c>
      <c r="M32" s="1483">
        <v>0</v>
      </c>
      <c r="N32" s="1483">
        <v>0</v>
      </c>
      <c r="O32" s="1483">
        <v>0</v>
      </c>
      <c r="P32" s="970"/>
      <c r="Q32" s="969"/>
      <c r="R32" s="969"/>
    </row>
    <row r="33" spans="1:18" ht="20.100000000000001" customHeight="1">
      <c r="A33" s="1484" t="s">
        <v>451</v>
      </c>
      <c r="B33" s="1485" t="s">
        <v>2997</v>
      </c>
      <c r="C33" s="1486"/>
      <c r="D33" s="1486"/>
      <c r="E33" s="1486"/>
      <c r="F33" s="1487">
        <f t="shared" si="1"/>
        <v>5123.5</v>
      </c>
      <c r="G33" s="1483">
        <v>0</v>
      </c>
      <c r="H33" s="1487">
        <v>5123.5</v>
      </c>
      <c r="I33" s="1483">
        <v>0</v>
      </c>
      <c r="J33" s="1483">
        <v>0</v>
      </c>
      <c r="K33" s="1483">
        <f t="shared" si="2"/>
        <v>0</v>
      </c>
      <c r="L33" s="1483">
        <v>0</v>
      </c>
      <c r="M33" s="1483">
        <v>0</v>
      </c>
      <c r="N33" s="1483">
        <v>0</v>
      </c>
      <c r="O33" s="1483">
        <v>0</v>
      </c>
      <c r="P33" s="970"/>
      <c r="Q33" s="969"/>
      <c r="R33" s="969"/>
    </row>
    <row r="34" spans="1:18" ht="20.100000000000001" customHeight="1">
      <c r="A34" s="1484" t="s">
        <v>556</v>
      </c>
      <c r="B34" s="1485" t="s">
        <v>2998</v>
      </c>
      <c r="C34" s="1486"/>
      <c r="D34" s="1486"/>
      <c r="E34" s="1486"/>
      <c r="F34" s="1487">
        <f t="shared" si="1"/>
        <v>5996.4484640000001</v>
      </c>
      <c r="G34" s="1483">
        <v>0</v>
      </c>
      <c r="H34" s="1487">
        <v>5996.4484640000001</v>
      </c>
      <c r="I34" s="1483">
        <v>0</v>
      </c>
      <c r="J34" s="1483">
        <v>0</v>
      </c>
      <c r="K34" s="1483">
        <f t="shared" si="2"/>
        <v>0</v>
      </c>
      <c r="L34" s="1483">
        <v>0</v>
      </c>
      <c r="M34" s="1483">
        <v>0</v>
      </c>
      <c r="N34" s="1483">
        <v>0</v>
      </c>
      <c r="O34" s="1483">
        <v>0</v>
      </c>
      <c r="P34" s="970"/>
      <c r="Q34" s="969"/>
      <c r="R34" s="969"/>
    </row>
    <row r="35" spans="1:18" ht="20.100000000000001" customHeight="1">
      <c r="A35" s="1484" t="s">
        <v>557</v>
      </c>
      <c r="B35" s="1485" t="s">
        <v>2999</v>
      </c>
      <c r="C35" s="1486"/>
      <c r="D35" s="1486"/>
      <c r="E35" s="1486"/>
      <c r="F35" s="1487">
        <f t="shared" si="1"/>
        <v>23603.184098999998</v>
      </c>
      <c r="G35" s="1483">
        <v>0</v>
      </c>
      <c r="H35" s="1487">
        <v>23603.184098999998</v>
      </c>
      <c r="I35" s="1483">
        <v>0</v>
      </c>
      <c r="J35" s="1483">
        <v>0</v>
      </c>
      <c r="K35" s="1483">
        <f t="shared" si="2"/>
        <v>0</v>
      </c>
      <c r="L35" s="1483">
        <v>0</v>
      </c>
      <c r="M35" s="1483">
        <v>0</v>
      </c>
      <c r="N35" s="1483">
        <v>0</v>
      </c>
      <c r="O35" s="1483">
        <v>0</v>
      </c>
      <c r="P35" s="970"/>
      <c r="Q35" s="969"/>
      <c r="R35" s="969"/>
    </row>
    <row r="36" spans="1:18" ht="20.100000000000001" customHeight="1">
      <c r="A36" s="1484" t="s">
        <v>558</v>
      </c>
      <c r="B36" s="1485" t="s">
        <v>8</v>
      </c>
      <c r="C36" s="1486"/>
      <c r="D36" s="1486"/>
      <c r="E36" s="1486"/>
      <c r="F36" s="1487">
        <f t="shared" si="1"/>
        <v>13682.469058999999</v>
      </c>
      <c r="G36" s="1483">
        <v>0</v>
      </c>
      <c r="H36" s="1487">
        <v>13682.469058999999</v>
      </c>
      <c r="I36" s="1483">
        <v>0</v>
      </c>
      <c r="J36" s="1483">
        <v>0</v>
      </c>
      <c r="K36" s="1483">
        <f t="shared" si="2"/>
        <v>0</v>
      </c>
      <c r="L36" s="1483">
        <v>0</v>
      </c>
      <c r="M36" s="1483">
        <v>0</v>
      </c>
      <c r="N36" s="1483">
        <v>0</v>
      </c>
      <c r="O36" s="1483">
        <v>0</v>
      </c>
      <c r="P36" s="970"/>
      <c r="Q36" s="969"/>
      <c r="R36" s="969"/>
    </row>
    <row r="37" spans="1:18" ht="20.100000000000001" customHeight="1">
      <c r="A37" s="1484" t="s">
        <v>559</v>
      </c>
      <c r="B37" s="1485" t="s">
        <v>456</v>
      </c>
      <c r="C37" s="1486"/>
      <c r="D37" s="1486"/>
      <c r="E37" s="1486"/>
      <c r="F37" s="1487">
        <f t="shared" si="1"/>
        <v>7367.2915199999998</v>
      </c>
      <c r="G37" s="1483">
        <v>0</v>
      </c>
      <c r="H37" s="1487">
        <v>7367.2915199999998</v>
      </c>
      <c r="I37" s="1483">
        <v>0</v>
      </c>
      <c r="J37" s="1483">
        <v>0</v>
      </c>
      <c r="K37" s="1483">
        <f t="shared" si="2"/>
        <v>0</v>
      </c>
      <c r="L37" s="1483">
        <v>0</v>
      </c>
      <c r="M37" s="1483">
        <v>0</v>
      </c>
      <c r="N37" s="1483">
        <v>0</v>
      </c>
      <c r="O37" s="1483">
        <v>0</v>
      </c>
      <c r="P37" s="970"/>
      <c r="Q37" s="969"/>
      <c r="R37" s="969"/>
    </row>
    <row r="38" spans="1:18" ht="20.100000000000001" customHeight="1">
      <c r="A38" s="1484" t="s">
        <v>560</v>
      </c>
      <c r="B38" s="1485" t="s">
        <v>3000</v>
      </c>
      <c r="C38" s="1486"/>
      <c r="D38" s="1486"/>
      <c r="E38" s="1486"/>
      <c r="F38" s="1487">
        <f t="shared" si="1"/>
        <v>6248.5256900000004</v>
      </c>
      <c r="G38" s="1483">
        <v>0</v>
      </c>
      <c r="H38" s="1487">
        <v>6248.5256900000004</v>
      </c>
      <c r="I38" s="1483">
        <v>0</v>
      </c>
      <c r="J38" s="1483">
        <v>0</v>
      </c>
      <c r="K38" s="1483">
        <f t="shared" si="2"/>
        <v>0</v>
      </c>
      <c r="L38" s="1483">
        <v>0</v>
      </c>
      <c r="M38" s="1483">
        <v>0</v>
      </c>
      <c r="N38" s="1483">
        <v>0</v>
      </c>
      <c r="O38" s="1483">
        <v>0</v>
      </c>
      <c r="P38" s="970"/>
      <c r="Q38" s="969"/>
      <c r="R38" s="969"/>
    </row>
    <row r="39" spans="1:18" ht="20.100000000000001" customHeight="1">
      <c r="A39" s="1484" t="s">
        <v>561</v>
      </c>
      <c r="B39" s="1485" t="s">
        <v>3001</v>
      </c>
      <c r="C39" s="1486"/>
      <c r="D39" s="1486"/>
      <c r="E39" s="1486"/>
      <c r="F39" s="1487">
        <f t="shared" si="1"/>
        <v>6290.869557</v>
      </c>
      <c r="G39" s="1483">
        <v>0</v>
      </c>
      <c r="H39" s="1487">
        <v>6290.869557</v>
      </c>
      <c r="I39" s="1483">
        <v>0</v>
      </c>
      <c r="J39" s="1483">
        <v>0</v>
      </c>
      <c r="K39" s="1483">
        <f t="shared" si="2"/>
        <v>0</v>
      </c>
      <c r="L39" s="1483">
        <v>0</v>
      </c>
      <c r="M39" s="1483">
        <v>0</v>
      </c>
      <c r="N39" s="1483">
        <v>0</v>
      </c>
      <c r="O39" s="1483">
        <v>0</v>
      </c>
      <c r="P39" s="970"/>
      <c r="Q39" s="969"/>
      <c r="R39" s="969"/>
    </row>
    <row r="40" spans="1:18" ht="20.100000000000001" customHeight="1">
      <c r="A40" s="1484" t="s">
        <v>562</v>
      </c>
      <c r="B40" s="1485" t="s">
        <v>3002</v>
      </c>
      <c r="C40" s="1486"/>
      <c r="D40" s="1486"/>
      <c r="E40" s="1486"/>
      <c r="F40" s="1487">
        <f t="shared" si="1"/>
        <v>4555.1563079999996</v>
      </c>
      <c r="G40" s="1483">
        <v>0</v>
      </c>
      <c r="H40" s="1487">
        <v>4555.1563079999996</v>
      </c>
      <c r="I40" s="1483">
        <v>0</v>
      </c>
      <c r="J40" s="1483">
        <v>0</v>
      </c>
      <c r="K40" s="1483">
        <f t="shared" si="2"/>
        <v>0</v>
      </c>
      <c r="L40" s="1483">
        <v>0</v>
      </c>
      <c r="M40" s="1483">
        <v>0</v>
      </c>
      <c r="N40" s="1483">
        <v>0</v>
      </c>
      <c r="O40" s="1483">
        <v>0</v>
      </c>
      <c r="P40" s="970"/>
      <c r="Q40" s="969"/>
      <c r="R40" s="969"/>
    </row>
    <row r="41" spans="1:18" ht="20.100000000000001" customHeight="1">
      <c r="A41" s="1484" t="s">
        <v>563</v>
      </c>
      <c r="B41" s="1485" t="s">
        <v>3003</v>
      </c>
      <c r="C41" s="1486"/>
      <c r="D41" s="1486"/>
      <c r="E41" s="1486"/>
      <c r="F41" s="1487">
        <f t="shared" si="1"/>
        <v>2856.0830000000001</v>
      </c>
      <c r="G41" s="1483">
        <v>0</v>
      </c>
      <c r="H41" s="1487">
        <v>2856.0830000000001</v>
      </c>
      <c r="I41" s="1483">
        <v>0</v>
      </c>
      <c r="J41" s="1483">
        <v>0</v>
      </c>
      <c r="K41" s="1483">
        <f t="shared" si="2"/>
        <v>0</v>
      </c>
      <c r="L41" s="1483">
        <v>0</v>
      </c>
      <c r="M41" s="1483">
        <v>0</v>
      </c>
      <c r="N41" s="1483">
        <v>0</v>
      </c>
      <c r="O41" s="1483">
        <v>0</v>
      </c>
      <c r="P41" s="970"/>
      <c r="Q41" s="969"/>
      <c r="R41" s="969"/>
    </row>
    <row r="42" spans="1:18" ht="20.100000000000001" customHeight="1">
      <c r="A42" s="1484" t="s">
        <v>564</v>
      </c>
      <c r="B42" s="1485" t="s">
        <v>3004</v>
      </c>
      <c r="C42" s="1486"/>
      <c r="D42" s="1486"/>
      <c r="E42" s="1486"/>
      <c r="F42" s="1487">
        <f t="shared" si="1"/>
        <v>6043.8114299999997</v>
      </c>
      <c r="G42" s="1483">
        <v>0</v>
      </c>
      <c r="H42" s="1487">
        <v>6043.8114299999997</v>
      </c>
      <c r="I42" s="1483">
        <v>0</v>
      </c>
      <c r="J42" s="1483">
        <v>0</v>
      </c>
      <c r="K42" s="1483">
        <f t="shared" si="2"/>
        <v>0</v>
      </c>
      <c r="L42" s="1483">
        <v>0</v>
      </c>
      <c r="M42" s="1483">
        <v>0</v>
      </c>
      <c r="N42" s="1483">
        <v>0</v>
      </c>
      <c r="O42" s="1483">
        <v>0</v>
      </c>
      <c r="P42" s="970"/>
      <c r="Q42" s="969"/>
      <c r="R42" s="969"/>
    </row>
    <row r="43" spans="1:18" ht="20.100000000000001" customHeight="1">
      <c r="A43" s="1484" t="s">
        <v>565</v>
      </c>
      <c r="B43" s="1485" t="s">
        <v>3005</v>
      </c>
      <c r="C43" s="1486"/>
      <c r="D43" s="1486"/>
      <c r="E43" s="1486"/>
      <c r="F43" s="1487">
        <f t="shared" si="1"/>
        <v>4726.3285669999996</v>
      </c>
      <c r="G43" s="1483">
        <v>0</v>
      </c>
      <c r="H43" s="1487">
        <v>4726.3285669999996</v>
      </c>
      <c r="I43" s="1483">
        <v>0</v>
      </c>
      <c r="J43" s="1483">
        <v>0</v>
      </c>
      <c r="K43" s="1483">
        <f t="shared" si="2"/>
        <v>0</v>
      </c>
      <c r="L43" s="1483">
        <v>0</v>
      </c>
      <c r="M43" s="1483">
        <v>0</v>
      </c>
      <c r="N43" s="1483">
        <v>0</v>
      </c>
      <c r="O43" s="1483">
        <v>0</v>
      </c>
      <c r="P43" s="970"/>
      <c r="Q43" s="969"/>
      <c r="R43" s="969"/>
    </row>
    <row r="44" spans="1:18" ht="20.100000000000001" customHeight="1">
      <c r="A44" s="1484" t="s">
        <v>566</v>
      </c>
      <c r="B44" s="1485" t="s">
        <v>3006</v>
      </c>
      <c r="C44" s="1486"/>
      <c r="D44" s="1486"/>
      <c r="E44" s="1486"/>
      <c r="F44" s="1487">
        <f t="shared" si="1"/>
        <v>4696.5648350000001</v>
      </c>
      <c r="G44" s="1483">
        <v>0</v>
      </c>
      <c r="H44" s="1487">
        <v>4696.5648350000001</v>
      </c>
      <c r="I44" s="1483">
        <v>0</v>
      </c>
      <c r="J44" s="1483">
        <v>0</v>
      </c>
      <c r="K44" s="1483">
        <f t="shared" si="2"/>
        <v>0</v>
      </c>
      <c r="L44" s="1483">
        <v>0</v>
      </c>
      <c r="M44" s="1483">
        <v>0</v>
      </c>
      <c r="N44" s="1483">
        <v>0</v>
      </c>
      <c r="O44" s="1483">
        <v>0</v>
      </c>
      <c r="P44" s="970"/>
      <c r="Q44" s="969"/>
      <c r="R44" s="969"/>
    </row>
    <row r="45" spans="1:18" ht="20.100000000000001" customHeight="1">
      <c r="A45" s="1484" t="s">
        <v>567</v>
      </c>
      <c r="B45" s="1485" t="s">
        <v>3007</v>
      </c>
      <c r="C45" s="1486"/>
      <c r="D45" s="1486"/>
      <c r="E45" s="1486"/>
      <c r="F45" s="1487">
        <f t="shared" si="1"/>
        <v>2059.5026830000002</v>
      </c>
      <c r="G45" s="1483">
        <v>0</v>
      </c>
      <c r="H45" s="1487">
        <v>2059.5026830000002</v>
      </c>
      <c r="I45" s="1483">
        <v>0</v>
      </c>
      <c r="J45" s="1483">
        <v>0</v>
      </c>
      <c r="K45" s="1483">
        <f t="shared" si="2"/>
        <v>0</v>
      </c>
      <c r="L45" s="1483">
        <v>0</v>
      </c>
      <c r="M45" s="1483">
        <v>0</v>
      </c>
      <c r="N45" s="1483">
        <v>0</v>
      </c>
      <c r="O45" s="1483">
        <v>0</v>
      </c>
      <c r="P45" s="970"/>
      <c r="Q45" s="969"/>
      <c r="R45" s="969"/>
    </row>
    <row r="46" spans="1:18" ht="20.100000000000001" customHeight="1">
      <c r="A46" s="1484" t="s">
        <v>568</v>
      </c>
      <c r="B46" s="1485" t="s">
        <v>3008</v>
      </c>
      <c r="C46" s="1486"/>
      <c r="D46" s="1486"/>
      <c r="E46" s="1486"/>
      <c r="F46" s="1487">
        <f t="shared" si="1"/>
        <v>2916.6866890000001</v>
      </c>
      <c r="G46" s="1483">
        <v>0</v>
      </c>
      <c r="H46" s="1487">
        <v>2916.6866890000001</v>
      </c>
      <c r="I46" s="1483">
        <v>0</v>
      </c>
      <c r="J46" s="1483">
        <v>0</v>
      </c>
      <c r="K46" s="1483">
        <f t="shared" si="2"/>
        <v>0</v>
      </c>
      <c r="L46" s="1483">
        <v>0</v>
      </c>
      <c r="M46" s="1483">
        <v>0</v>
      </c>
      <c r="N46" s="1483">
        <v>0</v>
      </c>
      <c r="O46" s="1483">
        <v>0</v>
      </c>
      <c r="P46" s="970"/>
      <c r="Q46" s="969"/>
      <c r="R46" s="969"/>
    </row>
    <row r="47" spans="1:18" ht="20.100000000000001" customHeight="1">
      <c r="A47" s="1484" t="s">
        <v>569</v>
      </c>
      <c r="B47" s="1485" t="s">
        <v>2743</v>
      </c>
      <c r="C47" s="1486"/>
      <c r="D47" s="1486"/>
      <c r="E47" s="1486"/>
      <c r="F47" s="1487">
        <f t="shared" si="1"/>
        <v>1867.7787599999999</v>
      </c>
      <c r="G47" s="1483">
        <v>0</v>
      </c>
      <c r="H47" s="1487">
        <v>1867.7787599999999</v>
      </c>
      <c r="I47" s="1483">
        <v>0</v>
      </c>
      <c r="J47" s="1483">
        <v>0</v>
      </c>
      <c r="K47" s="1483">
        <f t="shared" si="2"/>
        <v>0</v>
      </c>
      <c r="L47" s="1483">
        <v>0</v>
      </c>
      <c r="M47" s="1483">
        <v>0</v>
      </c>
      <c r="N47" s="1483">
        <v>0</v>
      </c>
      <c r="O47" s="1483">
        <v>0</v>
      </c>
      <c r="P47" s="970"/>
      <c r="Q47" s="969"/>
      <c r="R47" s="969"/>
    </row>
    <row r="48" spans="1:18" ht="20.100000000000001" customHeight="1">
      <c r="A48" s="1484" t="s">
        <v>570</v>
      </c>
      <c r="B48" s="1485" t="s">
        <v>2744</v>
      </c>
      <c r="C48" s="1486"/>
      <c r="D48" s="1486"/>
      <c r="E48" s="1486"/>
      <c r="F48" s="1487">
        <f t="shared" si="1"/>
        <v>21360.170482000001</v>
      </c>
      <c r="G48" s="1483">
        <v>0</v>
      </c>
      <c r="H48" s="1487">
        <v>21360.170482000001</v>
      </c>
      <c r="I48" s="1483">
        <v>0</v>
      </c>
      <c r="J48" s="1483">
        <v>0</v>
      </c>
      <c r="K48" s="1483">
        <f t="shared" si="2"/>
        <v>0</v>
      </c>
      <c r="L48" s="1483">
        <v>0</v>
      </c>
      <c r="M48" s="1483">
        <v>0</v>
      </c>
      <c r="N48" s="1483">
        <v>0</v>
      </c>
      <c r="O48" s="1483">
        <v>0</v>
      </c>
      <c r="P48" s="970"/>
      <c r="Q48" s="969"/>
      <c r="R48" s="969"/>
    </row>
    <row r="49" spans="1:18" ht="20.100000000000001" customHeight="1">
      <c r="A49" s="1484" t="s">
        <v>571</v>
      </c>
      <c r="B49" s="1485" t="s">
        <v>2745</v>
      </c>
      <c r="C49" s="1486"/>
      <c r="D49" s="1486"/>
      <c r="E49" s="1486"/>
      <c r="F49" s="1487">
        <f t="shared" si="1"/>
        <v>2248.5246499999998</v>
      </c>
      <c r="G49" s="1483">
        <v>0</v>
      </c>
      <c r="H49" s="1487">
        <v>2248.5246499999998</v>
      </c>
      <c r="I49" s="1483">
        <v>0</v>
      </c>
      <c r="J49" s="1483">
        <v>0</v>
      </c>
      <c r="K49" s="1483">
        <f t="shared" si="2"/>
        <v>0</v>
      </c>
      <c r="L49" s="1483">
        <v>0</v>
      </c>
      <c r="M49" s="1483">
        <v>0</v>
      </c>
      <c r="N49" s="1483">
        <v>0</v>
      </c>
      <c r="O49" s="1483">
        <v>0</v>
      </c>
      <c r="P49" s="970"/>
      <c r="Q49" s="969"/>
      <c r="R49" s="969"/>
    </row>
    <row r="50" spans="1:18" ht="20.100000000000001" customHeight="1">
      <c r="A50" s="1484" t="s">
        <v>572</v>
      </c>
      <c r="B50" s="1485" t="s">
        <v>1</v>
      </c>
      <c r="C50" s="1486"/>
      <c r="D50" s="1486"/>
      <c r="E50" s="1486"/>
      <c r="F50" s="1487">
        <f t="shared" si="1"/>
        <v>34400.773134000003</v>
      </c>
      <c r="G50" s="1483">
        <v>0</v>
      </c>
      <c r="H50" s="1487">
        <v>34400.773134000003</v>
      </c>
      <c r="I50" s="1483">
        <v>0</v>
      </c>
      <c r="J50" s="1483">
        <v>0</v>
      </c>
      <c r="K50" s="1483">
        <f t="shared" si="2"/>
        <v>0</v>
      </c>
      <c r="L50" s="1483">
        <v>0</v>
      </c>
      <c r="M50" s="1483">
        <v>0</v>
      </c>
      <c r="N50" s="1483">
        <v>0</v>
      </c>
      <c r="O50" s="1483">
        <v>0</v>
      </c>
      <c r="P50" s="970"/>
      <c r="Q50" s="969"/>
      <c r="R50" s="969"/>
    </row>
    <row r="51" spans="1:18" ht="20.100000000000001" customHeight="1">
      <c r="A51" s="1484" t="s">
        <v>573</v>
      </c>
      <c r="B51" s="1485" t="s">
        <v>2958</v>
      </c>
      <c r="C51" s="1486"/>
      <c r="D51" s="1486"/>
      <c r="E51" s="1486"/>
      <c r="F51" s="1487">
        <f>+H51+K51</f>
        <v>7899.8723719999998</v>
      </c>
      <c r="G51" s="1483">
        <v>0</v>
      </c>
      <c r="H51" s="1487">
        <v>3752.5823719999999</v>
      </c>
      <c r="I51" s="1483">
        <v>0</v>
      </c>
      <c r="J51" s="1483">
        <v>0</v>
      </c>
      <c r="K51" s="1488">
        <f t="shared" si="2"/>
        <v>4147.29</v>
      </c>
      <c r="L51" s="1483">
        <v>0</v>
      </c>
      <c r="M51" s="1487">
        <v>4147.29</v>
      </c>
      <c r="N51" s="1483">
        <v>0</v>
      </c>
      <c r="O51" s="1483">
        <v>0</v>
      </c>
      <c r="P51" s="970"/>
      <c r="Q51" s="969"/>
      <c r="R51" s="969"/>
    </row>
    <row r="52" spans="1:18" ht="20.100000000000001" customHeight="1">
      <c r="A52" s="1484" t="s">
        <v>574</v>
      </c>
      <c r="B52" s="1485" t="s">
        <v>3009</v>
      </c>
      <c r="C52" s="1486"/>
      <c r="D52" s="1486"/>
      <c r="E52" s="1486"/>
      <c r="F52" s="1487">
        <f t="shared" si="1"/>
        <v>2891.0603999999998</v>
      </c>
      <c r="G52" s="1483">
        <v>0</v>
      </c>
      <c r="H52" s="1487">
        <v>2891.0603999999998</v>
      </c>
      <c r="I52" s="1483">
        <v>0</v>
      </c>
      <c r="J52" s="1483">
        <v>0</v>
      </c>
      <c r="K52" s="1483">
        <f t="shared" si="2"/>
        <v>0</v>
      </c>
      <c r="L52" s="1483">
        <v>0</v>
      </c>
      <c r="M52" s="1483">
        <v>0</v>
      </c>
      <c r="N52" s="1483">
        <v>0</v>
      </c>
      <c r="O52" s="1483">
        <v>0</v>
      </c>
      <c r="P52" s="970"/>
      <c r="Q52" s="969"/>
      <c r="R52" s="969"/>
    </row>
    <row r="53" spans="1:18" ht="20.100000000000001" customHeight="1">
      <c r="A53" s="1484" t="s">
        <v>575</v>
      </c>
      <c r="B53" s="1485" t="s">
        <v>2746</v>
      </c>
      <c r="C53" s="1486"/>
      <c r="D53" s="1486"/>
      <c r="E53" s="1486"/>
      <c r="F53" s="1487">
        <f t="shared" si="1"/>
        <v>1566.694671</v>
      </c>
      <c r="G53" s="1483">
        <v>0</v>
      </c>
      <c r="H53" s="1487">
        <v>1566.694671</v>
      </c>
      <c r="I53" s="1483">
        <v>0</v>
      </c>
      <c r="J53" s="1483">
        <v>0</v>
      </c>
      <c r="K53" s="1483">
        <f t="shared" si="2"/>
        <v>0</v>
      </c>
      <c r="L53" s="1483">
        <v>0</v>
      </c>
      <c r="M53" s="1483">
        <v>0</v>
      </c>
      <c r="N53" s="1483">
        <v>0</v>
      </c>
      <c r="O53" s="1483">
        <v>0</v>
      </c>
      <c r="P53" s="970"/>
      <c r="Q53" s="969"/>
      <c r="R53" s="969"/>
    </row>
    <row r="54" spans="1:18" ht="20.100000000000001" customHeight="1">
      <c r="A54" s="1484" t="s">
        <v>576</v>
      </c>
      <c r="B54" s="1485" t="s">
        <v>2747</v>
      </c>
      <c r="C54" s="1486"/>
      <c r="D54" s="1486"/>
      <c r="E54" s="1486"/>
      <c r="F54" s="1487">
        <f t="shared" si="1"/>
        <v>11187.881954</v>
      </c>
      <c r="G54" s="1483">
        <v>0</v>
      </c>
      <c r="H54" s="1487">
        <v>11187.881954</v>
      </c>
      <c r="I54" s="1483">
        <v>0</v>
      </c>
      <c r="J54" s="1483">
        <v>0</v>
      </c>
      <c r="K54" s="1483">
        <f t="shared" si="2"/>
        <v>0</v>
      </c>
      <c r="L54" s="1483">
        <v>0</v>
      </c>
      <c r="M54" s="1483">
        <v>0</v>
      </c>
      <c r="N54" s="1483">
        <v>0</v>
      </c>
      <c r="O54" s="1483">
        <v>0</v>
      </c>
      <c r="P54" s="970"/>
      <c r="Q54" s="969"/>
      <c r="R54" s="969"/>
    </row>
    <row r="55" spans="1:18" ht="20.100000000000001" customHeight="1">
      <c r="A55" s="1484" t="s">
        <v>577</v>
      </c>
      <c r="B55" s="1485" t="s">
        <v>589</v>
      </c>
      <c r="C55" s="1486"/>
      <c r="D55" s="1486"/>
      <c r="E55" s="1486"/>
      <c r="F55" s="1487">
        <f>+H55+K55</f>
        <v>23491.717220999999</v>
      </c>
      <c r="G55" s="1483">
        <v>0</v>
      </c>
      <c r="H55" s="1487">
        <v>22723.767220999998</v>
      </c>
      <c r="I55" s="1483">
        <v>0</v>
      </c>
      <c r="J55" s="1483">
        <v>0</v>
      </c>
      <c r="K55" s="1488">
        <f t="shared" si="2"/>
        <v>767.95</v>
      </c>
      <c r="L55" s="1483">
        <v>0</v>
      </c>
      <c r="M55" s="1487">
        <v>767.95</v>
      </c>
      <c r="N55" s="1483">
        <v>0</v>
      </c>
      <c r="O55" s="1483">
        <v>0</v>
      </c>
      <c r="P55" s="970"/>
      <c r="Q55" s="969"/>
      <c r="R55" s="969"/>
    </row>
    <row r="56" spans="1:18" ht="20.100000000000001" customHeight="1">
      <c r="A56" s="1484" t="s">
        <v>578</v>
      </c>
      <c r="B56" s="1485" t="s">
        <v>490</v>
      </c>
      <c r="C56" s="1486"/>
      <c r="D56" s="1486"/>
      <c r="E56" s="1486"/>
      <c r="F56" s="1487">
        <f>+H56+K56</f>
        <v>7874.5508369999998</v>
      </c>
      <c r="G56" s="1483">
        <v>0</v>
      </c>
      <c r="H56" s="1487">
        <v>7526.4408370000001</v>
      </c>
      <c r="I56" s="1483">
        <v>0</v>
      </c>
      <c r="J56" s="1483">
        <v>0</v>
      </c>
      <c r="K56" s="1488">
        <f t="shared" si="2"/>
        <v>348.11</v>
      </c>
      <c r="L56" s="1483">
        <v>0</v>
      </c>
      <c r="M56" s="1487">
        <v>348.11</v>
      </c>
      <c r="N56" s="1483">
        <v>0</v>
      </c>
      <c r="O56" s="1483">
        <v>0</v>
      </c>
      <c r="P56" s="970"/>
      <c r="Q56" s="969"/>
      <c r="R56" s="969"/>
    </row>
    <row r="57" spans="1:18" ht="20.100000000000001" customHeight="1">
      <c r="A57" s="1484" t="s">
        <v>579</v>
      </c>
      <c r="B57" s="1485" t="s">
        <v>3010</v>
      </c>
      <c r="C57" s="1486"/>
      <c r="D57" s="1486"/>
      <c r="E57" s="1486"/>
      <c r="F57" s="1487">
        <f t="shared" si="1"/>
        <v>1153.96</v>
      </c>
      <c r="G57" s="1483">
        <v>0</v>
      </c>
      <c r="H57" s="1487">
        <v>1153.96</v>
      </c>
      <c r="I57" s="1483">
        <v>0</v>
      </c>
      <c r="J57" s="1483">
        <v>0</v>
      </c>
      <c r="K57" s="1488">
        <f t="shared" si="2"/>
        <v>0</v>
      </c>
      <c r="L57" s="1483">
        <v>0</v>
      </c>
      <c r="M57" s="1487">
        <v>0</v>
      </c>
      <c r="N57" s="1483">
        <v>0</v>
      </c>
      <c r="O57" s="1483">
        <v>0</v>
      </c>
      <c r="P57" s="970"/>
      <c r="Q57" s="969"/>
      <c r="R57" s="969"/>
    </row>
    <row r="58" spans="1:18" ht="20.100000000000001" customHeight="1">
      <c r="A58" s="1484" t="s">
        <v>580</v>
      </c>
      <c r="B58" s="1485" t="s">
        <v>2734</v>
      </c>
      <c r="C58" s="1486"/>
      <c r="D58" s="1486"/>
      <c r="E58" s="1486"/>
      <c r="F58" s="1487">
        <f>+H58+K58</f>
        <v>3576.829592</v>
      </c>
      <c r="G58" s="1483">
        <v>0</v>
      </c>
      <c r="H58" s="1487">
        <v>3526.929592</v>
      </c>
      <c r="I58" s="1483">
        <v>0</v>
      </c>
      <c r="J58" s="1483">
        <v>0</v>
      </c>
      <c r="K58" s="1488">
        <f t="shared" si="2"/>
        <v>49.9</v>
      </c>
      <c r="L58" s="1483">
        <v>0</v>
      </c>
      <c r="M58" s="1487">
        <v>49.9</v>
      </c>
      <c r="N58" s="1483">
        <v>0</v>
      </c>
      <c r="O58" s="1483">
        <v>0</v>
      </c>
      <c r="P58" s="970"/>
      <c r="Q58" s="969"/>
      <c r="R58" s="969"/>
    </row>
    <row r="59" spans="1:18" ht="20.100000000000001" customHeight="1">
      <c r="A59" s="1484" t="s">
        <v>581</v>
      </c>
      <c r="B59" s="1485" t="s">
        <v>2055</v>
      </c>
      <c r="C59" s="1486"/>
      <c r="D59" s="1486"/>
      <c r="E59" s="1486"/>
      <c r="F59" s="1487">
        <f>+H59+K59</f>
        <v>9907.5252849999997</v>
      </c>
      <c r="G59" s="1483">
        <v>0</v>
      </c>
      <c r="H59" s="1487">
        <v>9609.8752850000001</v>
      </c>
      <c r="I59" s="1483">
        <v>0</v>
      </c>
      <c r="J59" s="1483">
        <v>0</v>
      </c>
      <c r="K59" s="1488">
        <f t="shared" si="2"/>
        <v>297.64999999999998</v>
      </c>
      <c r="L59" s="1483">
        <v>0</v>
      </c>
      <c r="M59" s="1487">
        <v>297.64999999999998</v>
      </c>
      <c r="N59" s="1483">
        <v>0</v>
      </c>
      <c r="O59" s="1483">
        <v>0</v>
      </c>
      <c r="P59" s="970"/>
      <c r="Q59" s="969"/>
      <c r="R59" s="969"/>
    </row>
    <row r="60" spans="1:18" ht="20.100000000000001" customHeight="1">
      <c r="A60" s="1484" t="s">
        <v>582</v>
      </c>
      <c r="B60" s="1485" t="s">
        <v>2748</v>
      </c>
      <c r="C60" s="1486"/>
      <c r="D60" s="1486"/>
      <c r="E60" s="1486"/>
      <c r="F60" s="1487">
        <f t="shared" si="1"/>
        <v>8568.6402899999994</v>
      </c>
      <c r="G60" s="1483">
        <v>0</v>
      </c>
      <c r="H60" s="1487">
        <v>8568.6402899999994</v>
      </c>
      <c r="I60" s="1483">
        <v>0</v>
      </c>
      <c r="J60" s="1483">
        <v>0</v>
      </c>
      <c r="K60" s="1483">
        <f t="shared" si="2"/>
        <v>0</v>
      </c>
      <c r="L60" s="1483">
        <v>0</v>
      </c>
      <c r="M60" s="1483">
        <v>0</v>
      </c>
      <c r="N60" s="1483">
        <v>0</v>
      </c>
      <c r="O60" s="1483">
        <v>0</v>
      </c>
      <c r="P60" s="970"/>
      <c r="Q60" s="969"/>
      <c r="R60" s="969"/>
    </row>
    <row r="61" spans="1:18" ht="20.100000000000001" customHeight="1">
      <c r="A61" s="1484" t="s">
        <v>583</v>
      </c>
      <c r="B61" s="1485" t="s">
        <v>2749</v>
      </c>
      <c r="C61" s="1486"/>
      <c r="D61" s="1486"/>
      <c r="E61" s="1486"/>
      <c r="F61" s="1487">
        <f t="shared" si="1"/>
        <v>4323.9019280000002</v>
      </c>
      <c r="G61" s="1483">
        <v>0</v>
      </c>
      <c r="H61" s="1487">
        <v>4323.9019280000002</v>
      </c>
      <c r="I61" s="1483">
        <v>0</v>
      </c>
      <c r="J61" s="1483">
        <v>0</v>
      </c>
      <c r="K61" s="1483">
        <f t="shared" si="2"/>
        <v>0</v>
      </c>
      <c r="L61" s="1483">
        <v>0</v>
      </c>
      <c r="M61" s="1483">
        <v>0</v>
      </c>
      <c r="N61" s="1483">
        <v>0</v>
      </c>
      <c r="O61" s="1483">
        <v>0</v>
      </c>
      <c r="P61" s="970"/>
      <c r="Q61" s="969"/>
      <c r="R61" s="969"/>
    </row>
    <row r="62" spans="1:18" ht="20.100000000000001" customHeight="1">
      <c r="A62" s="1484" t="s">
        <v>584</v>
      </c>
      <c r="B62" s="1485" t="s">
        <v>666</v>
      </c>
      <c r="C62" s="1486"/>
      <c r="D62" s="1486"/>
      <c r="E62" s="1486"/>
      <c r="F62" s="1487">
        <f t="shared" si="1"/>
        <v>3040.4534600000002</v>
      </c>
      <c r="G62" s="1483">
        <v>0</v>
      </c>
      <c r="H62" s="1487">
        <v>3040.4534600000002</v>
      </c>
      <c r="I62" s="1483">
        <v>0</v>
      </c>
      <c r="J62" s="1483">
        <v>0</v>
      </c>
      <c r="K62" s="1483">
        <f t="shared" si="2"/>
        <v>0</v>
      </c>
      <c r="L62" s="1483">
        <v>0</v>
      </c>
      <c r="M62" s="1483">
        <v>0</v>
      </c>
      <c r="N62" s="1483">
        <v>0</v>
      </c>
      <c r="O62" s="1483">
        <v>0</v>
      </c>
      <c r="P62" s="970"/>
      <c r="Q62" s="969"/>
      <c r="R62" s="969"/>
    </row>
    <row r="63" spans="1:18" ht="20.100000000000001" customHeight="1">
      <c r="A63" s="1484" t="s">
        <v>585</v>
      </c>
      <c r="B63" s="1485" t="s">
        <v>3011</v>
      </c>
      <c r="C63" s="1486"/>
      <c r="D63" s="1486"/>
      <c r="E63" s="1486"/>
      <c r="F63" s="1487">
        <f t="shared" si="1"/>
        <v>227.00515999999999</v>
      </c>
      <c r="G63" s="1483">
        <v>0</v>
      </c>
      <c r="H63" s="1487">
        <v>227.00515999999999</v>
      </c>
      <c r="I63" s="1483">
        <v>0</v>
      </c>
      <c r="J63" s="1483">
        <v>0</v>
      </c>
      <c r="K63" s="1483">
        <f t="shared" si="2"/>
        <v>0</v>
      </c>
      <c r="L63" s="1483">
        <v>0</v>
      </c>
      <c r="M63" s="1483">
        <v>0</v>
      </c>
      <c r="N63" s="1483">
        <v>0</v>
      </c>
      <c r="O63" s="1483">
        <v>0</v>
      </c>
      <c r="P63" s="970"/>
      <c r="Q63" s="969"/>
      <c r="R63" s="969"/>
    </row>
    <row r="64" spans="1:18" ht="20.100000000000001" customHeight="1">
      <c r="A64" s="1484" t="s">
        <v>586</v>
      </c>
      <c r="B64" s="1485" t="s">
        <v>3012</v>
      </c>
      <c r="C64" s="1486"/>
      <c r="D64" s="1486"/>
      <c r="E64" s="1486"/>
      <c r="F64" s="1487">
        <f t="shared" si="1"/>
        <v>1606.9157310000001</v>
      </c>
      <c r="G64" s="1483">
        <v>0</v>
      </c>
      <c r="H64" s="1487">
        <v>1606.9157310000001</v>
      </c>
      <c r="I64" s="1483">
        <v>0</v>
      </c>
      <c r="J64" s="1483">
        <v>0</v>
      </c>
      <c r="K64" s="1483">
        <f t="shared" si="2"/>
        <v>0</v>
      </c>
      <c r="L64" s="1483">
        <v>0</v>
      </c>
      <c r="M64" s="1483">
        <v>0</v>
      </c>
      <c r="N64" s="1483">
        <v>0</v>
      </c>
      <c r="O64" s="1483">
        <v>0</v>
      </c>
      <c r="P64" s="970"/>
      <c r="Q64" s="969"/>
      <c r="R64" s="969"/>
    </row>
    <row r="65" spans="1:18" ht="20.100000000000001" customHeight="1">
      <c r="A65" s="1484" t="s">
        <v>587</v>
      </c>
      <c r="B65" s="1485" t="s">
        <v>3013</v>
      </c>
      <c r="C65" s="1486"/>
      <c r="D65" s="1486"/>
      <c r="E65" s="1486"/>
      <c r="F65" s="1487">
        <f t="shared" si="1"/>
        <v>2451.7523759999999</v>
      </c>
      <c r="G65" s="1483">
        <v>0</v>
      </c>
      <c r="H65" s="1487">
        <v>2451.7523759999999</v>
      </c>
      <c r="I65" s="1483">
        <v>0</v>
      </c>
      <c r="J65" s="1483">
        <v>0</v>
      </c>
      <c r="K65" s="1483">
        <f t="shared" si="2"/>
        <v>0</v>
      </c>
      <c r="L65" s="1483">
        <v>0</v>
      </c>
      <c r="M65" s="1483">
        <v>0</v>
      </c>
      <c r="N65" s="1483">
        <v>0</v>
      </c>
      <c r="O65" s="1483">
        <v>0</v>
      </c>
      <c r="P65" s="970"/>
      <c r="Q65" s="969"/>
      <c r="R65" s="969"/>
    </row>
    <row r="66" spans="1:18" ht="20.100000000000001" customHeight="1">
      <c r="A66" s="1484" t="s">
        <v>588</v>
      </c>
      <c r="B66" s="1485" t="s">
        <v>3014</v>
      </c>
      <c r="C66" s="1486"/>
      <c r="D66" s="1486"/>
      <c r="E66" s="1486"/>
      <c r="F66" s="1487">
        <f t="shared" si="1"/>
        <v>173.2337</v>
      </c>
      <c r="G66" s="1483">
        <v>0</v>
      </c>
      <c r="H66" s="1487">
        <v>173.2337</v>
      </c>
      <c r="I66" s="1483">
        <v>0</v>
      </c>
      <c r="J66" s="1483">
        <v>0</v>
      </c>
      <c r="K66" s="1483">
        <f t="shared" si="2"/>
        <v>0</v>
      </c>
      <c r="L66" s="1483">
        <v>0</v>
      </c>
      <c r="M66" s="1483">
        <v>0</v>
      </c>
      <c r="N66" s="1483">
        <v>0</v>
      </c>
      <c r="O66" s="1483">
        <v>0</v>
      </c>
      <c r="P66" s="970"/>
      <c r="Q66" s="969"/>
      <c r="R66" s="969"/>
    </row>
    <row r="67" spans="1:18" ht="20.100000000000001" customHeight="1">
      <c r="A67" s="1484" t="s">
        <v>590</v>
      </c>
      <c r="B67" s="1485" t="s">
        <v>17</v>
      </c>
      <c r="C67" s="1486"/>
      <c r="D67" s="1486"/>
      <c r="E67" s="1486"/>
      <c r="F67" s="1487">
        <f t="shared" si="1"/>
        <v>1168.5017</v>
      </c>
      <c r="G67" s="1483">
        <v>0</v>
      </c>
      <c r="H67" s="1487">
        <v>1168.5017</v>
      </c>
      <c r="I67" s="1483">
        <v>0</v>
      </c>
      <c r="J67" s="1483">
        <v>0</v>
      </c>
      <c r="K67" s="1483">
        <f t="shared" si="2"/>
        <v>0</v>
      </c>
      <c r="L67" s="1483">
        <v>0</v>
      </c>
      <c r="M67" s="1483">
        <v>0</v>
      </c>
      <c r="N67" s="1483">
        <v>0</v>
      </c>
      <c r="O67" s="1483">
        <v>0</v>
      </c>
      <c r="P67" s="970"/>
      <c r="Q67" s="969"/>
      <c r="R67" s="969"/>
    </row>
    <row r="68" spans="1:18" ht="20.100000000000001" customHeight="1">
      <c r="A68" s="1484" t="s">
        <v>591</v>
      </c>
      <c r="B68" s="1485" t="s">
        <v>3015</v>
      </c>
      <c r="C68" s="1486"/>
      <c r="D68" s="1486"/>
      <c r="E68" s="1486"/>
      <c r="F68" s="1487">
        <f t="shared" si="1"/>
        <v>222.17692500000001</v>
      </c>
      <c r="G68" s="1483">
        <v>0</v>
      </c>
      <c r="H68" s="1487">
        <v>222.17692500000001</v>
      </c>
      <c r="I68" s="1483">
        <v>0</v>
      </c>
      <c r="J68" s="1483">
        <v>0</v>
      </c>
      <c r="K68" s="1483">
        <f t="shared" si="2"/>
        <v>0</v>
      </c>
      <c r="L68" s="1483">
        <v>0</v>
      </c>
      <c r="M68" s="1483">
        <v>0</v>
      </c>
      <c r="N68" s="1483">
        <v>0</v>
      </c>
      <c r="O68" s="1483">
        <v>0</v>
      </c>
      <c r="P68" s="970"/>
      <c r="Q68" s="969"/>
      <c r="R68" s="969"/>
    </row>
    <row r="69" spans="1:18" ht="20.100000000000001" customHeight="1">
      <c r="A69" s="1484" t="s">
        <v>592</v>
      </c>
      <c r="B69" s="1485" t="s">
        <v>2750</v>
      </c>
      <c r="C69" s="1486"/>
      <c r="D69" s="1486"/>
      <c r="E69" s="1486"/>
      <c r="F69" s="1487">
        <f t="shared" si="1"/>
        <v>383.69458900000001</v>
      </c>
      <c r="G69" s="1483">
        <v>0</v>
      </c>
      <c r="H69" s="1487">
        <v>383.69458900000001</v>
      </c>
      <c r="I69" s="1483">
        <v>0</v>
      </c>
      <c r="J69" s="1483">
        <v>0</v>
      </c>
      <c r="K69" s="1483">
        <f t="shared" si="2"/>
        <v>0</v>
      </c>
      <c r="L69" s="1483">
        <v>0</v>
      </c>
      <c r="M69" s="1483">
        <v>0</v>
      </c>
      <c r="N69" s="1483">
        <v>0</v>
      </c>
      <c r="O69" s="1483">
        <v>0</v>
      </c>
      <c r="P69" s="970"/>
      <c r="Q69" s="969"/>
      <c r="R69" s="969"/>
    </row>
    <row r="70" spans="1:18" ht="20.100000000000001" customHeight="1">
      <c r="A70" s="1484" t="s">
        <v>593</v>
      </c>
      <c r="B70" s="1485" t="s">
        <v>3016</v>
      </c>
      <c r="C70" s="1486"/>
      <c r="D70" s="1486"/>
      <c r="E70" s="1486"/>
      <c r="F70" s="1487">
        <f t="shared" si="1"/>
        <v>286.935</v>
      </c>
      <c r="G70" s="1483">
        <v>0</v>
      </c>
      <c r="H70" s="1487">
        <v>286.935</v>
      </c>
      <c r="I70" s="1483">
        <v>0</v>
      </c>
      <c r="J70" s="1483">
        <v>0</v>
      </c>
      <c r="K70" s="1483">
        <f t="shared" si="2"/>
        <v>0</v>
      </c>
      <c r="L70" s="1483">
        <v>0</v>
      </c>
      <c r="M70" s="1483">
        <v>0</v>
      </c>
      <c r="N70" s="1483">
        <v>0</v>
      </c>
      <c r="O70" s="1483">
        <v>0</v>
      </c>
      <c r="P70" s="970"/>
      <c r="Q70" s="969"/>
      <c r="R70" s="969"/>
    </row>
    <row r="71" spans="1:18" ht="20.100000000000001" customHeight="1">
      <c r="A71" s="1484" t="s">
        <v>594</v>
      </c>
      <c r="B71" s="1485" t="s">
        <v>2751</v>
      </c>
      <c r="C71" s="1486"/>
      <c r="D71" s="1486"/>
      <c r="E71" s="1486"/>
      <c r="F71" s="1487">
        <f t="shared" si="1"/>
        <v>224.11</v>
      </c>
      <c r="G71" s="1483">
        <v>0</v>
      </c>
      <c r="H71" s="1487">
        <v>224.11</v>
      </c>
      <c r="I71" s="1483">
        <v>0</v>
      </c>
      <c r="J71" s="1483">
        <v>0</v>
      </c>
      <c r="K71" s="1483">
        <f t="shared" si="2"/>
        <v>0</v>
      </c>
      <c r="L71" s="1483">
        <v>0</v>
      </c>
      <c r="M71" s="1483">
        <v>0</v>
      </c>
      <c r="N71" s="1483">
        <v>0</v>
      </c>
      <c r="O71" s="1483">
        <v>0</v>
      </c>
      <c r="P71" s="970"/>
      <c r="Q71" s="969"/>
      <c r="R71" s="969"/>
    </row>
    <row r="72" spans="1:18" ht="20.100000000000001" customHeight="1">
      <c r="A72" s="1484" t="s">
        <v>595</v>
      </c>
      <c r="B72" s="1485" t="s">
        <v>2752</v>
      </c>
      <c r="C72" s="1486"/>
      <c r="D72" s="1486"/>
      <c r="E72" s="1486"/>
      <c r="F72" s="1487">
        <f t="shared" si="1"/>
        <v>1679.1389650000001</v>
      </c>
      <c r="G72" s="1483">
        <v>0</v>
      </c>
      <c r="H72" s="1487">
        <f>1789.138965-110</f>
        <v>1679.1389650000001</v>
      </c>
      <c r="I72" s="1483">
        <v>0</v>
      </c>
      <c r="J72" s="1483">
        <v>0</v>
      </c>
      <c r="K72" s="1483">
        <f t="shared" si="2"/>
        <v>0</v>
      </c>
      <c r="L72" s="1483">
        <v>0</v>
      </c>
      <c r="M72" s="1483">
        <v>0</v>
      </c>
      <c r="N72" s="1483">
        <v>0</v>
      </c>
      <c r="O72" s="1483">
        <v>0</v>
      </c>
      <c r="P72" s="970"/>
      <c r="Q72" s="969"/>
      <c r="R72" s="969"/>
    </row>
    <row r="73" spans="1:18" ht="20.100000000000001" customHeight="1">
      <c r="A73" s="1484" t="s">
        <v>596</v>
      </c>
      <c r="B73" s="1485" t="s">
        <v>2753</v>
      </c>
      <c r="C73" s="1486"/>
      <c r="D73" s="1486"/>
      <c r="E73" s="1486"/>
      <c r="F73" s="1487">
        <f t="shared" si="1"/>
        <v>220</v>
      </c>
      <c r="G73" s="1483">
        <v>0</v>
      </c>
      <c r="H73" s="1487">
        <v>220</v>
      </c>
      <c r="I73" s="1483">
        <v>0</v>
      </c>
      <c r="J73" s="1483">
        <v>0</v>
      </c>
      <c r="K73" s="1483">
        <f t="shared" si="2"/>
        <v>0</v>
      </c>
      <c r="L73" s="1483">
        <v>0</v>
      </c>
      <c r="M73" s="1483">
        <v>0</v>
      </c>
      <c r="N73" s="1483">
        <v>0</v>
      </c>
      <c r="O73" s="1483">
        <v>0</v>
      </c>
      <c r="P73" s="970"/>
      <c r="Q73" s="969"/>
      <c r="R73" s="969"/>
    </row>
    <row r="74" spans="1:18" ht="20.100000000000001" customHeight="1">
      <c r="A74" s="1484" t="s">
        <v>597</v>
      </c>
      <c r="B74" s="1485" t="s">
        <v>3017</v>
      </c>
      <c r="C74" s="1486"/>
      <c r="D74" s="1486"/>
      <c r="E74" s="1486"/>
      <c r="F74" s="1487">
        <f t="shared" si="1"/>
        <v>220</v>
      </c>
      <c r="G74" s="1483">
        <v>0</v>
      </c>
      <c r="H74" s="1487">
        <v>220</v>
      </c>
      <c r="I74" s="1483">
        <v>0</v>
      </c>
      <c r="J74" s="1483">
        <v>0</v>
      </c>
      <c r="K74" s="1483">
        <f t="shared" si="2"/>
        <v>0</v>
      </c>
      <c r="L74" s="1483">
        <v>0</v>
      </c>
      <c r="M74" s="1483">
        <v>0</v>
      </c>
      <c r="N74" s="1483">
        <v>0</v>
      </c>
      <c r="O74" s="1483">
        <v>0</v>
      </c>
      <c r="P74" s="970"/>
      <c r="Q74" s="969"/>
      <c r="R74" s="969"/>
    </row>
    <row r="75" spans="1:18" ht="20.100000000000001" customHeight="1">
      <c r="A75" s="1484" t="s">
        <v>599</v>
      </c>
      <c r="B75" s="1485" t="s">
        <v>3018</v>
      </c>
      <c r="C75" s="1486"/>
      <c r="D75" s="1486"/>
      <c r="E75" s="1486"/>
      <c r="F75" s="1487">
        <f t="shared" si="1"/>
        <v>225.745025</v>
      </c>
      <c r="G75" s="1483">
        <v>0</v>
      </c>
      <c r="H75" s="1487">
        <v>225.745025</v>
      </c>
      <c r="I75" s="1483">
        <v>0</v>
      </c>
      <c r="J75" s="1483">
        <v>0</v>
      </c>
      <c r="K75" s="1483">
        <f t="shared" si="2"/>
        <v>0</v>
      </c>
      <c r="L75" s="1483">
        <v>0</v>
      </c>
      <c r="M75" s="1483">
        <v>0</v>
      </c>
      <c r="N75" s="1483">
        <v>0</v>
      </c>
      <c r="O75" s="1483">
        <v>0</v>
      </c>
      <c r="P75" s="970"/>
      <c r="Q75" s="969"/>
      <c r="R75" s="969"/>
    </row>
    <row r="76" spans="1:18" ht="20.100000000000001" customHeight="1">
      <c r="A76" s="1484" t="s">
        <v>600</v>
      </c>
      <c r="B76" s="1485" t="s">
        <v>3019</v>
      </c>
      <c r="C76" s="1486"/>
      <c r="D76" s="1486"/>
      <c r="E76" s="1486"/>
      <c r="F76" s="1487">
        <f t="shared" si="1"/>
        <v>2819.2747920000002</v>
      </c>
      <c r="G76" s="1483">
        <v>0</v>
      </c>
      <c r="H76" s="1487">
        <f>3379.274792-560</f>
        <v>2819.2747920000002</v>
      </c>
      <c r="I76" s="1483">
        <v>0</v>
      </c>
      <c r="J76" s="1483">
        <v>0</v>
      </c>
      <c r="K76" s="1483">
        <f t="shared" si="2"/>
        <v>0</v>
      </c>
      <c r="L76" s="1483">
        <v>0</v>
      </c>
      <c r="M76" s="1483">
        <v>0</v>
      </c>
      <c r="N76" s="1483">
        <v>0</v>
      </c>
      <c r="O76" s="1483">
        <v>0</v>
      </c>
      <c r="P76" s="970"/>
      <c r="Q76" s="969"/>
      <c r="R76" s="969"/>
    </row>
    <row r="77" spans="1:18" ht="20.100000000000001" customHeight="1">
      <c r="A77" s="1484" t="s">
        <v>601</v>
      </c>
      <c r="B77" s="1485" t="s">
        <v>2754</v>
      </c>
      <c r="C77" s="1486"/>
      <c r="D77" s="1486"/>
      <c r="E77" s="1486"/>
      <c r="F77" s="1487">
        <f t="shared" si="1"/>
        <v>176.51946000000001</v>
      </c>
      <c r="G77" s="1483">
        <v>0</v>
      </c>
      <c r="H77" s="1487">
        <v>176.51946000000001</v>
      </c>
      <c r="I77" s="1483">
        <v>0</v>
      </c>
      <c r="J77" s="1483">
        <v>0</v>
      </c>
      <c r="K77" s="1483">
        <f t="shared" si="2"/>
        <v>0</v>
      </c>
      <c r="L77" s="1483">
        <v>0</v>
      </c>
      <c r="M77" s="1483">
        <v>0</v>
      </c>
      <c r="N77" s="1483">
        <v>0</v>
      </c>
      <c r="O77" s="1483">
        <v>0</v>
      </c>
      <c r="P77" s="970"/>
      <c r="Q77" s="969"/>
      <c r="R77" s="969"/>
    </row>
    <row r="78" spans="1:18" ht="20.100000000000001" customHeight="1">
      <c r="A78" s="1484" t="s">
        <v>602</v>
      </c>
      <c r="B78" s="1485" t="s">
        <v>3020</v>
      </c>
      <c r="C78" s="1486"/>
      <c r="D78" s="1486"/>
      <c r="E78" s="1486"/>
      <c r="F78" s="1487">
        <f t="shared" si="1"/>
        <v>1835.5400070000001</v>
      </c>
      <c r="G78" s="1483">
        <v>0</v>
      </c>
      <c r="H78" s="1487">
        <v>1835.5400070000001</v>
      </c>
      <c r="I78" s="1483">
        <v>0</v>
      </c>
      <c r="J78" s="1483">
        <v>0</v>
      </c>
      <c r="K78" s="1483">
        <f t="shared" si="2"/>
        <v>0</v>
      </c>
      <c r="L78" s="1483">
        <v>0</v>
      </c>
      <c r="M78" s="1483">
        <v>0</v>
      </c>
      <c r="N78" s="1483">
        <v>0</v>
      </c>
      <c r="O78" s="1483">
        <v>0</v>
      </c>
      <c r="P78" s="970"/>
      <c r="Q78" s="969"/>
      <c r="R78" s="969"/>
    </row>
    <row r="79" spans="1:18" ht="20.100000000000001" customHeight="1">
      <c r="A79" s="1484" t="s">
        <v>603</v>
      </c>
      <c r="B79" s="1485" t="s">
        <v>2755</v>
      </c>
      <c r="C79" s="1486"/>
      <c r="D79" s="1486"/>
      <c r="E79" s="1486"/>
      <c r="F79" s="1487">
        <f t="shared" ref="F79:F142" si="3">+H79+K79</f>
        <v>1928.78568</v>
      </c>
      <c r="G79" s="1483">
        <v>0</v>
      </c>
      <c r="H79" s="1487">
        <v>1928.78568</v>
      </c>
      <c r="I79" s="1483">
        <v>0</v>
      </c>
      <c r="J79" s="1483">
        <v>0</v>
      </c>
      <c r="K79" s="1483">
        <f t="shared" ref="K79:K142" si="4">+L79+M79</f>
        <v>0</v>
      </c>
      <c r="L79" s="1483">
        <v>0</v>
      </c>
      <c r="M79" s="1483">
        <v>0</v>
      </c>
      <c r="N79" s="1483">
        <v>0</v>
      </c>
      <c r="O79" s="1483">
        <v>0</v>
      </c>
      <c r="P79" s="970"/>
      <c r="Q79" s="969"/>
      <c r="R79" s="969"/>
    </row>
    <row r="80" spans="1:18" ht="20.100000000000001" customHeight="1">
      <c r="A80" s="1484" t="s">
        <v>604</v>
      </c>
      <c r="B80" s="1485" t="s">
        <v>3021</v>
      </c>
      <c r="C80" s="1486"/>
      <c r="D80" s="1486"/>
      <c r="E80" s="1486"/>
      <c r="F80" s="1487">
        <f t="shared" si="3"/>
        <v>1157.8710000000001</v>
      </c>
      <c r="G80" s="1483">
        <v>0</v>
      </c>
      <c r="H80" s="1487">
        <v>1157.8710000000001</v>
      </c>
      <c r="I80" s="1483">
        <v>0</v>
      </c>
      <c r="J80" s="1483">
        <v>0</v>
      </c>
      <c r="K80" s="1483">
        <f t="shared" si="4"/>
        <v>0</v>
      </c>
      <c r="L80" s="1483">
        <v>0</v>
      </c>
      <c r="M80" s="1483">
        <v>0</v>
      </c>
      <c r="N80" s="1483">
        <v>0</v>
      </c>
      <c r="O80" s="1483">
        <v>0</v>
      </c>
      <c r="P80" s="970"/>
      <c r="Q80" s="969"/>
      <c r="R80" s="969"/>
    </row>
    <row r="81" spans="1:18" ht="20.100000000000001" customHeight="1">
      <c r="A81" s="1484" t="s">
        <v>605</v>
      </c>
      <c r="B81" s="1485" t="s">
        <v>3022</v>
      </c>
      <c r="C81" s="1486"/>
      <c r="D81" s="1486"/>
      <c r="E81" s="1486"/>
      <c r="F81" s="1487">
        <f t="shared" si="3"/>
        <v>459.15132</v>
      </c>
      <c r="G81" s="1483">
        <v>0</v>
      </c>
      <c r="H81" s="1487">
        <v>459.15132</v>
      </c>
      <c r="I81" s="1483">
        <v>0</v>
      </c>
      <c r="J81" s="1483">
        <v>0</v>
      </c>
      <c r="K81" s="1483">
        <f t="shared" si="4"/>
        <v>0</v>
      </c>
      <c r="L81" s="1483">
        <v>0</v>
      </c>
      <c r="M81" s="1483">
        <v>0</v>
      </c>
      <c r="N81" s="1483">
        <v>0</v>
      </c>
      <c r="O81" s="1483">
        <v>0</v>
      </c>
      <c r="P81" s="970"/>
      <c r="Q81" s="969"/>
      <c r="R81" s="969"/>
    </row>
    <row r="82" spans="1:18" ht="20.100000000000001" customHeight="1">
      <c r="A82" s="1484" t="s">
        <v>606</v>
      </c>
      <c r="B82" s="1485" t="s">
        <v>0</v>
      </c>
      <c r="C82" s="1486"/>
      <c r="D82" s="1486"/>
      <c r="E82" s="1486"/>
      <c r="F82" s="1487">
        <f t="shared" si="3"/>
        <v>8499.1164430000008</v>
      </c>
      <c r="G82" s="1483">
        <v>0</v>
      </c>
      <c r="H82" s="1487">
        <v>8499.1164430000008</v>
      </c>
      <c r="I82" s="1483">
        <v>0</v>
      </c>
      <c r="J82" s="1483">
        <v>0</v>
      </c>
      <c r="K82" s="1483">
        <f t="shared" si="4"/>
        <v>0</v>
      </c>
      <c r="L82" s="1483">
        <v>0</v>
      </c>
      <c r="M82" s="1483">
        <v>0</v>
      </c>
      <c r="N82" s="1483">
        <v>0</v>
      </c>
      <c r="O82" s="1483">
        <v>0</v>
      </c>
      <c r="P82" s="970"/>
      <c r="Q82" s="969"/>
      <c r="R82" s="969"/>
    </row>
    <row r="83" spans="1:18" ht="20.100000000000001" customHeight="1">
      <c r="A83" s="1484" t="s">
        <v>607</v>
      </c>
      <c r="B83" s="1485" t="s">
        <v>2756</v>
      </c>
      <c r="C83" s="1486"/>
      <c r="D83" s="1486"/>
      <c r="E83" s="1486"/>
      <c r="F83" s="1487">
        <f t="shared" si="3"/>
        <v>7500.9029270000001</v>
      </c>
      <c r="G83" s="1483">
        <v>0</v>
      </c>
      <c r="H83" s="1487">
        <v>7500.9029270000001</v>
      </c>
      <c r="I83" s="1483">
        <v>0</v>
      </c>
      <c r="J83" s="1483">
        <v>0</v>
      </c>
      <c r="K83" s="1483">
        <f t="shared" si="4"/>
        <v>0</v>
      </c>
      <c r="L83" s="1483">
        <v>0</v>
      </c>
      <c r="M83" s="1483">
        <v>0</v>
      </c>
      <c r="N83" s="1483">
        <v>0</v>
      </c>
      <c r="O83" s="1483">
        <v>0</v>
      </c>
      <c r="P83" s="970"/>
      <c r="Q83" s="969"/>
      <c r="R83" s="969"/>
    </row>
    <row r="84" spans="1:18" ht="20.100000000000001" customHeight="1">
      <c r="A84" s="1484" t="s">
        <v>608</v>
      </c>
      <c r="B84" s="1485" t="s">
        <v>598</v>
      </c>
      <c r="C84" s="1486"/>
      <c r="D84" s="1486"/>
      <c r="E84" s="1486"/>
      <c r="F84" s="1487">
        <f>+H84+K84</f>
        <v>2679.712536</v>
      </c>
      <c r="G84" s="1483">
        <v>0</v>
      </c>
      <c r="H84" s="1487">
        <v>2481.442536</v>
      </c>
      <c r="I84" s="1483">
        <v>0</v>
      </c>
      <c r="J84" s="1483">
        <v>0</v>
      </c>
      <c r="K84" s="1488">
        <f t="shared" si="4"/>
        <v>198.27</v>
      </c>
      <c r="L84" s="1487">
        <v>0</v>
      </c>
      <c r="M84" s="1487">
        <v>198.27</v>
      </c>
      <c r="N84" s="1487">
        <v>0</v>
      </c>
      <c r="O84" s="1487">
        <v>0</v>
      </c>
      <c r="P84" s="970"/>
      <c r="Q84" s="969"/>
      <c r="R84" s="969"/>
    </row>
    <row r="85" spans="1:18" ht="20.100000000000001" customHeight="1">
      <c r="A85" s="1484" t="s">
        <v>609</v>
      </c>
      <c r="B85" s="1485" t="s">
        <v>3023</v>
      </c>
      <c r="C85" s="1486"/>
      <c r="D85" s="1486"/>
      <c r="E85" s="1486"/>
      <c r="F85" s="1487">
        <f t="shared" si="3"/>
        <v>2074.6866329999998</v>
      </c>
      <c r="G85" s="1483">
        <v>0</v>
      </c>
      <c r="H85" s="1487">
        <v>2074.6866329999998</v>
      </c>
      <c r="I85" s="1483">
        <v>0</v>
      </c>
      <c r="J85" s="1483">
        <v>0</v>
      </c>
      <c r="K85" s="1483">
        <f t="shared" si="4"/>
        <v>0</v>
      </c>
      <c r="L85" s="1483">
        <v>0</v>
      </c>
      <c r="M85" s="1483">
        <v>0</v>
      </c>
      <c r="N85" s="1483">
        <v>0</v>
      </c>
      <c r="O85" s="1483">
        <v>0</v>
      </c>
      <c r="P85" s="970"/>
      <c r="Q85" s="969"/>
      <c r="R85" s="969"/>
    </row>
    <row r="86" spans="1:18" ht="20.100000000000001" customHeight="1">
      <c r="A86" s="1484" t="s">
        <v>610</v>
      </c>
      <c r="B86" s="1485" t="s">
        <v>2757</v>
      </c>
      <c r="C86" s="1486"/>
      <c r="D86" s="1486"/>
      <c r="E86" s="1486"/>
      <c r="F86" s="1487">
        <f t="shared" si="3"/>
        <v>7977.1010150000002</v>
      </c>
      <c r="G86" s="1483">
        <v>0</v>
      </c>
      <c r="H86" s="1487">
        <v>7977.1010150000002</v>
      </c>
      <c r="I86" s="1483">
        <v>0</v>
      </c>
      <c r="J86" s="1483">
        <v>0</v>
      </c>
      <c r="K86" s="1483">
        <f t="shared" si="4"/>
        <v>0</v>
      </c>
      <c r="L86" s="1483">
        <v>0</v>
      </c>
      <c r="M86" s="1483">
        <v>0</v>
      </c>
      <c r="N86" s="1483">
        <v>0</v>
      </c>
      <c r="O86" s="1483">
        <v>0</v>
      </c>
      <c r="P86" s="970"/>
      <c r="Q86" s="969"/>
      <c r="R86" s="969"/>
    </row>
    <row r="87" spans="1:18" ht="20.100000000000001" customHeight="1">
      <c r="A87" s="1484" t="s">
        <v>611</v>
      </c>
      <c r="B87" s="1485" t="s">
        <v>3024</v>
      </c>
      <c r="C87" s="1486"/>
      <c r="D87" s="1486"/>
      <c r="E87" s="1486"/>
      <c r="F87" s="1487">
        <f t="shared" si="3"/>
        <v>2245.6502460000002</v>
      </c>
      <c r="G87" s="1483">
        <v>0</v>
      </c>
      <c r="H87" s="1487">
        <v>2245.6502460000002</v>
      </c>
      <c r="I87" s="1483">
        <v>0</v>
      </c>
      <c r="J87" s="1483">
        <v>0</v>
      </c>
      <c r="K87" s="1483">
        <f t="shared" si="4"/>
        <v>0</v>
      </c>
      <c r="L87" s="1483">
        <v>0</v>
      </c>
      <c r="M87" s="1483">
        <v>0</v>
      </c>
      <c r="N87" s="1483">
        <v>0</v>
      </c>
      <c r="O87" s="1483">
        <v>0</v>
      </c>
      <c r="P87" s="970"/>
      <c r="Q87" s="969"/>
      <c r="R87" s="969"/>
    </row>
    <row r="88" spans="1:18" ht="20.100000000000001" customHeight="1">
      <c r="A88" s="1484" t="s">
        <v>612</v>
      </c>
      <c r="B88" s="1485" t="s">
        <v>2758</v>
      </c>
      <c r="C88" s="1486"/>
      <c r="D88" s="1486"/>
      <c r="E88" s="1486"/>
      <c r="F88" s="1487">
        <f t="shared" si="3"/>
        <v>1941.91308</v>
      </c>
      <c r="G88" s="1483">
        <v>0</v>
      </c>
      <c r="H88" s="1487">
        <v>1941.91308</v>
      </c>
      <c r="I88" s="1483">
        <v>0</v>
      </c>
      <c r="J88" s="1483">
        <v>0</v>
      </c>
      <c r="K88" s="1483">
        <f t="shared" si="4"/>
        <v>0</v>
      </c>
      <c r="L88" s="1483">
        <v>0</v>
      </c>
      <c r="M88" s="1483">
        <v>0</v>
      </c>
      <c r="N88" s="1483">
        <v>0</v>
      </c>
      <c r="O88" s="1483">
        <v>0</v>
      </c>
      <c r="P88" s="970"/>
      <c r="Q88" s="969"/>
      <c r="R88" s="969"/>
    </row>
    <row r="89" spans="1:18" ht="20.100000000000001" customHeight="1">
      <c r="A89" s="1484" t="s">
        <v>613</v>
      </c>
      <c r="B89" s="1485" t="s">
        <v>3025</v>
      </c>
      <c r="C89" s="1486"/>
      <c r="D89" s="1486"/>
      <c r="E89" s="1486"/>
      <c r="F89" s="1487">
        <f t="shared" si="3"/>
        <v>78.75</v>
      </c>
      <c r="G89" s="1483">
        <v>0</v>
      </c>
      <c r="H89" s="1487">
        <v>78.75</v>
      </c>
      <c r="I89" s="1483">
        <v>0</v>
      </c>
      <c r="J89" s="1483">
        <v>0</v>
      </c>
      <c r="K89" s="1483">
        <f t="shared" si="4"/>
        <v>0</v>
      </c>
      <c r="L89" s="1483">
        <v>0</v>
      </c>
      <c r="M89" s="1483">
        <v>0</v>
      </c>
      <c r="N89" s="1483">
        <v>0</v>
      </c>
      <c r="O89" s="1483">
        <v>0</v>
      </c>
      <c r="P89" s="970"/>
      <c r="Q89" s="969"/>
      <c r="R89" s="969"/>
    </row>
    <row r="90" spans="1:18" ht="20.100000000000001" customHeight="1">
      <c r="A90" s="1484" t="s">
        <v>614</v>
      </c>
      <c r="B90" s="1485" t="s">
        <v>3026</v>
      </c>
      <c r="C90" s="1486"/>
      <c r="D90" s="1486"/>
      <c r="E90" s="1486"/>
      <c r="F90" s="1487">
        <f t="shared" si="3"/>
        <v>283.13079199999999</v>
      </c>
      <c r="G90" s="1483">
        <v>0</v>
      </c>
      <c r="H90" s="1487">
        <v>283.13079199999999</v>
      </c>
      <c r="I90" s="1483">
        <v>0</v>
      </c>
      <c r="J90" s="1483">
        <v>0</v>
      </c>
      <c r="K90" s="1483">
        <f t="shared" si="4"/>
        <v>0</v>
      </c>
      <c r="L90" s="1483">
        <v>0</v>
      </c>
      <c r="M90" s="1483">
        <v>0</v>
      </c>
      <c r="N90" s="1483">
        <v>0</v>
      </c>
      <c r="O90" s="1483">
        <v>0</v>
      </c>
      <c r="P90" s="970"/>
      <c r="Q90" s="969"/>
      <c r="R90" s="969"/>
    </row>
    <row r="91" spans="1:18" ht="20.100000000000001" customHeight="1">
      <c r="A91" s="1484" t="s">
        <v>615</v>
      </c>
      <c r="B91" s="1485" t="s">
        <v>3027</v>
      </c>
      <c r="C91" s="1486"/>
      <c r="D91" s="1486"/>
      <c r="E91" s="1486"/>
      <c r="F91" s="1487">
        <f t="shared" si="3"/>
        <v>3682.4775989999998</v>
      </c>
      <c r="G91" s="1483">
        <v>0</v>
      </c>
      <c r="H91" s="1487">
        <v>3682.4775989999998</v>
      </c>
      <c r="I91" s="1483">
        <v>0</v>
      </c>
      <c r="J91" s="1483">
        <v>0</v>
      </c>
      <c r="K91" s="1483">
        <f t="shared" si="4"/>
        <v>0</v>
      </c>
      <c r="L91" s="1483">
        <v>0</v>
      </c>
      <c r="M91" s="1483">
        <v>0</v>
      </c>
      <c r="N91" s="1483">
        <v>0</v>
      </c>
      <c r="O91" s="1483">
        <v>0</v>
      </c>
      <c r="P91" s="970"/>
      <c r="Q91" s="969"/>
      <c r="R91" s="969"/>
    </row>
    <row r="92" spans="1:18" ht="20.100000000000001" customHeight="1">
      <c r="A92" s="1484" t="s">
        <v>616</v>
      </c>
      <c r="B92" s="1485" t="s">
        <v>2759</v>
      </c>
      <c r="C92" s="1486"/>
      <c r="D92" s="1486"/>
      <c r="E92" s="1486"/>
      <c r="F92" s="1487">
        <f t="shared" si="3"/>
        <v>1463.6522769999999</v>
      </c>
      <c r="G92" s="1483">
        <v>0</v>
      </c>
      <c r="H92" s="1487">
        <v>1463.6522769999999</v>
      </c>
      <c r="I92" s="1483">
        <v>0</v>
      </c>
      <c r="J92" s="1483">
        <v>0</v>
      </c>
      <c r="K92" s="1483">
        <f t="shared" si="4"/>
        <v>0</v>
      </c>
      <c r="L92" s="1483">
        <v>0</v>
      </c>
      <c r="M92" s="1483">
        <v>0</v>
      </c>
      <c r="N92" s="1483">
        <v>0</v>
      </c>
      <c r="O92" s="1483">
        <v>0</v>
      </c>
      <c r="P92" s="970"/>
      <c r="Q92" s="969"/>
      <c r="R92" s="969"/>
    </row>
    <row r="93" spans="1:18" ht="20.100000000000001" customHeight="1">
      <c r="A93" s="1484" t="s">
        <v>617</v>
      </c>
      <c r="B93" s="1485" t="s">
        <v>2760</v>
      </c>
      <c r="C93" s="1486"/>
      <c r="D93" s="1486"/>
      <c r="E93" s="1486"/>
      <c r="F93" s="1487">
        <f t="shared" si="3"/>
        <v>4421.2538130000003</v>
      </c>
      <c r="G93" s="1483">
        <v>0</v>
      </c>
      <c r="H93" s="1487">
        <v>4421.2538130000003</v>
      </c>
      <c r="I93" s="1483">
        <v>0</v>
      </c>
      <c r="J93" s="1483">
        <v>0</v>
      </c>
      <c r="K93" s="1483">
        <f t="shared" si="4"/>
        <v>0</v>
      </c>
      <c r="L93" s="1483">
        <v>0</v>
      </c>
      <c r="M93" s="1483">
        <v>0</v>
      </c>
      <c r="N93" s="1483">
        <v>0</v>
      </c>
      <c r="O93" s="1483">
        <v>0</v>
      </c>
      <c r="P93" s="970"/>
      <c r="Q93" s="969"/>
      <c r="R93" s="969"/>
    </row>
    <row r="94" spans="1:18" ht="20.100000000000001" customHeight="1">
      <c r="A94" s="1484" t="s">
        <v>618</v>
      </c>
      <c r="B94" s="1485" t="s">
        <v>3028</v>
      </c>
      <c r="C94" s="1486"/>
      <c r="D94" s="1486"/>
      <c r="E94" s="1486"/>
      <c r="F94" s="1487">
        <f t="shared" si="3"/>
        <v>1126.7550000000001</v>
      </c>
      <c r="G94" s="1483">
        <v>0</v>
      </c>
      <c r="H94" s="1487">
        <v>1126.7550000000001</v>
      </c>
      <c r="I94" s="1483">
        <v>0</v>
      </c>
      <c r="J94" s="1483">
        <v>0</v>
      </c>
      <c r="K94" s="1483">
        <f t="shared" si="4"/>
        <v>0</v>
      </c>
      <c r="L94" s="1483">
        <v>0</v>
      </c>
      <c r="M94" s="1483">
        <v>0</v>
      </c>
      <c r="N94" s="1483">
        <v>0</v>
      </c>
      <c r="O94" s="1483">
        <v>0</v>
      </c>
      <c r="P94" s="970"/>
      <c r="Q94" s="969"/>
      <c r="R94" s="969"/>
    </row>
    <row r="95" spans="1:18" ht="20.100000000000001" customHeight="1">
      <c r="A95" s="1484" t="s">
        <v>619</v>
      </c>
      <c r="B95" s="1485" t="s">
        <v>2761</v>
      </c>
      <c r="C95" s="1486"/>
      <c r="D95" s="1486"/>
      <c r="E95" s="1486"/>
      <c r="F95" s="1487">
        <f t="shared" si="3"/>
        <v>10846.918255</v>
      </c>
      <c r="G95" s="1483">
        <v>0</v>
      </c>
      <c r="H95" s="1487">
        <v>10846.918255</v>
      </c>
      <c r="I95" s="1483">
        <v>0</v>
      </c>
      <c r="J95" s="1483">
        <v>0</v>
      </c>
      <c r="K95" s="1483">
        <f t="shared" si="4"/>
        <v>0</v>
      </c>
      <c r="L95" s="1483">
        <v>0</v>
      </c>
      <c r="M95" s="1483">
        <v>0</v>
      </c>
      <c r="N95" s="1483">
        <v>0</v>
      </c>
      <c r="O95" s="1483">
        <v>0</v>
      </c>
      <c r="P95" s="970"/>
      <c r="Q95" s="969"/>
      <c r="R95" s="969"/>
    </row>
    <row r="96" spans="1:18" ht="20.100000000000001" customHeight="1">
      <c r="A96" s="1484" t="s">
        <v>620</v>
      </c>
      <c r="B96" s="1485" t="s">
        <v>2762</v>
      </c>
      <c r="C96" s="1486"/>
      <c r="D96" s="1486"/>
      <c r="E96" s="1486"/>
      <c r="F96" s="1487">
        <f t="shared" si="3"/>
        <v>3967.4221160000002</v>
      </c>
      <c r="G96" s="1483">
        <v>0</v>
      </c>
      <c r="H96" s="1487">
        <v>3967.4221160000002</v>
      </c>
      <c r="I96" s="1483">
        <v>0</v>
      </c>
      <c r="J96" s="1483">
        <v>0</v>
      </c>
      <c r="K96" s="1483">
        <f t="shared" si="4"/>
        <v>0</v>
      </c>
      <c r="L96" s="1483">
        <v>0</v>
      </c>
      <c r="M96" s="1483">
        <v>0</v>
      </c>
      <c r="N96" s="1483">
        <v>0</v>
      </c>
      <c r="O96" s="1483">
        <v>0</v>
      </c>
      <c r="P96" s="970"/>
      <c r="Q96" s="969"/>
      <c r="R96" s="969"/>
    </row>
    <row r="97" spans="1:18" ht="20.100000000000001" customHeight="1">
      <c r="A97" s="1484" t="s">
        <v>621</v>
      </c>
      <c r="B97" s="1485" t="s">
        <v>3029</v>
      </c>
      <c r="C97" s="1486"/>
      <c r="D97" s="1486"/>
      <c r="E97" s="1486"/>
      <c r="F97" s="1487">
        <f>+H97+K97</f>
        <v>4299.492287</v>
      </c>
      <c r="G97" s="1483">
        <v>0</v>
      </c>
      <c r="H97" s="1487">
        <v>3550.7122869999998</v>
      </c>
      <c r="I97" s="1483">
        <v>0</v>
      </c>
      <c r="J97" s="1483">
        <v>0</v>
      </c>
      <c r="K97" s="1488">
        <f t="shared" si="4"/>
        <v>748.78</v>
      </c>
      <c r="L97" s="1487">
        <v>0</v>
      </c>
      <c r="M97" s="1487">
        <v>748.78</v>
      </c>
      <c r="N97" s="1483">
        <v>0</v>
      </c>
      <c r="O97" s="1483">
        <v>0</v>
      </c>
      <c r="P97" s="970"/>
      <c r="Q97" s="969"/>
      <c r="R97" s="969"/>
    </row>
    <row r="98" spans="1:18" ht="20.100000000000001" customHeight="1">
      <c r="A98" s="1484" t="s">
        <v>622</v>
      </c>
      <c r="B98" s="1485" t="s">
        <v>3030</v>
      </c>
      <c r="C98" s="1486"/>
      <c r="D98" s="1486"/>
      <c r="E98" s="1486"/>
      <c r="F98" s="1487">
        <f t="shared" si="3"/>
        <v>232.48339999999999</v>
      </c>
      <c r="G98" s="1483">
        <v>0</v>
      </c>
      <c r="H98" s="1487">
        <v>232.48339999999999</v>
      </c>
      <c r="I98" s="1483">
        <v>0</v>
      </c>
      <c r="J98" s="1483">
        <v>0</v>
      </c>
      <c r="K98" s="1483">
        <f t="shared" si="4"/>
        <v>0</v>
      </c>
      <c r="L98" s="1483">
        <v>0</v>
      </c>
      <c r="M98" s="1483">
        <v>0</v>
      </c>
      <c r="N98" s="1483">
        <v>0</v>
      </c>
      <c r="O98" s="1483">
        <v>0</v>
      </c>
      <c r="P98" s="970"/>
      <c r="Q98" s="969"/>
      <c r="R98" s="969"/>
    </row>
    <row r="99" spans="1:18" ht="20.100000000000001" customHeight="1">
      <c r="A99" s="1484" t="s">
        <v>623</v>
      </c>
      <c r="B99" s="1485" t="s">
        <v>3031</v>
      </c>
      <c r="C99" s="1486"/>
      <c r="D99" s="1486"/>
      <c r="E99" s="1486"/>
      <c r="F99" s="1487">
        <f t="shared" si="3"/>
        <v>8240.672885</v>
      </c>
      <c r="G99" s="1483">
        <v>0</v>
      </c>
      <c r="H99" s="1487">
        <v>8240.672885</v>
      </c>
      <c r="I99" s="1483">
        <v>0</v>
      </c>
      <c r="J99" s="1483">
        <v>0</v>
      </c>
      <c r="K99" s="1483">
        <f t="shared" si="4"/>
        <v>0</v>
      </c>
      <c r="L99" s="1483">
        <v>0</v>
      </c>
      <c r="M99" s="1483">
        <v>0</v>
      </c>
      <c r="N99" s="1483">
        <v>0</v>
      </c>
      <c r="O99" s="1483">
        <v>0</v>
      </c>
      <c r="P99" s="970"/>
      <c r="Q99" s="969"/>
      <c r="R99" s="969"/>
    </row>
    <row r="100" spans="1:18" ht="20.100000000000001" customHeight="1">
      <c r="A100" s="1484" t="s">
        <v>624</v>
      </c>
      <c r="B100" s="1485" t="s">
        <v>488</v>
      </c>
      <c r="C100" s="1486"/>
      <c r="D100" s="1486"/>
      <c r="E100" s="1486"/>
      <c r="F100" s="1487">
        <f>+H100+K100</f>
        <v>27798.780595999997</v>
      </c>
      <c r="G100" s="1483">
        <v>0</v>
      </c>
      <c r="H100" s="1487">
        <v>26705.700595999999</v>
      </c>
      <c r="I100" s="1483">
        <v>0</v>
      </c>
      <c r="J100" s="1483">
        <v>0</v>
      </c>
      <c r="K100" s="1488">
        <f t="shared" si="4"/>
        <v>1093.08</v>
      </c>
      <c r="L100" s="1487">
        <v>0</v>
      </c>
      <c r="M100" s="1487">
        <v>1093.08</v>
      </c>
      <c r="N100" s="1483">
        <v>0</v>
      </c>
      <c r="O100" s="1483">
        <v>0</v>
      </c>
      <c r="P100" s="970"/>
      <c r="Q100" s="969"/>
      <c r="R100" s="969"/>
    </row>
    <row r="101" spans="1:18" ht="20.100000000000001" customHeight="1">
      <c r="A101" s="1484" t="s">
        <v>625</v>
      </c>
      <c r="B101" s="1485" t="s">
        <v>3032</v>
      </c>
      <c r="C101" s="1486"/>
      <c r="D101" s="1486"/>
      <c r="E101" s="1486"/>
      <c r="F101" s="1487">
        <f t="shared" si="3"/>
        <v>1195.1326429999999</v>
      </c>
      <c r="G101" s="1483">
        <v>0</v>
      </c>
      <c r="H101" s="1487">
        <v>1195.1326429999999</v>
      </c>
      <c r="I101" s="1483">
        <v>0</v>
      </c>
      <c r="J101" s="1483">
        <v>0</v>
      </c>
      <c r="K101" s="1483">
        <f t="shared" si="4"/>
        <v>0</v>
      </c>
      <c r="L101" s="1483">
        <v>0</v>
      </c>
      <c r="M101" s="1483">
        <v>0</v>
      </c>
      <c r="N101" s="1483">
        <v>0</v>
      </c>
      <c r="O101" s="1483">
        <v>0</v>
      </c>
      <c r="P101" s="970"/>
      <c r="Q101" s="969"/>
      <c r="R101" s="969"/>
    </row>
    <row r="102" spans="1:18" ht="20.100000000000001" customHeight="1">
      <c r="A102" s="1484" t="s">
        <v>626</v>
      </c>
      <c r="B102" s="1485" t="s">
        <v>3033</v>
      </c>
      <c r="C102" s="1486"/>
      <c r="D102" s="1486"/>
      <c r="E102" s="1486"/>
      <c r="F102" s="1487">
        <f t="shared" si="3"/>
        <v>892.53524800000002</v>
      </c>
      <c r="G102" s="1483">
        <v>0</v>
      </c>
      <c r="H102" s="1487">
        <v>892.53524800000002</v>
      </c>
      <c r="I102" s="1483">
        <v>0</v>
      </c>
      <c r="J102" s="1483">
        <v>0</v>
      </c>
      <c r="K102" s="1483">
        <f t="shared" si="4"/>
        <v>0</v>
      </c>
      <c r="L102" s="1483">
        <v>0</v>
      </c>
      <c r="M102" s="1483">
        <v>0</v>
      </c>
      <c r="N102" s="1483">
        <v>0</v>
      </c>
      <c r="O102" s="1483">
        <v>0</v>
      </c>
      <c r="P102" s="970"/>
      <c r="Q102" s="969"/>
      <c r="R102" s="969"/>
    </row>
    <row r="103" spans="1:18" ht="20.100000000000001" customHeight="1">
      <c r="A103" s="1484" t="s">
        <v>628</v>
      </c>
      <c r="B103" s="1485" t="s">
        <v>2763</v>
      </c>
      <c r="C103" s="1486"/>
      <c r="D103" s="1486"/>
      <c r="E103" s="1486"/>
      <c r="F103" s="1487">
        <f t="shared" si="3"/>
        <v>4592.7320030000001</v>
      </c>
      <c r="G103" s="1483">
        <v>0</v>
      </c>
      <c r="H103" s="1487">
        <v>4592.7320030000001</v>
      </c>
      <c r="I103" s="1483">
        <v>0</v>
      </c>
      <c r="J103" s="1483">
        <v>0</v>
      </c>
      <c r="K103" s="1483">
        <f t="shared" si="4"/>
        <v>0</v>
      </c>
      <c r="L103" s="1483">
        <v>0</v>
      </c>
      <c r="M103" s="1483">
        <v>0</v>
      </c>
      <c r="N103" s="1483">
        <v>0</v>
      </c>
      <c r="O103" s="1483">
        <v>0</v>
      </c>
      <c r="P103" s="970"/>
      <c r="Q103" s="969"/>
      <c r="R103" s="969"/>
    </row>
    <row r="104" spans="1:18" ht="20.100000000000001" customHeight="1">
      <c r="A104" s="1484" t="s">
        <v>629</v>
      </c>
      <c r="B104" s="1485" t="s">
        <v>3034</v>
      </c>
      <c r="C104" s="1486"/>
      <c r="D104" s="1486"/>
      <c r="E104" s="1486"/>
      <c r="F104" s="1487">
        <f t="shared" si="3"/>
        <v>2360.5631520000002</v>
      </c>
      <c r="G104" s="1483">
        <v>0</v>
      </c>
      <c r="H104" s="1487">
        <v>2360.5631520000002</v>
      </c>
      <c r="I104" s="1483">
        <v>0</v>
      </c>
      <c r="J104" s="1483">
        <v>0</v>
      </c>
      <c r="K104" s="1483">
        <f t="shared" si="4"/>
        <v>0</v>
      </c>
      <c r="L104" s="1483">
        <v>0</v>
      </c>
      <c r="M104" s="1483">
        <v>0</v>
      </c>
      <c r="N104" s="1483">
        <v>0</v>
      </c>
      <c r="O104" s="1483">
        <v>0</v>
      </c>
      <c r="P104" s="970"/>
      <c r="Q104" s="969"/>
      <c r="R104" s="969"/>
    </row>
    <row r="105" spans="1:18" ht="20.100000000000001" customHeight="1">
      <c r="A105" s="1484" t="s">
        <v>630</v>
      </c>
      <c r="B105" s="1485" t="s">
        <v>3035</v>
      </c>
      <c r="C105" s="1486"/>
      <c r="D105" s="1486"/>
      <c r="E105" s="1486"/>
      <c r="F105" s="1487">
        <f t="shared" si="3"/>
        <v>11828.753099</v>
      </c>
      <c r="G105" s="1483">
        <v>0</v>
      </c>
      <c r="H105" s="1487">
        <v>11828.753099</v>
      </c>
      <c r="I105" s="1483">
        <v>0</v>
      </c>
      <c r="J105" s="1483">
        <v>0</v>
      </c>
      <c r="K105" s="1483">
        <f t="shared" si="4"/>
        <v>0</v>
      </c>
      <c r="L105" s="1483">
        <v>0</v>
      </c>
      <c r="M105" s="1483">
        <v>0</v>
      </c>
      <c r="N105" s="1483">
        <v>0</v>
      </c>
      <c r="O105" s="1483">
        <v>0</v>
      </c>
      <c r="P105" s="970"/>
      <c r="Q105" s="969"/>
      <c r="R105" s="969"/>
    </row>
    <row r="106" spans="1:18" ht="20.100000000000001" customHeight="1">
      <c r="A106" s="1484" t="s">
        <v>631</v>
      </c>
      <c r="B106" s="1485" t="s">
        <v>3036</v>
      </c>
      <c r="C106" s="1486"/>
      <c r="D106" s="1486"/>
      <c r="E106" s="1486"/>
      <c r="F106" s="1487">
        <f t="shared" si="3"/>
        <v>1811.872359</v>
      </c>
      <c r="G106" s="1483">
        <v>0</v>
      </c>
      <c r="H106" s="1487">
        <v>1811.872359</v>
      </c>
      <c r="I106" s="1483">
        <v>0</v>
      </c>
      <c r="J106" s="1483">
        <v>0</v>
      </c>
      <c r="K106" s="1483">
        <f t="shared" si="4"/>
        <v>0</v>
      </c>
      <c r="L106" s="1483">
        <v>0</v>
      </c>
      <c r="M106" s="1483">
        <v>0</v>
      </c>
      <c r="N106" s="1483">
        <v>0</v>
      </c>
      <c r="O106" s="1483">
        <v>0</v>
      </c>
      <c r="P106" s="970"/>
      <c r="Q106" s="969"/>
      <c r="R106" s="969"/>
    </row>
    <row r="107" spans="1:18" ht="20.100000000000001" customHeight="1">
      <c r="A107" s="1484" t="s">
        <v>632</v>
      </c>
      <c r="B107" s="1485" t="s">
        <v>2764</v>
      </c>
      <c r="C107" s="1486"/>
      <c r="D107" s="1486"/>
      <c r="E107" s="1486"/>
      <c r="F107" s="1487">
        <f t="shared" si="3"/>
        <v>2001.071653</v>
      </c>
      <c r="G107" s="1483">
        <v>0</v>
      </c>
      <c r="H107" s="1487">
        <v>2001.071653</v>
      </c>
      <c r="I107" s="1483">
        <v>0</v>
      </c>
      <c r="J107" s="1483">
        <v>0</v>
      </c>
      <c r="K107" s="1483">
        <f t="shared" si="4"/>
        <v>0</v>
      </c>
      <c r="L107" s="1483">
        <v>0</v>
      </c>
      <c r="M107" s="1483">
        <v>0</v>
      </c>
      <c r="N107" s="1483">
        <v>0</v>
      </c>
      <c r="O107" s="1483">
        <v>0</v>
      </c>
      <c r="P107" s="970"/>
      <c r="Q107" s="969"/>
      <c r="R107" s="969"/>
    </row>
    <row r="108" spans="1:18" ht="20.100000000000001" customHeight="1">
      <c r="A108" s="1484" t="s">
        <v>633</v>
      </c>
      <c r="B108" s="1485" t="s">
        <v>3037</v>
      </c>
      <c r="C108" s="1486"/>
      <c r="D108" s="1486"/>
      <c r="E108" s="1486"/>
      <c r="F108" s="1487">
        <f t="shared" si="3"/>
        <v>1507.575865</v>
      </c>
      <c r="G108" s="1483">
        <v>0</v>
      </c>
      <c r="H108" s="1487">
        <v>1507.575865</v>
      </c>
      <c r="I108" s="1483">
        <v>0</v>
      </c>
      <c r="J108" s="1483">
        <v>0</v>
      </c>
      <c r="K108" s="1483">
        <f t="shared" si="4"/>
        <v>0</v>
      </c>
      <c r="L108" s="1483">
        <v>0</v>
      </c>
      <c r="M108" s="1483">
        <v>0</v>
      </c>
      <c r="N108" s="1483">
        <v>0</v>
      </c>
      <c r="O108" s="1483">
        <v>0</v>
      </c>
      <c r="P108" s="970"/>
      <c r="Q108" s="969"/>
      <c r="R108" s="969"/>
    </row>
    <row r="109" spans="1:18" ht="20.100000000000001" customHeight="1">
      <c r="A109" s="1484" t="s">
        <v>634</v>
      </c>
      <c r="B109" s="1485" t="s">
        <v>3038</v>
      </c>
      <c r="C109" s="1486"/>
      <c r="D109" s="1486"/>
      <c r="E109" s="1486"/>
      <c r="F109" s="1487">
        <f t="shared" si="3"/>
        <v>316.21591899999999</v>
      </c>
      <c r="G109" s="1483">
        <v>0</v>
      </c>
      <c r="H109" s="1487">
        <v>316.21591899999999</v>
      </c>
      <c r="I109" s="1483">
        <v>0</v>
      </c>
      <c r="J109" s="1483">
        <v>0</v>
      </c>
      <c r="K109" s="1483">
        <f t="shared" si="4"/>
        <v>0</v>
      </c>
      <c r="L109" s="1483">
        <v>0</v>
      </c>
      <c r="M109" s="1483">
        <v>0</v>
      </c>
      <c r="N109" s="1483">
        <v>0</v>
      </c>
      <c r="O109" s="1483">
        <v>0</v>
      </c>
      <c r="P109" s="970"/>
      <c r="Q109" s="969"/>
      <c r="R109" s="969"/>
    </row>
    <row r="110" spans="1:18" ht="20.100000000000001" customHeight="1">
      <c r="A110" s="1484" t="s">
        <v>635</v>
      </c>
      <c r="B110" s="1485" t="s">
        <v>3039</v>
      </c>
      <c r="C110" s="1486"/>
      <c r="D110" s="1486"/>
      <c r="E110" s="1486"/>
      <c r="F110" s="1487">
        <f t="shared" si="3"/>
        <v>6445.4613390000004</v>
      </c>
      <c r="G110" s="1483">
        <v>0</v>
      </c>
      <c r="H110" s="1487">
        <v>6445.4613390000004</v>
      </c>
      <c r="I110" s="1483">
        <v>0</v>
      </c>
      <c r="J110" s="1483">
        <v>0</v>
      </c>
      <c r="K110" s="1483">
        <f t="shared" si="4"/>
        <v>0</v>
      </c>
      <c r="L110" s="1483">
        <v>0</v>
      </c>
      <c r="M110" s="1483">
        <v>0</v>
      </c>
      <c r="N110" s="1483">
        <v>0</v>
      </c>
      <c r="O110" s="1483">
        <v>0</v>
      </c>
      <c r="P110" s="970"/>
      <c r="Q110" s="969"/>
      <c r="R110" s="969"/>
    </row>
    <row r="111" spans="1:18" ht="20.100000000000001" customHeight="1">
      <c r="A111" s="1484" t="s">
        <v>636</v>
      </c>
      <c r="B111" s="1485" t="s">
        <v>3040</v>
      </c>
      <c r="C111" s="1486"/>
      <c r="D111" s="1486"/>
      <c r="E111" s="1486"/>
      <c r="F111" s="1487">
        <f t="shared" si="3"/>
        <v>5450.7361350000001</v>
      </c>
      <c r="G111" s="1483">
        <v>0</v>
      </c>
      <c r="H111" s="1487">
        <v>5450.7361350000001</v>
      </c>
      <c r="I111" s="1483">
        <v>0</v>
      </c>
      <c r="J111" s="1483">
        <v>0</v>
      </c>
      <c r="K111" s="1483">
        <f t="shared" si="4"/>
        <v>0</v>
      </c>
      <c r="L111" s="1483">
        <v>0</v>
      </c>
      <c r="M111" s="1483">
        <v>0</v>
      </c>
      <c r="N111" s="1483">
        <v>0</v>
      </c>
      <c r="O111" s="1483">
        <v>0</v>
      </c>
      <c r="P111" s="970"/>
      <c r="Q111" s="969"/>
      <c r="R111" s="969"/>
    </row>
    <row r="112" spans="1:18" ht="20.100000000000001" customHeight="1">
      <c r="A112" s="1484" t="s">
        <v>637</v>
      </c>
      <c r="B112" s="1485" t="s">
        <v>716</v>
      </c>
      <c r="C112" s="1486"/>
      <c r="D112" s="1486"/>
      <c r="E112" s="1486"/>
      <c r="F112" s="1487">
        <f t="shared" si="3"/>
        <v>1789.9063650000001</v>
      </c>
      <c r="G112" s="1483">
        <v>0</v>
      </c>
      <c r="H112" s="1487">
        <v>1789.9063650000001</v>
      </c>
      <c r="I112" s="1483">
        <v>0</v>
      </c>
      <c r="J112" s="1483">
        <v>0</v>
      </c>
      <c r="K112" s="1483">
        <f t="shared" si="4"/>
        <v>0</v>
      </c>
      <c r="L112" s="1483">
        <v>0</v>
      </c>
      <c r="M112" s="1483">
        <v>0</v>
      </c>
      <c r="N112" s="1483">
        <v>0</v>
      </c>
      <c r="O112" s="1483">
        <v>0</v>
      </c>
      <c r="P112" s="970"/>
      <c r="Q112" s="969"/>
      <c r="R112" s="969"/>
    </row>
    <row r="113" spans="1:18" ht="20.100000000000001" customHeight="1">
      <c r="A113" s="1484" t="s">
        <v>638</v>
      </c>
      <c r="B113" s="1485" t="s">
        <v>2765</v>
      </c>
      <c r="C113" s="1486"/>
      <c r="D113" s="1486"/>
      <c r="E113" s="1486"/>
      <c r="F113" s="1487">
        <f t="shared" si="3"/>
        <v>135102.39046200001</v>
      </c>
      <c r="G113" s="1483">
        <v>0</v>
      </c>
      <c r="H113" s="1487">
        <v>135102.39046200001</v>
      </c>
      <c r="I113" s="1483">
        <v>0</v>
      </c>
      <c r="J113" s="1483">
        <v>0</v>
      </c>
      <c r="K113" s="1483">
        <f t="shared" si="4"/>
        <v>0</v>
      </c>
      <c r="L113" s="1483">
        <v>0</v>
      </c>
      <c r="M113" s="1483">
        <v>0</v>
      </c>
      <c r="N113" s="1483">
        <v>0</v>
      </c>
      <c r="O113" s="1483">
        <v>0</v>
      </c>
      <c r="P113" s="970"/>
      <c r="Q113" s="969"/>
      <c r="R113" s="969"/>
    </row>
    <row r="114" spans="1:18" ht="20.100000000000001" customHeight="1">
      <c r="A114" s="1484" t="s">
        <v>639</v>
      </c>
      <c r="B114" s="1485" t="s">
        <v>3041</v>
      </c>
      <c r="C114" s="1486"/>
      <c r="D114" s="1486"/>
      <c r="E114" s="1486"/>
      <c r="F114" s="1487">
        <f>+H114+K114</f>
        <v>13077.185423999999</v>
      </c>
      <c r="G114" s="1483">
        <v>0</v>
      </c>
      <c r="H114" s="1487">
        <v>12827.185423999999</v>
      </c>
      <c r="I114" s="1483">
        <v>0</v>
      </c>
      <c r="J114" s="1483">
        <v>0</v>
      </c>
      <c r="K114" s="1488">
        <f t="shared" si="4"/>
        <v>250</v>
      </c>
      <c r="L114" s="1483">
        <v>0</v>
      </c>
      <c r="M114" s="1487">
        <v>250</v>
      </c>
      <c r="N114" s="1483">
        <v>0</v>
      </c>
      <c r="O114" s="1483">
        <v>0</v>
      </c>
      <c r="P114" s="970"/>
      <c r="Q114" s="969"/>
      <c r="R114" s="969"/>
    </row>
    <row r="115" spans="1:18" ht="20.100000000000001" customHeight="1">
      <c r="A115" s="1484" t="s">
        <v>640</v>
      </c>
      <c r="B115" s="1485" t="s">
        <v>3042</v>
      </c>
      <c r="C115" s="1486"/>
      <c r="D115" s="1486"/>
      <c r="E115" s="1486"/>
      <c r="F115" s="1487">
        <f t="shared" si="3"/>
        <v>2665.7482639999998</v>
      </c>
      <c r="G115" s="1483">
        <v>0</v>
      </c>
      <c r="H115" s="1487">
        <v>2665.7482639999998</v>
      </c>
      <c r="I115" s="1483">
        <v>0</v>
      </c>
      <c r="J115" s="1483">
        <v>0</v>
      </c>
      <c r="K115" s="1483">
        <f t="shared" si="4"/>
        <v>0</v>
      </c>
      <c r="L115" s="1483">
        <v>0</v>
      </c>
      <c r="M115" s="1483">
        <v>0</v>
      </c>
      <c r="N115" s="1483">
        <v>0</v>
      </c>
      <c r="O115" s="1483">
        <v>0</v>
      </c>
      <c r="P115" s="970"/>
      <c r="Q115" s="969"/>
      <c r="R115" s="969"/>
    </row>
    <row r="116" spans="1:18" ht="20.100000000000001" customHeight="1">
      <c r="A116" s="1484" t="s">
        <v>641</v>
      </c>
      <c r="B116" s="1485" t="s">
        <v>3043</v>
      </c>
      <c r="C116" s="1486"/>
      <c r="D116" s="1486"/>
      <c r="E116" s="1486"/>
      <c r="F116" s="1487">
        <f t="shared" si="3"/>
        <v>2410.268231</v>
      </c>
      <c r="G116" s="1483">
        <v>0</v>
      </c>
      <c r="H116" s="1487">
        <v>2410.268231</v>
      </c>
      <c r="I116" s="1483">
        <v>0</v>
      </c>
      <c r="J116" s="1483">
        <v>0</v>
      </c>
      <c r="K116" s="1483">
        <f t="shared" si="4"/>
        <v>0</v>
      </c>
      <c r="L116" s="1483">
        <v>0</v>
      </c>
      <c r="M116" s="1483">
        <v>0</v>
      </c>
      <c r="N116" s="1483">
        <v>0</v>
      </c>
      <c r="O116" s="1483">
        <v>0</v>
      </c>
      <c r="P116" s="970"/>
      <c r="Q116" s="969"/>
      <c r="R116" s="969"/>
    </row>
    <row r="117" spans="1:18" ht="20.100000000000001" customHeight="1">
      <c r="A117" s="1484" t="s">
        <v>642</v>
      </c>
      <c r="B117" s="1485" t="s">
        <v>3044</v>
      </c>
      <c r="C117" s="1486"/>
      <c r="D117" s="1486"/>
      <c r="E117" s="1486"/>
      <c r="F117" s="1487">
        <f t="shared" si="3"/>
        <v>4691.2884000000004</v>
      </c>
      <c r="G117" s="1483">
        <v>0</v>
      </c>
      <c r="H117" s="1487">
        <v>4691.2884000000004</v>
      </c>
      <c r="I117" s="1483">
        <v>0</v>
      </c>
      <c r="J117" s="1483">
        <v>0</v>
      </c>
      <c r="K117" s="1483">
        <f t="shared" si="4"/>
        <v>0</v>
      </c>
      <c r="L117" s="1483">
        <v>0</v>
      </c>
      <c r="M117" s="1483">
        <v>0</v>
      </c>
      <c r="N117" s="1483">
        <v>0</v>
      </c>
      <c r="O117" s="1483">
        <v>0</v>
      </c>
      <c r="P117" s="970"/>
      <c r="Q117" s="969"/>
      <c r="R117" s="969"/>
    </row>
    <row r="118" spans="1:18" ht="20.100000000000001" customHeight="1">
      <c r="A118" s="1484" t="s">
        <v>643</v>
      </c>
      <c r="B118" s="1485" t="s">
        <v>3045</v>
      </c>
      <c r="C118" s="1486"/>
      <c r="D118" s="1486"/>
      <c r="E118" s="1486"/>
      <c r="F118" s="1487">
        <f t="shared" si="3"/>
        <v>451.55067600000001</v>
      </c>
      <c r="G118" s="1483">
        <v>0</v>
      </c>
      <c r="H118" s="1487">
        <v>451.55067600000001</v>
      </c>
      <c r="I118" s="1483">
        <v>0</v>
      </c>
      <c r="J118" s="1483">
        <v>0</v>
      </c>
      <c r="K118" s="1483">
        <f t="shared" si="4"/>
        <v>0</v>
      </c>
      <c r="L118" s="1483">
        <v>0</v>
      </c>
      <c r="M118" s="1483">
        <v>0</v>
      </c>
      <c r="N118" s="1483">
        <v>0</v>
      </c>
      <c r="O118" s="1483">
        <v>0</v>
      </c>
      <c r="P118" s="970"/>
      <c r="Q118" s="969"/>
      <c r="R118" s="969"/>
    </row>
    <row r="119" spans="1:18" ht="20.100000000000001" customHeight="1">
      <c r="A119" s="1484" t="s">
        <v>644</v>
      </c>
      <c r="B119" s="1485" t="s">
        <v>2766</v>
      </c>
      <c r="C119" s="1486"/>
      <c r="D119" s="1486"/>
      <c r="E119" s="1486"/>
      <c r="F119" s="1487">
        <f t="shared" si="3"/>
        <v>2830.0019550000002</v>
      </c>
      <c r="G119" s="1483">
        <v>0</v>
      </c>
      <c r="H119" s="1487">
        <v>2830.0019550000002</v>
      </c>
      <c r="I119" s="1483">
        <v>0</v>
      </c>
      <c r="J119" s="1483">
        <v>0</v>
      </c>
      <c r="K119" s="1483">
        <f t="shared" si="4"/>
        <v>0</v>
      </c>
      <c r="L119" s="1483">
        <v>0</v>
      </c>
      <c r="M119" s="1483">
        <v>0</v>
      </c>
      <c r="N119" s="1483">
        <v>0</v>
      </c>
      <c r="O119" s="1483">
        <v>0</v>
      </c>
      <c r="P119" s="970"/>
      <c r="Q119" s="969"/>
      <c r="R119" s="969"/>
    </row>
    <row r="120" spans="1:18" ht="20.100000000000001" customHeight="1">
      <c r="A120" s="1484" t="s">
        <v>645</v>
      </c>
      <c r="B120" s="1485" t="s">
        <v>3046</v>
      </c>
      <c r="C120" s="1486"/>
      <c r="D120" s="1486"/>
      <c r="E120" s="1486"/>
      <c r="F120" s="1487">
        <f>+H120+K120</f>
        <v>6680.982669</v>
      </c>
      <c r="G120" s="1483">
        <v>0</v>
      </c>
      <c r="H120" s="1487">
        <v>6431.8826689999996</v>
      </c>
      <c r="I120" s="1483">
        <v>0</v>
      </c>
      <c r="J120" s="1483">
        <v>0</v>
      </c>
      <c r="K120" s="1488">
        <f t="shared" si="4"/>
        <v>249.1</v>
      </c>
      <c r="L120" s="1483">
        <v>0</v>
      </c>
      <c r="M120" s="1487">
        <v>249.1</v>
      </c>
      <c r="N120" s="1483">
        <v>0</v>
      </c>
      <c r="O120" s="1483">
        <v>0</v>
      </c>
      <c r="P120" s="970"/>
      <c r="Q120" s="969"/>
      <c r="R120" s="969"/>
    </row>
    <row r="121" spans="1:18" ht="20.100000000000001" customHeight="1">
      <c r="A121" s="1484" t="s">
        <v>646</v>
      </c>
      <c r="B121" s="1485" t="s">
        <v>2767</v>
      </c>
      <c r="C121" s="1486"/>
      <c r="D121" s="1486"/>
      <c r="E121" s="1486"/>
      <c r="F121" s="1487">
        <f t="shared" si="3"/>
        <v>10538.7678</v>
      </c>
      <c r="G121" s="1483">
        <v>0</v>
      </c>
      <c r="H121" s="1487">
        <v>10538.7678</v>
      </c>
      <c r="I121" s="1483">
        <v>0</v>
      </c>
      <c r="J121" s="1483">
        <v>0</v>
      </c>
      <c r="K121" s="1483">
        <f t="shared" si="4"/>
        <v>0</v>
      </c>
      <c r="L121" s="1483">
        <v>0</v>
      </c>
      <c r="M121" s="1483">
        <v>0</v>
      </c>
      <c r="N121" s="1483">
        <v>0</v>
      </c>
      <c r="O121" s="1483">
        <v>0</v>
      </c>
      <c r="P121" s="970"/>
      <c r="Q121" s="969"/>
      <c r="R121" s="969"/>
    </row>
    <row r="122" spans="1:18" ht="20.100000000000001" customHeight="1">
      <c r="A122" s="1484" t="s">
        <v>647</v>
      </c>
      <c r="B122" s="1485" t="s">
        <v>2768</v>
      </c>
      <c r="C122" s="1486"/>
      <c r="D122" s="1486"/>
      <c r="E122" s="1486"/>
      <c r="F122" s="1487">
        <f t="shared" si="3"/>
        <v>14332.984913</v>
      </c>
      <c r="G122" s="1483">
        <v>0</v>
      </c>
      <c r="H122" s="1487">
        <v>14332.984913</v>
      </c>
      <c r="I122" s="1483">
        <v>0</v>
      </c>
      <c r="J122" s="1483">
        <v>0</v>
      </c>
      <c r="K122" s="1483">
        <f t="shared" si="4"/>
        <v>0</v>
      </c>
      <c r="L122" s="1483">
        <v>0</v>
      </c>
      <c r="M122" s="1483">
        <v>0</v>
      </c>
      <c r="N122" s="1483">
        <v>0</v>
      </c>
      <c r="O122" s="1483">
        <v>0</v>
      </c>
      <c r="P122" s="970"/>
      <c r="Q122" s="969"/>
      <c r="R122" s="969"/>
    </row>
    <row r="123" spans="1:18" ht="20.100000000000001" customHeight="1">
      <c r="A123" s="1484" t="s">
        <v>648</v>
      </c>
      <c r="B123" s="1485" t="s">
        <v>3047</v>
      </c>
      <c r="C123" s="1486"/>
      <c r="D123" s="1486"/>
      <c r="E123" s="1486"/>
      <c r="F123" s="1487">
        <f t="shared" si="3"/>
        <v>6137.8329249999997</v>
      </c>
      <c r="G123" s="1483">
        <v>0</v>
      </c>
      <c r="H123" s="1487">
        <v>6137.8329249999997</v>
      </c>
      <c r="I123" s="1483">
        <v>0</v>
      </c>
      <c r="J123" s="1483">
        <v>0</v>
      </c>
      <c r="K123" s="1483">
        <f t="shared" si="4"/>
        <v>0</v>
      </c>
      <c r="L123" s="1483">
        <v>0</v>
      </c>
      <c r="M123" s="1483">
        <v>0</v>
      </c>
      <c r="N123" s="1483">
        <v>0</v>
      </c>
      <c r="O123" s="1483">
        <v>0</v>
      </c>
      <c r="P123" s="970"/>
      <c r="Q123" s="969"/>
      <c r="R123" s="969"/>
    </row>
    <row r="124" spans="1:18" ht="20.100000000000001" customHeight="1">
      <c r="A124" s="1484" t="s">
        <v>649</v>
      </c>
      <c r="B124" s="1485" t="s">
        <v>2769</v>
      </c>
      <c r="C124" s="1486"/>
      <c r="D124" s="1486"/>
      <c r="E124" s="1486"/>
      <c r="F124" s="1487">
        <f t="shared" si="3"/>
        <v>10442.018754999999</v>
      </c>
      <c r="G124" s="1483">
        <v>0</v>
      </c>
      <c r="H124" s="1487">
        <v>10442.018754999999</v>
      </c>
      <c r="I124" s="1483">
        <v>0</v>
      </c>
      <c r="J124" s="1483">
        <v>0</v>
      </c>
      <c r="K124" s="1483">
        <f t="shared" si="4"/>
        <v>0</v>
      </c>
      <c r="L124" s="1483">
        <v>0</v>
      </c>
      <c r="M124" s="1483">
        <v>0</v>
      </c>
      <c r="N124" s="1483">
        <v>0</v>
      </c>
      <c r="O124" s="1483">
        <v>0</v>
      </c>
      <c r="P124" s="970"/>
      <c r="Q124" s="969"/>
      <c r="R124" s="969"/>
    </row>
    <row r="125" spans="1:18" ht="20.100000000000001" customHeight="1">
      <c r="A125" s="1484" t="s">
        <v>650</v>
      </c>
      <c r="B125" s="1485" t="s">
        <v>2770</v>
      </c>
      <c r="C125" s="1486"/>
      <c r="D125" s="1486"/>
      <c r="E125" s="1486"/>
      <c r="F125" s="1487">
        <f t="shared" si="3"/>
        <v>14193.680474999999</v>
      </c>
      <c r="G125" s="1483">
        <v>0</v>
      </c>
      <c r="H125" s="1487">
        <v>14193.680474999999</v>
      </c>
      <c r="I125" s="1483">
        <v>0</v>
      </c>
      <c r="J125" s="1483">
        <v>0</v>
      </c>
      <c r="K125" s="1483">
        <f t="shared" si="4"/>
        <v>0</v>
      </c>
      <c r="L125" s="1483">
        <v>0</v>
      </c>
      <c r="M125" s="1483">
        <v>0</v>
      </c>
      <c r="N125" s="1483">
        <v>0</v>
      </c>
      <c r="O125" s="1483">
        <v>0</v>
      </c>
      <c r="P125" s="970"/>
      <c r="Q125" s="969"/>
      <c r="R125" s="969"/>
    </row>
    <row r="126" spans="1:18" ht="20.100000000000001" customHeight="1">
      <c r="A126" s="1484" t="s">
        <v>651</v>
      </c>
      <c r="B126" s="1485" t="s">
        <v>3048</v>
      </c>
      <c r="C126" s="1486"/>
      <c r="D126" s="1486"/>
      <c r="E126" s="1486"/>
      <c r="F126" s="1487">
        <f t="shared" si="3"/>
        <v>5727.1909999999998</v>
      </c>
      <c r="G126" s="1483">
        <v>0</v>
      </c>
      <c r="H126" s="1487">
        <v>5727.1909999999998</v>
      </c>
      <c r="I126" s="1483">
        <v>0</v>
      </c>
      <c r="J126" s="1483">
        <v>0</v>
      </c>
      <c r="K126" s="1483">
        <f t="shared" si="4"/>
        <v>0</v>
      </c>
      <c r="L126" s="1483">
        <v>0</v>
      </c>
      <c r="M126" s="1483">
        <v>0</v>
      </c>
      <c r="N126" s="1483">
        <v>0</v>
      </c>
      <c r="O126" s="1483">
        <v>0</v>
      </c>
      <c r="P126" s="970"/>
      <c r="Q126" s="969"/>
      <c r="R126" s="969"/>
    </row>
    <row r="127" spans="1:18" ht="20.100000000000001" customHeight="1">
      <c r="A127" s="1484" t="s">
        <v>652</v>
      </c>
      <c r="B127" s="1485" t="s">
        <v>3049</v>
      </c>
      <c r="C127" s="1486"/>
      <c r="D127" s="1486"/>
      <c r="E127" s="1486"/>
      <c r="F127" s="1487">
        <f t="shared" si="3"/>
        <v>11456.066827000001</v>
      </c>
      <c r="G127" s="1483">
        <v>0</v>
      </c>
      <c r="H127" s="1487">
        <v>11456.066827000001</v>
      </c>
      <c r="I127" s="1483">
        <v>0</v>
      </c>
      <c r="J127" s="1483">
        <v>0</v>
      </c>
      <c r="K127" s="1483">
        <f t="shared" si="4"/>
        <v>0</v>
      </c>
      <c r="L127" s="1483">
        <v>0</v>
      </c>
      <c r="M127" s="1483">
        <v>0</v>
      </c>
      <c r="N127" s="1483">
        <v>0</v>
      </c>
      <c r="O127" s="1483">
        <v>0</v>
      </c>
      <c r="P127" s="970"/>
      <c r="Q127" s="969"/>
      <c r="R127" s="969"/>
    </row>
    <row r="128" spans="1:18" ht="20.100000000000001" customHeight="1">
      <c r="A128" s="1484" t="s">
        <v>653</v>
      </c>
      <c r="B128" s="1485" t="s">
        <v>3050</v>
      </c>
      <c r="C128" s="1486"/>
      <c r="D128" s="1486"/>
      <c r="E128" s="1486"/>
      <c r="F128" s="1487">
        <f t="shared" si="3"/>
        <v>6828.717807</v>
      </c>
      <c r="G128" s="1483">
        <v>0</v>
      </c>
      <c r="H128" s="1487">
        <v>6828.717807</v>
      </c>
      <c r="I128" s="1483">
        <v>0</v>
      </c>
      <c r="J128" s="1483">
        <v>0</v>
      </c>
      <c r="K128" s="1483">
        <f t="shared" si="4"/>
        <v>0</v>
      </c>
      <c r="L128" s="1483">
        <v>0</v>
      </c>
      <c r="M128" s="1483">
        <v>0</v>
      </c>
      <c r="N128" s="1483">
        <v>0</v>
      </c>
      <c r="O128" s="1483">
        <v>0</v>
      </c>
      <c r="P128" s="970"/>
      <c r="Q128" s="969"/>
      <c r="R128" s="969"/>
    </row>
    <row r="129" spans="1:18" ht="20.100000000000001" customHeight="1">
      <c r="A129" s="1484" t="s">
        <v>654</v>
      </c>
      <c r="B129" s="1485" t="s">
        <v>2771</v>
      </c>
      <c r="C129" s="1486"/>
      <c r="D129" s="1486"/>
      <c r="E129" s="1486"/>
      <c r="F129" s="1487">
        <f t="shared" si="3"/>
        <v>9277.4491510000007</v>
      </c>
      <c r="G129" s="1483">
        <v>0</v>
      </c>
      <c r="H129" s="1487">
        <v>9277.4491510000007</v>
      </c>
      <c r="I129" s="1483">
        <v>0</v>
      </c>
      <c r="J129" s="1483">
        <v>0</v>
      </c>
      <c r="K129" s="1483">
        <f t="shared" si="4"/>
        <v>0</v>
      </c>
      <c r="L129" s="1483">
        <v>0</v>
      </c>
      <c r="M129" s="1483">
        <v>0</v>
      </c>
      <c r="N129" s="1483">
        <v>0</v>
      </c>
      <c r="O129" s="1483">
        <v>0</v>
      </c>
      <c r="P129" s="970"/>
      <c r="Q129" s="969"/>
      <c r="R129" s="969"/>
    </row>
    <row r="130" spans="1:18" ht="20.100000000000001" customHeight="1">
      <c r="A130" s="1484" t="s">
        <v>655</v>
      </c>
      <c r="B130" s="1485" t="s">
        <v>3051</v>
      </c>
      <c r="C130" s="1486"/>
      <c r="D130" s="1486"/>
      <c r="E130" s="1486"/>
      <c r="F130" s="1487">
        <f t="shared" si="3"/>
        <v>10022.899471999999</v>
      </c>
      <c r="G130" s="1483">
        <v>0</v>
      </c>
      <c r="H130" s="1487">
        <v>10022.899471999999</v>
      </c>
      <c r="I130" s="1483">
        <v>0</v>
      </c>
      <c r="J130" s="1483">
        <v>0</v>
      </c>
      <c r="K130" s="1483">
        <f t="shared" si="4"/>
        <v>0</v>
      </c>
      <c r="L130" s="1483">
        <v>0</v>
      </c>
      <c r="M130" s="1483">
        <v>0</v>
      </c>
      <c r="N130" s="1483">
        <v>0</v>
      </c>
      <c r="O130" s="1483">
        <v>0</v>
      </c>
      <c r="P130" s="970"/>
      <c r="Q130" s="969"/>
      <c r="R130" s="969"/>
    </row>
    <row r="131" spans="1:18" ht="20.100000000000001" customHeight="1">
      <c r="A131" s="1484" t="s">
        <v>656</v>
      </c>
      <c r="B131" s="1485" t="s">
        <v>3052</v>
      </c>
      <c r="C131" s="1486"/>
      <c r="D131" s="1486"/>
      <c r="E131" s="1486"/>
      <c r="F131" s="1487">
        <f t="shared" si="3"/>
        <v>4812.9454320000004</v>
      </c>
      <c r="G131" s="1483">
        <v>0</v>
      </c>
      <c r="H131" s="1487">
        <v>4812.9454320000004</v>
      </c>
      <c r="I131" s="1483">
        <v>0</v>
      </c>
      <c r="J131" s="1483">
        <v>0</v>
      </c>
      <c r="K131" s="1483">
        <f t="shared" si="4"/>
        <v>0</v>
      </c>
      <c r="L131" s="1483">
        <v>0</v>
      </c>
      <c r="M131" s="1483">
        <v>0</v>
      </c>
      <c r="N131" s="1483">
        <v>0</v>
      </c>
      <c r="O131" s="1483">
        <v>0</v>
      </c>
      <c r="P131" s="970"/>
      <c r="Q131" s="969"/>
      <c r="R131" s="969"/>
    </row>
    <row r="132" spans="1:18" ht="20.100000000000001" customHeight="1">
      <c r="A132" s="1484" t="s">
        <v>657</v>
      </c>
      <c r="B132" s="1485" t="s">
        <v>2772</v>
      </c>
      <c r="C132" s="1486"/>
      <c r="D132" s="1486"/>
      <c r="E132" s="1486"/>
      <c r="F132" s="1487">
        <f t="shared" si="3"/>
        <v>24073.591071999999</v>
      </c>
      <c r="G132" s="1483">
        <v>0</v>
      </c>
      <c r="H132" s="1487">
        <v>24073.591071999999</v>
      </c>
      <c r="I132" s="1483">
        <v>0</v>
      </c>
      <c r="J132" s="1483">
        <v>0</v>
      </c>
      <c r="K132" s="1483">
        <f t="shared" si="4"/>
        <v>0</v>
      </c>
      <c r="L132" s="1483">
        <v>0</v>
      </c>
      <c r="M132" s="1483">
        <v>0</v>
      </c>
      <c r="N132" s="1483">
        <v>0</v>
      </c>
      <c r="O132" s="1483">
        <v>0</v>
      </c>
      <c r="P132" s="970"/>
      <c r="Q132" s="969"/>
      <c r="R132" s="969"/>
    </row>
    <row r="133" spans="1:18" ht="20.100000000000001" customHeight="1">
      <c r="A133" s="1484" t="s">
        <v>658</v>
      </c>
      <c r="B133" s="1485" t="s">
        <v>2773</v>
      </c>
      <c r="C133" s="1486"/>
      <c r="D133" s="1486"/>
      <c r="E133" s="1486"/>
      <c r="F133" s="1487">
        <f t="shared" si="3"/>
        <v>6333.9110000000001</v>
      </c>
      <c r="G133" s="1483">
        <v>0</v>
      </c>
      <c r="H133" s="1487">
        <v>6333.9110000000001</v>
      </c>
      <c r="I133" s="1483">
        <v>0</v>
      </c>
      <c r="J133" s="1483">
        <v>0</v>
      </c>
      <c r="K133" s="1483">
        <f t="shared" si="4"/>
        <v>0</v>
      </c>
      <c r="L133" s="1483">
        <v>0</v>
      </c>
      <c r="M133" s="1483">
        <v>0</v>
      </c>
      <c r="N133" s="1483">
        <v>0</v>
      </c>
      <c r="O133" s="1483">
        <v>0</v>
      </c>
      <c r="P133" s="970"/>
      <c r="Q133" s="969"/>
      <c r="R133" s="969"/>
    </row>
    <row r="134" spans="1:18" ht="20.100000000000001" customHeight="1">
      <c r="A134" s="1484" t="s">
        <v>659</v>
      </c>
      <c r="B134" s="1485" t="s">
        <v>2774</v>
      </c>
      <c r="C134" s="1486"/>
      <c r="D134" s="1486"/>
      <c r="E134" s="1486"/>
      <c r="F134" s="1487">
        <f t="shared" si="3"/>
        <v>12937.927100000001</v>
      </c>
      <c r="G134" s="1483">
        <v>0</v>
      </c>
      <c r="H134" s="1487">
        <v>12937.927100000001</v>
      </c>
      <c r="I134" s="1483">
        <v>0</v>
      </c>
      <c r="J134" s="1483">
        <v>0</v>
      </c>
      <c r="K134" s="1483">
        <f t="shared" si="4"/>
        <v>0</v>
      </c>
      <c r="L134" s="1483">
        <v>0</v>
      </c>
      <c r="M134" s="1483">
        <v>0</v>
      </c>
      <c r="N134" s="1483">
        <v>0</v>
      </c>
      <c r="O134" s="1483">
        <v>0</v>
      </c>
      <c r="P134" s="970"/>
      <c r="Q134" s="969"/>
      <c r="R134" s="969"/>
    </row>
    <row r="135" spans="1:18" ht="20.100000000000001" customHeight="1">
      <c r="A135" s="1484" t="s">
        <v>660</v>
      </c>
      <c r="B135" s="1485" t="s">
        <v>2775</v>
      </c>
      <c r="C135" s="1486"/>
      <c r="D135" s="1486"/>
      <c r="E135" s="1486"/>
      <c r="F135" s="1487">
        <f t="shared" si="3"/>
        <v>9256.5619999999999</v>
      </c>
      <c r="G135" s="1483">
        <v>0</v>
      </c>
      <c r="H135" s="1487">
        <v>9256.5619999999999</v>
      </c>
      <c r="I135" s="1483">
        <v>0</v>
      </c>
      <c r="J135" s="1483">
        <v>0</v>
      </c>
      <c r="K135" s="1483">
        <f t="shared" si="4"/>
        <v>0</v>
      </c>
      <c r="L135" s="1483">
        <v>0</v>
      </c>
      <c r="M135" s="1483">
        <v>0</v>
      </c>
      <c r="N135" s="1483">
        <v>0</v>
      </c>
      <c r="O135" s="1483">
        <v>0</v>
      </c>
      <c r="P135" s="970"/>
      <c r="Q135" s="969"/>
      <c r="R135" s="969"/>
    </row>
    <row r="136" spans="1:18" ht="20.100000000000001" customHeight="1">
      <c r="A136" s="1484" t="s">
        <v>661</v>
      </c>
      <c r="B136" s="1485" t="s">
        <v>2776</v>
      </c>
      <c r="C136" s="1486"/>
      <c r="D136" s="1486"/>
      <c r="E136" s="1486"/>
      <c r="F136" s="1487">
        <f t="shared" si="3"/>
        <v>19606.810420000002</v>
      </c>
      <c r="G136" s="1483">
        <v>0</v>
      </c>
      <c r="H136" s="1487">
        <v>19606.810420000002</v>
      </c>
      <c r="I136" s="1483">
        <v>0</v>
      </c>
      <c r="J136" s="1483">
        <v>0</v>
      </c>
      <c r="K136" s="1483">
        <f t="shared" si="4"/>
        <v>0</v>
      </c>
      <c r="L136" s="1483">
        <v>0</v>
      </c>
      <c r="M136" s="1483">
        <v>0</v>
      </c>
      <c r="N136" s="1483">
        <v>0</v>
      </c>
      <c r="O136" s="1483">
        <v>0</v>
      </c>
      <c r="P136" s="970"/>
      <c r="Q136" s="969"/>
      <c r="R136" s="969"/>
    </row>
    <row r="137" spans="1:18" ht="20.100000000000001" customHeight="1">
      <c r="A137" s="1484" t="s">
        <v>662</v>
      </c>
      <c r="B137" s="1485" t="s">
        <v>2777</v>
      </c>
      <c r="C137" s="1486"/>
      <c r="D137" s="1486"/>
      <c r="E137" s="1486"/>
      <c r="F137" s="1487">
        <f t="shared" si="3"/>
        <v>4426.6760000000004</v>
      </c>
      <c r="G137" s="1483">
        <v>0</v>
      </c>
      <c r="H137" s="1487">
        <v>4426.6760000000004</v>
      </c>
      <c r="I137" s="1483">
        <v>0</v>
      </c>
      <c r="J137" s="1483">
        <v>0</v>
      </c>
      <c r="K137" s="1483">
        <f t="shared" si="4"/>
        <v>0</v>
      </c>
      <c r="L137" s="1483">
        <v>0</v>
      </c>
      <c r="M137" s="1483">
        <v>0</v>
      </c>
      <c r="N137" s="1483">
        <v>0</v>
      </c>
      <c r="O137" s="1483">
        <v>0</v>
      </c>
      <c r="P137" s="970"/>
      <c r="Q137" s="969"/>
      <c r="R137" s="969"/>
    </row>
    <row r="138" spans="1:18" ht="20.100000000000001" customHeight="1">
      <c r="A138" s="1484" t="s">
        <v>663</v>
      </c>
      <c r="B138" s="1485" t="s">
        <v>2778</v>
      </c>
      <c r="C138" s="1486"/>
      <c r="D138" s="1486"/>
      <c r="E138" s="1486"/>
      <c r="F138" s="1487">
        <f t="shared" si="3"/>
        <v>2692.0654960000002</v>
      </c>
      <c r="G138" s="1483">
        <v>0</v>
      </c>
      <c r="H138" s="1487">
        <v>2692.0654960000002</v>
      </c>
      <c r="I138" s="1483">
        <v>0</v>
      </c>
      <c r="J138" s="1483">
        <v>0</v>
      </c>
      <c r="K138" s="1483">
        <f t="shared" si="4"/>
        <v>0</v>
      </c>
      <c r="L138" s="1483">
        <v>0</v>
      </c>
      <c r="M138" s="1483">
        <v>0</v>
      </c>
      <c r="N138" s="1483">
        <v>0</v>
      </c>
      <c r="O138" s="1483">
        <v>0</v>
      </c>
      <c r="P138" s="970"/>
      <c r="Q138" s="969"/>
      <c r="R138" s="969"/>
    </row>
    <row r="139" spans="1:18" ht="20.100000000000001" customHeight="1">
      <c r="A139" s="1484" t="s">
        <v>664</v>
      </c>
      <c r="B139" s="1485" t="s">
        <v>2779</v>
      </c>
      <c r="C139" s="1489"/>
      <c r="D139" s="1489"/>
      <c r="E139" s="1489"/>
      <c r="F139" s="1487">
        <f t="shared" si="3"/>
        <v>9061.1350000000002</v>
      </c>
      <c r="G139" s="1483">
        <v>0</v>
      </c>
      <c r="H139" s="1487">
        <v>9061.1350000000002</v>
      </c>
      <c r="I139" s="1483">
        <v>0</v>
      </c>
      <c r="J139" s="1483">
        <v>0</v>
      </c>
      <c r="K139" s="1483">
        <f t="shared" si="4"/>
        <v>0</v>
      </c>
      <c r="L139" s="1483">
        <v>0</v>
      </c>
      <c r="M139" s="1483">
        <v>0</v>
      </c>
      <c r="N139" s="1483">
        <v>0</v>
      </c>
      <c r="O139" s="1483">
        <v>0</v>
      </c>
      <c r="P139" s="970"/>
      <c r="Q139" s="969"/>
      <c r="R139" s="969"/>
    </row>
    <row r="140" spans="1:18" ht="20.100000000000001" customHeight="1">
      <c r="A140" s="1484" t="s">
        <v>665</v>
      </c>
      <c r="B140" s="1485" t="s">
        <v>2780</v>
      </c>
      <c r="C140" s="1489"/>
      <c r="D140" s="1489"/>
      <c r="E140" s="1489"/>
      <c r="F140" s="1487">
        <f t="shared" si="3"/>
        <v>9449.5453400000006</v>
      </c>
      <c r="G140" s="1483">
        <v>0</v>
      </c>
      <c r="H140" s="1487">
        <v>9449.5453400000006</v>
      </c>
      <c r="I140" s="1483">
        <v>0</v>
      </c>
      <c r="J140" s="1483">
        <v>0</v>
      </c>
      <c r="K140" s="1483">
        <f t="shared" si="4"/>
        <v>0</v>
      </c>
      <c r="L140" s="1483">
        <v>0</v>
      </c>
      <c r="M140" s="1483">
        <v>0</v>
      </c>
      <c r="N140" s="1483">
        <v>0</v>
      </c>
      <c r="O140" s="1483">
        <v>0</v>
      </c>
      <c r="P140" s="970"/>
      <c r="Q140" s="969"/>
      <c r="R140" s="969"/>
    </row>
    <row r="141" spans="1:18" ht="20.100000000000001" customHeight="1">
      <c r="A141" s="1484" t="s">
        <v>667</v>
      </c>
      <c r="B141" s="1485" t="s">
        <v>2781</v>
      </c>
      <c r="C141" s="1489"/>
      <c r="D141" s="1489"/>
      <c r="E141" s="1489"/>
      <c r="F141" s="1487">
        <f t="shared" si="3"/>
        <v>2219.5509999999999</v>
      </c>
      <c r="G141" s="1483">
        <v>0</v>
      </c>
      <c r="H141" s="1487">
        <v>2219.5509999999999</v>
      </c>
      <c r="I141" s="1483">
        <v>0</v>
      </c>
      <c r="J141" s="1483">
        <v>0</v>
      </c>
      <c r="K141" s="1483">
        <f t="shared" si="4"/>
        <v>0</v>
      </c>
      <c r="L141" s="1483">
        <v>0</v>
      </c>
      <c r="M141" s="1483">
        <v>0</v>
      </c>
      <c r="N141" s="1483">
        <v>0</v>
      </c>
      <c r="O141" s="1483">
        <v>0</v>
      </c>
      <c r="P141" s="970"/>
      <c r="Q141" s="969"/>
      <c r="R141" s="969"/>
    </row>
    <row r="142" spans="1:18" ht="20.100000000000001" customHeight="1">
      <c r="A142" s="1484" t="s">
        <v>668</v>
      </c>
      <c r="B142" s="1485" t="s">
        <v>2782</v>
      </c>
      <c r="C142" s="1489"/>
      <c r="D142" s="1489"/>
      <c r="E142" s="1489"/>
      <c r="F142" s="1487">
        <f t="shared" si="3"/>
        <v>4896.7729630000003</v>
      </c>
      <c r="G142" s="1483">
        <v>0</v>
      </c>
      <c r="H142" s="1487">
        <v>4896.7729630000003</v>
      </c>
      <c r="I142" s="1483">
        <v>0</v>
      </c>
      <c r="J142" s="1483">
        <v>0</v>
      </c>
      <c r="K142" s="1483">
        <f t="shared" si="4"/>
        <v>0</v>
      </c>
      <c r="L142" s="1483">
        <v>0</v>
      </c>
      <c r="M142" s="1483">
        <v>0</v>
      </c>
      <c r="N142" s="1483">
        <v>0</v>
      </c>
      <c r="O142" s="1483">
        <v>0</v>
      </c>
      <c r="P142" s="970"/>
      <c r="Q142" s="969"/>
      <c r="R142" s="969"/>
    </row>
    <row r="143" spans="1:18" ht="20.100000000000001" customHeight="1">
      <c r="A143" s="1484" t="s">
        <v>669</v>
      </c>
      <c r="B143" s="1485" t="s">
        <v>2783</v>
      </c>
      <c r="C143" s="1489"/>
      <c r="D143" s="1489"/>
      <c r="E143" s="1489"/>
      <c r="F143" s="1487">
        <f t="shared" ref="F143:F187" si="5">+H143+K143</f>
        <v>5688.4515279999996</v>
      </c>
      <c r="G143" s="1483">
        <v>0</v>
      </c>
      <c r="H143" s="1487">
        <v>5688.4515279999996</v>
      </c>
      <c r="I143" s="1483">
        <v>0</v>
      </c>
      <c r="J143" s="1483">
        <v>0</v>
      </c>
      <c r="K143" s="1483">
        <f t="shared" ref="K143:K191" si="6">+L143+M143</f>
        <v>0</v>
      </c>
      <c r="L143" s="1483">
        <v>0</v>
      </c>
      <c r="M143" s="1483">
        <v>0</v>
      </c>
      <c r="N143" s="1483">
        <v>0</v>
      </c>
      <c r="O143" s="1483">
        <v>0</v>
      </c>
      <c r="P143" s="970"/>
      <c r="Q143" s="969"/>
      <c r="R143" s="969"/>
    </row>
    <row r="144" spans="1:18" ht="20.100000000000001" customHeight="1">
      <c r="A144" s="1484" t="s">
        <v>670</v>
      </c>
      <c r="B144" s="1485" t="s">
        <v>2784</v>
      </c>
      <c r="C144" s="1489"/>
      <c r="D144" s="1489"/>
      <c r="E144" s="1489"/>
      <c r="F144" s="1487">
        <f t="shared" si="5"/>
        <v>5819.848</v>
      </c>
      <c r="G144" s="1483">
        <v>0</v>
      </c>
      <c r="H144" s="1487">
        <v>5819.848</v>
      </c>
      <c r="I144" s="1483">
        <v>0</v>
      </c>
      <c r="J144" s="1483">
        <v>0</v>
      </c>
      <c r="K144" s="1483">
        <f t="shared" si="6"/>
        <v>0</v>
      </c>
      <c r="L144" s="1483">
        <v>0</v>
      </c>
      <c r="M144" s="1483">
        <v>0</v>
      </c>
      <c r="N144" s="1483">
        <v>0</v>
      </c>
      <c r="O144" s="1483">
        <v>0</v>
      </c>
      <c r="P144" s="970"/>
      <c r="Q144" s="969"/>
      <c r="R144" s="969"/>
    </row>
    <row r="145" spans="1:18" ht="20.100000000000001" customHeight="1">
      <c r="A145" s="1484" t="s">
        <v>671</v>
      </c>
      <c r="B145" s="1485" t="s">
        <v>2785</v>
      </c>
      <c r="C145" s="1489"/>
      <c r="D145" s="1489"/>
      <c r="E145" s="1489"/>
      <c r="F145" s="1487">
        <f t="shared" si="5"/>
        <v>12389.595631</v>
      </c>
      <c r="G145" s="1483">
        <v>0</v>
      </c>
      <c r="H145" s="1487">
        <v>12389.595631</v>
      </c>
      <c r="I145" s="1483">
        <v>0</v>
      </c>
      <c r="J145" s="1483">
        <v>0</v>
      </c>
      <c r="K145" s="1483">
        <f t="shared" si="6"/>
        <v>0</v>
      </c>
      <c r="L145" s="1483">
        <v>0</v>
      </c>
      <c r="M145" s="1483">
        <v>0</v>
      </c>
      <c r="N145" s="1483">
        <v>0</v>
      </c>
      <c r="O145" s="1483">
        <v>0</v>
      </c>
      <c r="P145" s="970"/>
      <c r="Q145" s="969"/>
      <c r="R145" s="969"/>
    </row>
    <row r="146" spans="1:18" ht="20.100000000000001" customHeight="1">
      <c r="A146" s="1484" t="s">
        <v>672</v>
      </c>
      <c r="B146" s="1485" t="s">
        <v>2786</v>
      </c>
      <c r="C146" s="1489"/>
      <c r="D146" s="1489"/>
      <c r="E146" s="1489"/>
      <c r="F146" s="1487">
        <f t="shared" si="5"/>
        <v>8538.0509999999995</v>
      </c>
      <c r="G146" s="1483">
        <v>0</v>
      </c>
      <c r="H146" s="1487">
        <v>8538.0509999999995</v>
      </c>
      <c r="I146" s="1483">
        <v>0</v>
      </c>
      <c r="J146" s="1483">
        <v>0</v>
      </c>
      <c r="K146" s="1483">
        <f t="shared" si="6"/>
        <v>0</v>
      </c>
      <c r="L146" s="1483">
        <v>0</v>
      </c>
      <c r="M146" s="1483">
        <v>0</v>
      </c>
      <c r="N146" s="1483">
        <v>0</v>
      </c>
      <c r="O146" s="1483">
        <v>0</v>
      </c>
      <c r="P146" s="970"/>
      <c r="Q146" s="969"/>
      <c r="R146" s="969"/>
    </row>
    <row r="147" spans="1:18" ht="20.100000000000001" customHeight="1">
      <c r="A147" s="1484" t="s">
        <v>673</v>
      </c>
      <c r="B147" s="1485" t="s">
        <v>2787</v>
      </c>
      <c r="C147" s="1489"/>
      <c r="D147" s="1489"/>
      <c r="E147" s="1489"/>
      <c r="F147" s="1487">
        <f t="shared" si="5"/>
        <v>7164.5230000000001</v>
      </c>
      <c r="G147" s="1483">
        <v>0</v>
      </c>
      <c r="H147" s="1487">
        <v>7164.5230000000001</v>
      </c>
      <c r="I147" s="1483">
        <v>0</v>
      </c>
      <c r="J147" s="1483">
        <v>0</v>
      </c>
      <c r="K147" s="1483">
        <f t="shared" si="6"/>
        <v>0</v>
      </c>
      <c r="L147" s="1483">
        <v>0</v>
      </c>
      <c r="M147" s="1483">
        <v>0</v>
      </c>
      <c r="N147" s="1483">
        <v>0</v>
      </c>
      <c r="O147" s="1483">
        <v>0</v>
      </c>
      <c r="P147" s="970"/>
      <c r="Q147" s="969"/>
      <c r="R147" s="969"/>
    </row>
    <row r="148" spans="1:18" ht="20.100000000000001" customHeight="1">
      <c r="A148" s="1484" t="s">
        <v>674</v>
      </c>
      <c r="B148" s="1485" t="s">
        <v>2788</v>
      </c>
      <c r="C148" s="1489"/>
      <c r="D148" s="1489"/>
      <c r="E148" s="1489"/>
      <c r="F148" s="1487">
        <f t="shared" si="5"/>
        <v>8889.7270000000008</v>
      </c>
      <c r="G148" s="1483">
        <v>0</v>
      </c>
      <c r="H148" s="1487">
        <v>8889.7270000000008</v>
      </c>
      <c r="I148" s="1483">
        <v>0</v>
      </c>
      <c r="J148" s="1483">
        <v>0</v>
      </c>
      <c r="K148" s="1483">
        <f t="shared" si="6"/>
        <v>0</v>
      </c>
      <c r="L148" s="1483">
        <v>0</v>
      </c>
      <c r="M148" s="1483">
        <v>0</v>
      </c>
      <c r="N148" s="1483">
        <v>0</v>
      </c>
      <c r="O148" s="1483">
        <v>0</v>
      </c>
      <c r="P148" s="970"/>
      <c r="Q148" s="969"/>
      <c r="R148" s="969"/>
    </row>
    <row r="149" spans="1:18" ht="20.100000000000001" customHeight="1">
      <c r="A149" s="1484" t="s">
        <v>675</v>
      </c>
      <c r="B149" s="1485" t="s">
        <v>2789</v>
      </c>
      <c r="C149" s="1489"/>
      <c r="D149" s="1489"/>
      <c r="E149" s="1489"/>
      <c r="F149" s="1487">
        <f t="shared" si="5"/>
        <v>2419.0647020000001</v>
      </c>
      <c r="G149" s="1483">
        <v>0</v>
      </c>
      <c r="H149" s="1487">
        <v>2419.0647020000001</v>
      </c>
      <c r="I149" s="1483">
        <v>0</v>
      </c>
      <c r="J149" s="1483">
        <v>0</v>
      </c>
      <c r="K149" s="1483">
        <f t="shared" si="6"/>
        <v>0</v>
      </c>
      <c r="L149" s="1483">
        <v>0</v>
      </c>
      <c r="M149" s="1483">
        <v>0</v>
      </c>
      <c r="N149" s="1483">
        <v>0</v>
      </c>
      <c r="O149" s="1483">
        <v>0</v>
      </c>
      <c r="P149" s="970"/>
      <c r="Q149" s="969"/>
      <c r="R149" s="969"/>
    </row>
    <row r="150" spans="1:18" ht="20.100000000000001" customHeight="1">
      <c r="A150" s="1484" t="s">
        <v>676</v>
      </c>
      <c r="B150" s="1485" t="s">
        <v>2790</v>
      </c>
      <c r="C150" s="1489"/>
      <c r="D150" s="1489"/>
      <c r="E150" s="1489"/>
      <c r="F150" s="1487">
        <f t="shared" si="5"/>
        <v>4921.1049999999996</v>
      </c>
      <c r="G150" s="1483">
        <v>0</v>
      </c>
      <c r="H150" s="1487">
        <v>4921.1049999999996</v>
      </c>
      <c r="I150" s="1483">
        <v>0</v>
      </c>
      <c r="J150" s="1483">
        <v>0</v>
      </c>
      <c r="K150" s="1483">
        <f t="shared" si="6"/>
        <v>0</v>
      </c>
      <c r="L150" s="1483">
        <v>0</v>
      </c>
      <c r="M150" s="1483">
        <v>0</v>
      </c>
      <c r="N150" s="1483">
        <v>0</v>
      </c>
      <c r="O150" s="1483">
        <v>0</v>
      </c>
      <c r="P150" s="970"/>
      <c r="Q150" s="969"/>
      <c r="R150" s="969"/>
    </row>
    <row r="151" spans="1:18" ht="20.100000000000001" customHeight="1">
      <c r="A151" s="1484" t="s">
        <v>677</v>
      </c>
      <c r="B151" s="1485" t="s">
        <v>2791</v>
      </c>
      <c r="C151" s="1489"/>
      <c r="D151" s="1489"/>
      <c r="E151" s="1489"/>
      <c r="F151" s="1487">
        <f t="shared" si="5"/>
        <v>8445.3244539999996</v>
      </c>
      <c r="G151" s="1483">
        <v>0</v>
      </c>
      <c r="H151" s="1487">
        <v>8445.3244539999996</v>
      </c>
      <c r="I151" s="1483">
        <v>0</v>
      </c>
      <c r="J151" s="1483">
        <v>0</v>
      </c>
      <c r="K151" s="1483">
        <f t="shared" si="6"/>
        <v>0</v>
      </c>
      <c r="L151" s="1483">
        <v>0</v>
      </c>
      <c r="M151" s="1483">
        <v>0</v>
      </c>
      <c r="N151" s="1483">
        <v>0</v>
      </c>
      <c r="O151" s="1483">
        <v>0</v>
      </c>
      <c r="P151" s="970"/>
      <c r="Q151" s="969"/>
      <c r="R151" s="969"/>
    </row>
    <row r="152" spans="1:18" ht="20.100000000000001" customHeight="1">
      <c r="A152" s="1484" t="s">
        <v>678</v>
      </c>
      <c r="B152" s="1485" t="s">
        <v>2792</v>
      </c>
      <c r="C152" s="1489"/>
      <c r="D152" s="1489"/>
      <c r="E152" s="1489"/>
      <c r="F152" s="1487">
        <f t="shared" si="5"/>
        <v>3017.7710000000002</v>
      </c>
      <c r="G152" s="1483">
        <v>0</v>
      </c>
      <c r="H152" s="1487">
        <v>3017.7710000000002</v>
      </c>
      <c r="I152" s="1483">
        <v>0</v>
      </c>
      <c r="J152" s="1483">
        <v>0</v>
      </c>
      <c r="K152" s="1483">
        <f t="shared" si="6"/>
        <v>0</v>
      </c>
      <c r="L152" s="1483">
        <v>0</v>
      </c>
      <c r="M152" s="1483">
        <v>0</v>
      </c>
      <c r="N152" s="1483">
        <v>0</v>
      </c>
      <c r="O152" s="1483">
        <v>0</v>
      </c>
      <c r="P152" s="970"/>
      <c r="Q152" s="969"/>
      <c r="R152" s="969"/>
    </row>
    <row r="153" spans="1:18" ht="20.100000000000001" customHeight="1">
      <c r="A153" s="1484" t="s">
        <v>679</v>
      </c>
      <c r="B153" s="1485" t="s">
        <v>2793</v>
      </c>
      <c r="C153" s="1489"/>
      <c r="D153" s="1489"/>
      <c r="E153" s="1489"/>
      <c r="F153" s="1487">
        <f t="shared" si="5"/>
        <v>1999.857</v>
      </c>
      <c r="G153" s="1483">
        <v>0</v>
      </c>
      <c r="H153" s="1487">
        <v>1999.857</v>
      </c>
      <c r="I153" s="1483">
        <v>0</v>
      </c>
      <c r="J153" s="1483">
        <v>0</v>
      </c>
      <c r="K153" s="1483">
        <f t="shared" si="6"/>
        <v>0</v>
      </c>
      <c r="L153" s="1483">
        <v>0</v>
      </c>
      <c r="M153" s="1483">
        <v>0</v>
      </c>
      <c r="N153" s="1483">
        <v>0</v>
      </c>
      <c r="O153" s="1483">
        <v>0</v>
      </c>
      <c r="P153" s="970"/>
      <c r="Q153" s="969"/>
      <c r="R153" s="969"/>
    </row>
    <row r="154" spans="1:18" ht="20.100000000000001" customHeight="1">
      <c r="A154" s="1484" t="s">
        <v>680</v>
      </c>
      <c r="B154" s="1485" t="s">
        <v>2794</v>
      </c>
      <c r="C154" s="1489"/>
      <c r="D154" s="1489"/>
      <c r="E154" s="1489"/>
      <c r="F154" s="1487">
        <f t="shared" si="5"/>
        <v>7067.2820149999998</v>
      </c>
      <c r="G154" s="1483">
        <v>0</v>
      </c>
      <c r="H154" s="1487">
        <v>7067.2820149999998</v>
      </c>
      <c r="I154" s="1483">
        <v>0</v>
      </c>
      <c r="J154" s="1483">
        <v>0</v>
      </c>
      <c r="K154" s="1483">
        <f t="shared" si="6"/>
        <v>0</v>
      </c>
      <c r="L154" s="1483">
        <v>0</v>
      </c>
      <c r="M154" s="1483">
        <v>0</v>
      </c>
      <c r="N154" s="1483">
        <v>0</v>
      </c>
      <c r="O154" s="1483">
        <v>0</v>
      </c>
      <c r="P154" s="970"/>
      <c r="Q154" s="969"/>
      <c r="R154" s="969"/>
    </row>
    <row r="155" spans="1:18" ht="20.100000000000001" customHeight="1">
      <c r="A155" s="1484" t="s">
        <v>681</v>
      </c>
      <c r="B155" s="1485" t="s">
        <v>3053</v>
      </c>
      <c r="C155" s="1489"/>
      <c r="D155" s="1489"/>
      <c r="E155" s="1489"/>
      <c r="F155" s="1487">
        <f t="shared" si="5"/>
        <v>8972.7739999999994</v>
      </c>
      <c r="G155" s="1483">
        <v>0</v>
      </c>
      <c r="H155" s="1487">
        <v>8972.7739999999994</v>
      </c>
      <c r="I155" s="1483">
        <v>0</v>
      </c>
      <c r="J155" s="1483">
        <v>0</v>
      </c>
      <c r="K155" s="1483">
        <f t="shared" si="6"/>
        <v>0</v>
      </c>
      <c r="L155" s="1483">
        <v>0</v>
      </c>
      <c r="M155" s="1483">
        <v>0</v>
      </c>
      <c r="N155" s="1483">
        <v>0</v>
      </c>
      <c r="O155" s="1483">
        <v>0</v>
      </c>
      <c r="P155" s="970"/>
      <c r="Q155" s="969"/>
      <c r="R155" s="969"/>
    </row>
    <row r="156" spans="1:18" ht="20.100000000000001" customHeight="1">
      <c r="A156" s="1484" t="s">
        <v>682</v>
      </c>
      <c r="B156" s="1485" t="s">
        <v>2795</v>
      </c>
      <c r="C156" s="1489"/>
      <c r="D156" s="1489"/>
      <c r="E156" s="1489"/>
      <c r="F156" s="1487">
        <f t="shared" si="5"/>
        <v>7440.293592</v>
      </c>
      <c r="G156" s="1483">
        <v>0</v>
      </c>
      <c r="H156" s="1487">
        <v>7440.293592</v>
      </c>
      <c r="I156" s="1483">
        <v>0</v>
      </c>
      <c r="J156" s="1483">
        <v>0</v>
      </c>
      <c r="K156" s="1483">
        <f t="shared" si="6"/>
        <v>0</v>
      </c>
      <c r="L156" s="1483">
        <v>0</v>
      </c>
      <c r="M156" s="1483">
        <v>0</v>
      </c>
      <c r="N156" s="1483">
        <v>0</v>
      </c>
      <c r="O156" s="1483">
        <v>0</v>
      </c>
      <c r="P156" s="970"/>
      <c r="Q156" s="969"/>
      <c r="R156" s="969"/>
    </row>
    <row r="157" spans="1:18" ht="20.100000000000001" customHeight="1">
      <c r="A157" s="1484" t="s">
        <v>683</v>
      </c>
      <c r="B157" s="1485" t="s">
        <v>2796</v>
      </c>
      <c r="C157" s="1489"/>
      <c r="D157" s="1489"/>
      <c r="E157" s="1489"/>
      <c r="F157" s="1487">
        <f t="shared" si="5"/>
        <v>4195.5609370000002</v>
      </c>
      <c r="G157" s="1483">
        <v>0</v>
      </c>
      <c r="H157" s="1487">
        <v>4195.5609370000002</v>
      </c>
      <c r="I157" s="1483">
        <v>0</v>
      </c>
      <c r="J157" s="1483">
        <v>0</v>
      </c>
      <c r="K157" s="1483">
        <f t="shared" si="6"/>
        <v>0</v>
      </c>
      <c r="L157" s="1483">
        <v>0</v>
      </c>
      <c r="M157" s="1483">
        <v>0</v>
      </c>
      <c r="N157" s="1483">
        <v>0</v>
      </c>
      <c r="O157" s="1483">
        <v>0</v>
      </c>
      <c r="P157" s="970"/>
      <c r="Q157" s="969"/>
      <c r="R157" s="969"/>
    </row>
    <row r="158" spans="1:18" ht="20.100000000000001" customHeight="1">
      <c r="A158" s="1484" t="s">
        <v>684</v>
      </c>
      <c r="B158" s="1485" t="s">
        <v>2797</v>
      </c>
      <c r="C158" s="1489"/>
      <c r="D158" s="1489"/>
      <c r="E158" s="1489"/>
      <c r="F158" s="1487">
        <f t="shared" si="5"/>
        <v>15511.201304</v>
      </c>
      <c r="G158" s="1483">
        <v>0</v>
      </c>
      <c r="H158" s="1487">
        <v>15511.201304</v>
      </c>
      <c r="I158" s="1483">
        <v>0</v>
      </c>
      <c r="J158" s="1483">
        <v>0</v>
      </c>
      <c r="K158" s="1483">
        <f t="shared" si="6"/>
        <v>0</v>
      </c>
      <c r="L158" s="1483">
        <v>0</v>
      </c>
      <c r="M158" s="1483">
        <v>0</v>
      </c>
      <c r="N158" s="1483">
        <v>0</v>
      </c>
      <c r="O158" s="1483">
        <v>0</v>
      </c>
      <c r="P158" s="970"/>
      <c r="Q158" s="969"/>
      <c r="R158" s="969"/>
    </row>
    <row r="159" spans="1:18" ht="20.100000000000001" customHeight="1">
      <c r="A159" s="1484" t="s">
        <v>685</v>
      </c>
      <c r="B159" s="1485" t="s">
        <v>2798</v>
      </c>
      <c r="C159" s="1489"/>
      <c r="D159" s="1489"/>
      <c r="E159" s="1489"/>
      <c r="F159" s="1487">
        <f t="shared" si="5"/>
        <v>9373.5494999999992</v>
      </c>
      <c r="G159" s="1483">
        <v>0</v>
      </c>
      <c r="H159" s="1487">
        <v>9373.5494999999992</v>
      </c>
      <c r="I159" s="1483">
        <v>0</v>
      </c>
      <c r="J159" s="1483">
        <v>0</v>
      </c>
      <c r="K159" s="1483">
        <f t="shared" si="6"/>
        <v>0</v>
      </c>
      <c r="L159" s="1483">
        <v>0</v>
      </c>
      <c r="M159" s="1483">
        <v>0</v>
      </c>
      <c r="N159" s="1483">
        <v>0</v>
      </c>
      <c r="O159" s="1483">
        <v>0</v>
      </c>
      <c r="P159" s="970"/>
      <c r="Q159" s="969"/>
      <c r="R159" s="969"/>
    </row>
    <row r="160" spans="1:18" ht="20.100000000000001" customHeight="1">
      <c r="A160" s="1484" t="s">
        <v>686</v>
      </c>
      <c r="B160" s="1485" t="s">
        <v>3054</v>
      </c>
      <c r="C160" s="1489"/>
      <c r="D160" s="1489"/>
      <c r="E160" s="1489"/>
      <c r="F160" s="1487">
        <f t="shared" si="5"/>
        <v>20.852</v>
      </c>
      <c r="G160" s="1483">
        <v>0</v>
      </c>
      <c r="H160" s="1487">
        <v>20.852</v>
      </c>
      <c r="I160" s="1483">
        <v>0</v>
      </c>
      <c r="J160" s="1483">
        <v>0</v>
      </c>
      <c r="K160" s="1483">
        <f t="shared" si="6"/>
        <v>0</v>
      </c>
      <c r="L160" s="1483">
        <v>0</v>
      </c>
      <c r="M160" s="1483">
        <v>0</v>
      </c>
      <c r="N160" s="1483">
        <v>0</v>
      </c>
      <c r="O160" s="1483">
        <v>0</v>
      </c>
      <c r="P160" s="970"/>
      <c r="Q160" s="969"/>
      <c r="R160" s="969"/>
    </row>
    <row r="161" spans="1:18" ht="20.100000000000001" customHeight="1">
      <c r="A161" s="1484" t="s">
        <v>687</v>
      </c>
      <c r="B161" s="1485" t="s">
        <v>3091</v>
      </c>
      <c r="C161" s="1489"/>
      <c r="D161" s="1489"/>
      <c r="E161" s="1489"/>
      <c r="F161" s="1487">
        <f>+H161+K161</f>
        <v>3508.5186119999998</v>
      </c>
      <c r="G161" s="1483">
        <v>0</v>
      </c>
      <c r="H161" s="1487">
        <v>1258.9086119999999</v>
      </c>
      <c r="I161" s="1483">
        <v>0</v>
      </c>
      <c r="J161" s="1483">
        <v>0</v>
      </c>
      <c r="K161" s="1488">
        <f t="shared" si="6"/>
        <v>2249.61</v>
      </c>
      <c r="L161" s="1483">
        <v>0</v>
      </c>
      <c r="M161" s="1487">
        <v>2249.61</v>
      </c>
      <c r="N161" s="1483">
        <v>0</v>
      </c>
      <c r="O161" s="1483">
        <v>0</v>
      </c>
      <c r="P161" s="970"/>
      <c r="Q161" s="969"/>
      <c r="R161" s="969"/>
    </row>
    <row r="162" spans="1:18" ht="20.100000000000001" customHeight="1">
      <c r="A162" s="1484" t="s">
        <v>688</v>
      </c>
      <c r="B162" s="1485" t="s">
        <v>3092</v>
      </c>
      <c r="C162" s="1489"/>
      <c r="D162" s="1489"/>
      <c r="E162" s="1489"/>
      <c r="F162" s="1487">
        <f t="shared" si="5"/>
        <v>18067.768889999999</v>
      </c>
      <c r="G162" s="1483">
        <v>0</v>
      </c>
      <c r="H162" s="1487">
        <v>18067.768889999999</v>
      </c>
      <c r="I162" s="1483">
        <v>0</v>
      </c>
      <c r="J162" s="1483">
        <v>0</v>
      </c>
      <c r="K162" s="1483">
        <f t="shared" si="6"/>
        <v>0</v>
      </c>
      <c r="L162" s="1483">
        <v>0</v>
      </c>
      <c r="M162" s="1483">
        <v>0</v>
      </c>
      <c r="N162" s="1483">
        <v>0</v>
      </c>
      <c r="O162" s="1483">
        <v>0</v>
      </c>
      <c r="P162" s="970"/>
      <c r="Q162" s="969"/>
      <c r="R162" s="969"/>
    </row>
    <row r="163" spans="1:18" ht="20.100000000000001" customHeight="1">
      <c r="A163" s="1484" t="s">
        <v>689</v>
      </c>
      <c r="B163" s="1485" t="s">
        <v>2799</v>
      </c>
      <c r="C163" s="1489"/>
      <c r="D163" s="1489"/>
      <c r="E163" s="1489"/>
      <c r="F163" s="1487">
        <f t="shared" si="5"/>
        <v>423.474557</v>
      </c>
      <c r="G163" s="1483">
        <v>0</v>
      </c>
      <c r="H163" s="1487">
        <v>423.474557</v>
      </c>
      <c r="I163" s="1483">
        <v>0</v>
      </c>
      <c r="J163" s="1483">
        <v>0</v>
      </c>
      <c r="K163" s="1483">
        <f t="shared" si="6"/>
        <v>0</v>
      </c>
      <c r="L163" s="1483">
        <v>0</v>
      </c>
      <c r="M163" s="1483">
        <v>0</v>
      </c>
      <c r="N163" s="1483">
        <v>0</v>
      </c>
      <c r="O163" s="1483">
        <v>0</v>
      </c>
      <c r="P163" s="970"/>
      <c r="Q163" s="969"/>
      <c r="R163" s="969"/>
    </row>
    <row r="164" spans="1:18" ht="20.100000000000001" customHeight="1">
      <c r="A164" s="1484" t="s">
        <v>690</v>
      </c>
      <c r="B164" s="1485" t="s">
        <v>22</v>
      </c>
      <c r="C164" s="1489"/>
      <c r="D164" s="1489"/>
      <c r="E164" s="1489"/>
      <c r="F164" s="1487">
        <f>+H164+K164</f>
        <v>75554.816185000003</v>
      </c>
      <c r="G164" s="1483">
        <v>0</v>
      </c>
      <c r="H164" s="1487">
        <f>8568.90239+66665.913795</f>
        <v>75234.816185000003</v>
      </c>
      <c r="I164" s="1483">
        <v>0</v>
      </c>
      <c r="J164" s="1483">
        <v>0</v>
      </c>
      <c r="K164" s="1488">
        <f t="shared" si="6"/>
        <v>320</v>
      </c>
      <c r="L164" s="1483">
        <v>0</v>
      </c>
      <c r="M164" s="1487">
        <v>320</v>
      </c>
      <c r="N164" s="1483">
        <v>0</v>
      </c>
      <c r="O164" s="1483">
        <v>0</v>
      </c>
      <c r="P164" s="970"/>
      <c r="Q164" s="969"/>
      <c r="R164" s="969"/>
    </row>
    <row r="165" spans="1:18" ht="20.100000000000001" customHeight="1">
      <c r="A165" s="1484" t="s">
        <v>691</v>
      </c>
      <c r="B165" s="1485" t="s">
        <v>3055</v>
      </c>
      <c r="C165" s="1489"/>
      <c r="D165" s="1489"/>
      <c r="E165" s="1489"/>
      <c r="F165" s="1487">
        <f t="shared" si="5"/>
        <v>30374.217984999999</v>
      </c>
      <c r="G165" s="1483">
        <v>0</v>
      </c>
      <c r="H165" s="1487">
        <v>30374.217984999999</v>
      </c>
      <c r="I165" s="1483">
        <v>0</v>
      </c>
      <c r="J165" s="1483">
        <v>0</v>
      </c>
      <c r="K165" s="1483">
        <f t="shared" si="6"/>
        <v>0</v>
      </c>
      <c r="L165" s="1483">
        <v>0</v>
      </c>
      <c r="M165" s="1483">
        <v>0</v>
      </c>
      <c r="N165" s="1483">
        <v>0</v>
      </c>
      <c r="O165" s="1483">
        <v>0</v>
      </c>
      <c r="P165" s="970"/>
      <c r="Q165" s="969"/>
      <c r="R165" s="969"/>
    </row>
    <row r="166" spans="1:18" ht="20.100000000000001" customHeight="1">
      <c r="A166" s="1484" t="s">
        <v>692</v>
      </c>
      <c r="B166" s="1485" t="s">
        <v>14</v>
      </c>
      <c r="C166" s="1489"/>
      <c r="D166" s="1489"/>
      <c r="E166" s="1489"/>
      <c r="F166" s="1487">
        <f t="shared" si="5"/>
        <v>5102.6343980000001</v>
      </c>
      <c r="G166" s="1483">
        <v>0</v>
      </c>
      <c r="H166" s="1487">
        <v>5102.6343980000001</v>
      </c>
      <c r="I166" s="1483">
        <v>0</v>
      </c>
      <c r="J166" s="1483">
        <v>0</v>
      </c>
      <c r="K166" s="1483">
        <f t="shared" si="6"/>
        <v>0</v>
      </c>
      <c r="L166" s="1483">
        <v>0</v>
      </c>
      <c r="M166" s="1483">
        <v>0</v>
      </c>
      <c r="N166" s="1483">
        <v>0</v>
      </c>
      <c r="O166" s="1483">
        <v>0</v>
      </c>
      <c r="P166" s="970"/>
      <c r="Q166" s="969"/>
      <c r="R166" s="969"/>
    </row>
    <row r="167" spans="1:18" ht="20.100000000000001" customHeight="1">
      <c r="A167" s="1484" t="s">
        <v>693</v>
      </c>
      <c r="B167" s="1485" t="s">
        <v>3056</v>
      </c>
      <c r="C167" s="1489"/>
      <c r="D167" s="1489"/>
      <c r="E167" s="1489"/>
      <c r="F167" s="1487">
        <f t="shared" si="5"/>
        <v>4969.7657479999998</v>
      </c>
      <c r="G167" s="1483">
        <v>0</v>
      </c>
      <c r="H167" s="1487">
        <v>4969.7657479999998</v>
      </c>
      <c r="I167" s="1483">
        <v>0</v>
      </c>
      <c r="J167" s="1483">
        <v>0</v>
      </c>
      <c r="K167" s="1483">
        <f t="shared" si="6"/>
        <v>0</v>
      </c>
      <c r="L167" s="1483">
        <v>0</v>
      </c>
      <c r="M167" s="1483">
        <v>0</v>
      </c>
      <c r="N167" s="1483">
        <v>0</v>
      </c>
      <c r="O167" s="1483">
        <v>0</v>
      </c>
      <c r="P167" s="970"/>
      <c r="Q167" s="969"/>
      <c r="R167" s="969"/>
    </row>
    <row r="168" spans="1:18" ht="20.100000000000001" customHeight="1">
      <c r="A168" s="1484" t="s">
        <v>694</v>
      </c>
      <c r="B168" s="1485" t="s">
        <v>2800</v>
      </c>
      <c r="C168" s="1489"/>
      <c r="D168" s="1489"/>
      <c r="E168" s="1489"/>
      <c r="F168" s="1487">
        <f t="shared" si="5"/>
        <v>26530.570935</v>
      </c>
      <c r="G168" s="1483">
        <v>0</v>
      </c>
      <c r="H168" s="1487">
        <v>26530.570935</v>
      </c>
      <c r="I168" s="1483">
        <v>0</v>
      </c>
      <c r="J168" s="1483">
        <v>0</v>
      </c>
      <c r="K168" s="1483">
        <f t="shared" si="6"/>
        <v>0</v>
      </c>
      <c r="L168" s="1483">
        <v>0</v>
      </c>
      <c r="M168" s="1483">
        <v>0</v>
      </c>
      <c r="N168" s="1483">
        <v>0</v>
      </c>
      <c r="O168" s="1483">
        <v>0</v>
      </c>
      <c r="P168" s="970"/>
      <c r="Q168" s="969"/>
      <c r="R168" s="969"/>
    </row>
    <row r="169" spans="1:18" ht="20.100000000000001" customHeight="1">
      <c r="A169" s="1484" t="s">
        <v>695</v>
      </c>
      <c r="B169" s="1485" t="s">
        <v>3057</v>
      </c>
      <c r="C169" s="1489"/>
      <c r="D169" s="1489"/>
      <c r="E169" s="1489"/>
      <c r="F169" s="1487">
        <f t="shared" si="5"/>
        <v>3876.022751</v>
      </c>
      <c r="G169" s="1483">
        <v>0</v>
      </c>
      <c r="H169" s="1487">
        <v>3876.022751</v>
      </c>
      <c r="I169" s="1483">
        <v>0</v>
      </c>
      <c r="J169" s="1483">
        <v>0</v>
      </c>
      <c r="K169" s="1483">
        <f t="shared" si="6"/>
        <v>0</v>
      </c>
      <c r="L169" s="1483">
        <v>0</v>
      </c>
      <c r="M169" s="1483">
        <v>0</v>
      </c>
      <c r="N169" s="1483">
        <v>0</v>
      </c>
      <c r="O169" s="1483">
        <v>0</v>
      </c>
      <c r="P169" s="970"/>
      <c r="Q169" s="969"/>
      <c r="R169" s="969"/>
    </row>
    <row r="170" spans="1:18" ht="20.100000000000001" customHeight="1">
      <c r="A170" s="1484" t="s">
        <v>696</v>
      </c>
      <c r="B170" s="1485" t="s">
        <v>3058</v>
      </c>
      <c r="C170" s="1489"/>
      <c r="D170" s="1489"/>
      <c r="E170" s="1489"/>
      <c r="F170" s="1487">
        <f t="shared" si="5"/>
        <v>2826.9877799999999</v>
      </c>
      <c r="G170" s="1483">
        <v>0</v>
      </c>
      <c r="H170" s="1487">
        <v>2826.9877799999999</v>
      </c>
      <c r="I170" s="1483">
        <v>0</v>
      </c>
      <c r="J170" s="1483">
        <v>0</v>
      </c>
      <c r="K170" s="1483">
        <f t="shared" si="6"/>
        <v>0</v>
      </c>
      <c r="L170" s="1483">
        <v>0</v>
      </c>
      <c r="M170" s="1483">
        <v>0</v>
      </c>
      <c r="N170" s="1483">
        <v>0</v>
      </c>
      <c r="O170" s="1483">
        <v>0</v>
      </c>
      <c r="P170" s="970"/>
      <c r="Q170" s="969"/>
      <c r="R170" s="969"/>
    </row>
    <row r="171" spans="1:18" ht="20.100000000000001" customHeight="1">
      <c r="A171" s="1484" t="s">
        <v>697</v>
      </c>
      <c r="B171" s="1485" t="s">
        <v>489</v>
      </c>
      <c r="C171" s="1489"/>
      <c r="D171" s="1489"/>
      <c r="E171" s="1489"/>
      <c r="F171" s="1487">
        <f>+H171+K171</f>
        <v>4413.6693869999999</v>
      </c>
      <c r="G171" s="1483">
        <v>0</v>
      </c>
      <c r="H171" s="1487">
        <v>4131.0993870000002</v>
      </c>
      <c r="I171" s="1483">
        <v>0</v>
      </c>
      <c r="J171" s="1483">
        <v>0</v>
      </c>
      <c r="K171" s="1488">
        <f t="shared" si="6"/>
        <v>282.57</v>
      </c>
      <c r="L171" s="1483">
        <v>0</v>
      </c>
      <c r="M171" s="1487">
        <v>282.57</v>
      </c>
      <c r="N171" s="1483">
        <v>0</v>
      </c>
      <c r="O171" s="1483">
        <v>0</v>
      </c>
      <c r="P171" s="970"/>
      <c r="Q171" s="969"/>
      <c r="R171" s="969"/>
    </row>
    <row r="172" spans="1:18" ht="20.100000000000001" customHeight="1">
      <c r="A172" s="1484" t="s">
        <v>698</v>
      </c>
      <c r="B172" s="1485" t="s">
        <v>2801</v>
      </c>
      <c r="C172" s="1489"/>
      <c r="D172" s="1489"/>
      <c r="E172" s="1489"/>
      <c r="F172" s="1487">
        <f t="shared" si="5"/>
        <v>6158.5144280000004</v>
      </c>
      <c r="G172" s="1483">
        <v>0</v>
      </c>
      <c r="H172" s="1487">
        <v>6158.5144280000004</v>
      </c>
      <c r="I172" s="1483">
        <v>0</v>
      </c>
      <c r="J172" s="1483">
        <v>0</v>
      </c>
      <c r="K172" s="1483">
        <f t="shared" si="6"/>
        <v>0</v>
      </c>
      <c r="L172" s="1483">
        <v>0</v>
      </c>
      <c r="M172" s="1483">
        <v>0</v>
      </c>
      <c r="N172" s="1483">
        <v>0</v>
      </c>
      <c r="O172" s="1483">
        <v>0</v>
      </c>
      <c r="P172" s="970"/>
      <c r="Q172" s="969"/>
      <c r="R172" s="969"/>
    </row>
    <row r="173" spans="1:18" ht="20.100000000000001" customHeight="1">
      <c r="A173" s="1484" t="s">
        <v>699</v>
      </c>
      <c r="B173" s="1485" t="s">
        <v>4</v>
      </c>
      <c r="C173" s="1489"/>
      <c r="D173" s="1489"/>
      <c r="E173" s="1489"/>
      <c r="F173" s="1487">
        <f t="shared" si="5"/>
        <v>7001.1219250000004</v>
      </c>
      <c r="G173" s="1483">
        <v>0</v>
      </c>
      <c r="H173" s="1487">
        <v>7001.1219250000004</v>
      </c>
      <c r="I173" s="1483">
        <v>0</v>
      </c>
      <c r="J173" s="1483">
        <v>0</v>
      </c>
      <c r="K173" s="1483">
        <f t="shared" si="6"/>
        <v>0</v>
      </c>
      <c r="L173" s="1483">
        <v>0</v>
      </c>
      <c r="M173" s="1483">
        <v>0</v>
      </c>
      <c r="N173" s="1483">
        <v>0</v>
      </c>
      <c r="O173" s="1483">
        <v>0</v>
      </c>
      <c r="P173" s="970"/>
      <c r="Q173" s="969"/>
      <c r="R173" s="969"/>
    </row>
    <row r="174" spans="1:18" ht="20.100000000000001" customHeight="1">
      <c r="A174" s="1484" t="s">
        <v>700</v>
      </c>
      <c r="B174" s="1485" t="s">
        <v>2802</v>
      </c>
      <c r="C174" s="1489"/>
      <c r="D174" s="1489"/>
      <c r="E174" s="1489"/>
      <c r="F174" s="1487">
        <f t="shared" si="5"/>
        <v>58717.219870000001</v>
      </c>
      <c r="G174" s="1483">
        <v>0</v>
      </c>
      <c r="H174" s="1487">
        <v>58717.219870000001</v>
      </c>
      <c r="I174" s="1483">
        <v>0</v>
      </c>
      <c r="J174" s="1483">
        <v>0</v>
      </c>
      <c r="K174" s="1483">
        <f t="shared" si="6"/>
        <v>0</v>
      </c>
      <c r="L174" s="1483">
        <v>0</v>
      </c>
      <c r="M174" s="1483">
        <v>0</v>
      </c>
      <c r="N174" s="1483">
        <v>0</v>
      </c>
      <c r="O174" s="1483">
        <v>0</v>
      </c>
      <c r="P174" s="970"/>
      <c r="Q174" s="969"/>
      <c r="R174" s="969"/>
    </row>
    <row r="175" spans="1:18" ht="20.100000000000001" customHeight="1">
      <c r="A175" s="1484" t="s">
        <v>701</v>
      </c>
      <c r="B175" s="1485" t="s">
        <v>3059</v>
      </c>
      <c r="C175" s="1489"/>
      <c r="D175" s="1489"/>
      <c r="E175" s="1489"/>
      <c r="F175" s="1487">
        <f t="shared" si="5"/>
        <v>105867.12531800001</v>
      </c>
      <c r="G175" s="1483">
        <v>0</v>
      </c>
      <c r="H175" s="1487">
        <v>105867.12531800001</v>
      </c>
      <c r="I175" s="1483">
        <v>0</v>
      </c>
      <c r="J175" s="1483">
        <v>0</v>
      </c>
      <c r="K175" s="1483">
        <f t="shared" si="6"/>
        <v>0</v>
      </c>
      <c r="L175" s="1483">
        <v>0</v>
      </c>
      <c r="M175" s="1483">
        <v>0</v>
      </c>
      <c r="N175" s="1483">
        <v>0</v>
      </c>
      <c r="O175" s="1483">
        <v>0</v>
      </c>
      <c r="P175" s="970"/>
      <c r="Q175" s="969"/>
      <c r="R175" s="969"/>
    </row>
    <row r="176" spans="1:18" ht="20.100000000000001" customHeight="1">
      <c r="A176" s="1484" t="s">
        <v>702</v>
      </c>
      <c r="B176" s="1485" t="s">
        <v>2</v>
      </c>
      <c r="C176" s="1489"/>
      <c r="D176" s="1489"/>
      <c r="E176" s="1489"/>
      <c r="F176" s="1487">
        <f t="shared" si="5"/>
        <v>9543.2672949999996</v>
      </c>
      <c r="G176" s="1483">
        <v>0</v>
      </c>
      <c r="H176" s="1487">
        <v>9543.2672949999996</v>
      </c>
      <c r="I176" s="1483">
        <v>0</v>
      </c>
      <c r="J176" s="1483">
        <v>0</v>
      </c>
      <c r="K176" s="1483">
        <f t="shared" si="6"/>
        <v>0</v>
      </c>
      <c r="L176" s="1483">
        <v>0</v>
      </c>
      <c r="M176" s="1483">
        <v>0</v>
      </c>
      <c r="N176" s="1483">
        <v>0</v>
      </c>
      <c r="O176" s="1483">
        <v>0</v>
      </c>
      <c r="P176" s="970"/>
      <c r="Q176" s="969"/>
      <c r="R176" s="969"/>
    </row>
    <row r="177" spans="1:21" ht="20.100000000000001" customHeight="1">
      <c r="A177" s="1484" t="s">
        <v>703</v>
      </c>
      <c r="B177" s="1485" t="s">
        <v>2803</v>
      </c>
      <c r="C177" s="1489"/>
      <c r="D177" s="1489"/>
      <c r="E177" s="1489"/>
      <c r="F177" s="1487">
        <f t="shared" si="5"/>
        <v>19612.670411999999</v>
      </c>
      <c r="G177" s="1483">
        <v>0</v>
      </c>
      <c r="H177" s="1487">
        <v>19612.670411999999</v>
      </c>
      <c r="I177" s="1483">
        <v>0</v>
      </c>
      <c r="J177" s="1483">
        <v>0</v>
      </c>
      <c r="K177" s="1483">
        <f t="shared" si="6"/>
        <v>0</v>
      </c>
      <c r="L177" s="1483">
        <v>0</v>
      </c>
      <c r="M177" s="1483">
        <v>0</v>
      </c>
      <c r="N177" s="1483">
        <v>0</v>
      </c>
      <c r="O177" s="1483">
        <v>0</v>
      </c>
      <c r="P177" s="970"/>
      <c r="Q177" s="969"/>
      <c r="R177" s="969"/>
    </row>
    <row r="178" spans="1:21" ht="20.100000000000001" customHeight="1">
      <c r="A178" s="1484" t="s">
        <v>704</v>
      </c>
      <c r="B178" s="1485" t="s">
        <v>3060</v>
      </c>
      <c r="C178" s="1489"/>
      <c r="D178" s="1489"/>
      <c r="E178" s="1489"/>
      <c r="F178" s="1487">
        <f>+H178+K178</f>
        <v>19272.880250999999</v>
      </c>
      <c r="G178" s="1483">
        <v>0</v>
      </c>
      <c r="H178" s="1487">
        <v>18045.010251</v>
      </c>
      <c r="I178" s="1483">
        <v>0</v>
      </c>
      <c r="J178" s="1483">
        <v>0</v>
      </c>
      <c r="K178" s="1488">
        <f t="shared" si="6"/>
        <v>1227.8699999999999</v>
      </c>
      <c r="L178" s="1487">
        <v>0</v>
      </c>
      <c r="M178" s="1487">
        <v>1227.8699999999999</v>
      </c>
      <c r="N178" s="1483">
        <v>0</v>
      </c>
      <c r="O178" s="1483">
        <v>0</v>
      </c>
      <c r="P178" s="970"/>
      <c r="Q178" s="969"/>
      <c r="R178" s="969"/>
    </row>
    <row r="179" spans="1:21" ht="20.100000000000001" customHeight="1">
      <c r="A179" s="1484" t="s">
        <v>705</v>
      </c>
      <c r="B179" s="1485" t="s">
        <v>12</v>
      </c>
      <c r="C179" s="1489"/>
      <c r="D179" s="1489"/>
      <c r="E179" s="1489"/>
      <c r="F179" s="1487">
        <f t="shared" si="5"/>
        <v>43885.638343999999</v>
      </c>
      <c r="G179" s="1483">
        <v>0</v>
      </c>
      <c r="H179" s="1487">
        <v>43565.638343999999</v>
      </c>
      <c r="I179" s="1483">
        <v>0</v>
      </c>
      <c r="J179" s="1483">
        <v>0</v>
      </c>
      <c r="K179" s="1488">
        <f t="shared" si="6"/>
        <v>320</v>
      </c>
      <c r="L179" s="1487">
        <v>0</v>
      </c>
      <c r="M179" s="1487">
        <v>320</v>
      </c>
      <c r="N179" s="1483">
        <v>0</v>
      </c>
      <c r="O179" s="1483">
        <v>0</v>
      </c>
      <c r="P179" s="970"/>
      <c r="Q179" s="969"/>
      <c r="R179" s="969"/>
    </row>
    <row r="180" spans="1:21" ht="20.100000000000001" customHeight="1">
      <c r="A180" s="1484" t="s">
        <v>706</v>
      </c>
      <c r="B180" s="1485" t="s">
        <v>3061</v>
      </c>
      <c r="C180" s="1489"/>
      <c r="D180" s="1489"/>
      <c r="E180" s="1489"/>
      <c r="F180" s="1487">
        <f t="shared" si="5"/>
        <v>14454.857599000001</v>
      </c>
      <c r="G180" s="1483">
        <v>0</v>
      </c>
      <c r="H180" s="1487">
        <v>14454.857599000001</v>
      </c>
      <c r="I180" s="1483">
        <v>0</v>
      </c>
      <c r="J180" s="1483">
        <v>0</v>
      </c>
      <c r="K180" s="1483">
        <f t="shared" si="6"/>
        <v>0</v>
      </c>
      <c r="L180" s="1483">
        <v>0</v>
      </c>
      <c r="M180" s="1483">
        <v>0</v>
      </c>
      <c r="N180" s="1483">
        <v>0</v>
      </c>
      <c r="O180" s="1483">
        <v>0</v>
      </c>
      <c r="P180" s="970"/>
      <c r="Q180" s="969"/>
      <c r="R180" s="969"/>
    </row>
    <row r="181" spans="1:21" ht="20.100000000000001" customHeight="1">
      <c r="A181" s="1484" t="s">
        <v>707</v>
      </c>
      <c r="B181" s="1485" t="s">
        <v>5</v>
      </c>
      <c r="C181" s="1489"/>
      <c r="D181" s="1489"/>
      <c r="E181" s="1489"/>
      <c r="F181" s="1487">
        <f t="shared" si="5"/>
        <v>19758.872783999999</v>
      </c>
      <c r="G181" s="1483">
        <v>0</v>
      </c>
      <c r="H181" s="1487">
        <v>19758.872783999999</v>
      </c>
      <c r="I181" s="1483">
        <v>0</v>
      </c>
      <c r="J181" s="1483">
        <v>0</v>
      </c>
      <c r="K181" s="1483">
        <f t="shared" si="6"/>
        <v>0</v>
      </c>
      <c r="L181" s="1483">
        <v>0</v>
      </c>
      <c r="M181" s="1483">
        <v>0</v>
      </c>
      <c r="N181" s="1483">
        <v>0</v>
      </c>
      <c r="O181" s="1483">
        <v>0</v>
      </c>
      <c r="P181" s="970"/>
      <c r="Q181" s="969"/>
      <c r="R181" s="969"/>
    </row>
    <row r="182" spans="1:21" ht="20.100000000000001" customHeight="1">
      <c r="A182" s="1484" t="s">
        <v>708</v>
      </c>
      <c r="B182" s="1485" t="s">
        <v>3062</v>
      </c>
      <c r="C182" s="1489"/>
      <c r="D182" s="1489"/>
      <c r="E182" s="1489"/>
      <c r="F182" s="1487">
        <f t="shared" si="5"/>
        <v>69300.307769999999</v>
      </c>
      <c r="G182" s="1483">
        <v>0</v>
      </c>
      <c r="H182" s="1487">
        <v>69300.307769999999</v>
      </c>
      <c r="I182" s="1483">
        <v>0</v>
      </c>
      <c r="J182" s="1483">
        <v>0</v>
      </c>
      <c r="K182" s="1483">
        <f t="shared" si="6"/>
        <v>0</v>
      </c>
      <c r="L182" s="1483">
        <v>0</v>
      </c>
      <c r="M182" s="1483">
        <v>0</v>
      </c>
      <c r="N182" s="1483">
        <v>0</v>
      </c>
      <c r="O182" s="1483">
        <v>0</v>
      </c>
      <c r="P182" s="970"/>
      <c r="Q182" s="969"/>
      <c r="R182" s="969"/>
    </row>
    <row r="183" spans="1:21" ht="20.100000000000001" customHeight="1">
      <c r="A183" s="1484" t="s">
        <v>709</v>
      </c>
      <c r="B183" s="1485" t="s">
        <v>11</v>
      </c>
      <c r="C183" s="1489"/>
      <c r="D183" s="1489"/>
      <c r="E183" s="1489"/>
      <c r="F183" s="1487">
        <f>+H183+K183</f>
        <v>14041.916020000001</v>
      </c>
      <c r="G183" s="1483">
        <v>0</v>
      </c>
      <c r="H183" s="1487">
        <v>13685.64602</v>
      </c>
      <c r="I183" s="1483">
        <v>0</v>
      </c>
      <c r="J183" s="1483">
        <v>0</v>
      </c>
      <c r="K183" s="1488">
        <f t="shared" si="6"/>
        <v>356.27</v>
      </c>
      <c r="L183" s="1487">
        <v>0</v>
      </c>
      <c r="M183" s="1487">
        <v>356.27</v>
      </c>
      <c r="N183" s="1483">
        <v>0</v>
      </c>
      <c r="O183" s="1483">
        <v>0</v>
      </c>
      <c r="P183" s="970"/>
      <c r="Q183" s="969"/>
      <c r="R183" s="969"/>
    </row>
    <row r="184" spans="1:21" ht="20.100000000000001" customHeight="1">
      <c r="A184" s="1484" t="s">
        <v>710</v>
      </c>
      <c r="B184" s="1485" t="s">
        <v>3</v>
      </c>
      <c r="C184" s="1489"/>
      <c r="D184" s="1489"/>
      <c r="E184" s="1489"/>
      <c r="F184" s="1487">
        <f t="shared" si="5"/>
        <v>8302.8852769999994</v>
      </c>
      <c r="G184" s="1483">
        <v>0</v>
      </c>
      <c r="H184" s="1487">
        <v>8302.8852769999994</v>
      </c>
      <c r="I184" s="1483">
        <v>0</v>
      </c>
      <c r="J184" s="1483">
        <v>0</v>
      </c>
      <c r="K184" s="1483">
        <f t="shared" si="6"/>
        <v>0</v>
      </c>
      <c r="L184" s="1483">
        <v>0</v>
      </c>
      <c r="M184" s="1483">
        <v>0</v>
      </c>
      <c r="N184" s="1483">
        <v>0</v>
      </c>
      <c r="O184" s="1483">
        <v>0</v>
      </c>
      <c r="P184" s="970"/>
      <c r="Q184" s="969"/>
      <c r="R184" s="969"/>
    </row>
    <row r="185" spans="1:21" ht="20.100000000000001" customHeight="1">
      <c r="A185" s="1484" t="s">
        <v>711</v>
      </c>
      <c r="B185" s="1485" t="s">
        <v>3063</v>
      </c>
      <c r="C185" s="1489"/>
      <c r="D185" s="1489"/>
      <c r="E185" s="1489"/>
      <c r="F185" s="1487">
        <f t="shared" si="5"/>
        <v>17148.666014999999</v>
      </c>
      <c r="G185" s="1483">
        <v>0</v>
      </c>
      <c r="H185" s="1487">
        <v>17148.666014999999</v>
      </c>
      <c r="I185" s="1483">
        <v>0</v>
      </c>
      <c r="J185" s="1483">
        <v>0</v>
      </c>
      <c r="K185" s="1483">
        <f t="shared" si="6"/>
        <v>0</v>
      </c>
      <c r="L185" s="1483">
        <v>0</v>
      </c>
      <c r="M185" s="1483">
        <v>0</v>
      </c>
      <c r="N185" s="1483">
        <v>0</v>
      </c>
      <c r="O185" s="1483">
        <v>0</v>
      </c>
      <c r="P185" s="970"/>
      <c r="Q185" s="969"/>
      <c r="R185" s="969"/>
    </row>
    <row r="186" spans="1:21" ht="20.100000000000001" customHeight="1">
      <c r="A186" s="1484" t="s">
        <v>712</v>
      </c>
      <c r="B186" s="1485" t="s">
        <v>6</v>
      </c>
      <c r="C186" s="1489"/>
      <c r="D186" s="1489"/>
      <c r="E186" s="1489"/>
      <c r="F186" s="1487">
        <f t="shared" si="5"/>
        <v>8869.9145680000001</v>
      </c>
      <c r="G186" s="1483">
        <v>0</v>
      </c>
      <c r="H186" s="1487">
        <v>8869.9145680000001</v>
      </c>
      <c r="I186" s="1483">
        <v>0</v>
      </c>
      <c r="J186" s="1483">
        <v>0</v>
      </c>
      <c r="K186" s="1483">
        <f t="shared" si="6"/>
        <v>0</v>
      </c>
      <c r="L186" s="1483">
        <v>0</v>
      </c>
      <c r="M186" s="1483">
        <v>0</v>
      </c>
      <c r="N186" s="1483">
        <v>0</v>
      </c>
      <c r="O186" s="1483">
        <v>0</v>
      </c>
      <c r="P186" s="971"/>
      <c r="Q186" s="972"/>
      <c r="R186" s="972"/>
    </row>
    <row r="187" spans="1:21" ht="20.100000000000001" customHeight="1">
      <c r="A187" s="1484" t="s">
        <v>713</v>
      </c>
      <c r="B187" s="1485" t="s">
        <v>9</v>
      </c>
      <c r="C187" s="1489"/>
      <c r="D187" s="1489"/>
      <c r="E187" s="1489"/>
      <c r="F187" s="1487">
        <f t="shared" si="5"/>
        <v>8449.0636350000004</v>
      </c>
      <c r="G187" s="1483">
        <v>0</v>
      </c>
      <c r="H187" s="1487">
        <v>8449.0636350000004</v>
      </c>
      <c r="I187" s="1483">
        <v>0</v>
      </c>
      <c r="J187" s="1483">
        <v>0</v>
      </c>
      <c r="K187" s="1483">
        <f t="shared" si="6"/>
        <v>0</v>
      </c>
      <c r="L187" s="1483">
        <v>0</v>
      </c>
      <c r="M187" s="1483">
        <v>0</v>
      </c>
      <c r="N187" s="1483">
        <v>0</v>
      </c>
      <c r="O187" s="1483">
        <v>0</v>
      </c>
      <c r="P187" s="971"/>
      <c r="Q187" s="972"/>
      <c r="R187" s="972"/>
    </row>
    <row r="188" spans="1:21" ht="20.100000000000001" customHeight="1">
      <c r="A188" s="1484" t="s">
        <v>714</v>
      </c>
      <c r="B188" s="1485" t="s">
        <v>2804</v>
      </c>
      <c r="C188" s="1489"/>
      <c r="D188" s="1489"/>
      <c r="E188" s="1489"/>
      <c r="F188" s="1487">
        <f>+H188+K188</f>
        <v>8473.0298000000003</v>
      </c>
      <c r="G188" s="1483">
        <v>0</v>
      </c>
      <c r="H188" s="1487">
        <v>8473.0298000000003</v>
      </c>
      <c r="I188" s="1483">
        <v>0</v>
      </c>
      <c r="J188" s="1483">
        <v>0</v>
      </c>
      <c r="K188" s="1483">
        <f t="shared" si="6"/>
        <v>0</v>
      </c>
      <c r="L188" s="1483">
        <v>0</v>
      </c>
      <c r="M188" s="1483">
        <v>0</v>
      </c>
      <c r="N188" s="1483">
        <v>0</v>
      </c>
      <c r="O188" s="1483">
        <v>0</v>
      </c>
      <c r="P188" s="973"/>
      <c r="Q188" s="963"/>
      <c r="R188" s="963"/>
    </row>
    <row r="189" spans="1:21" ht="20.100000000000001" customHeight="1">
      <c r="A189" s="1484" t="s">
        <v>715</v>
      </c>
      <c r="B189" s="1485" t="s">
        <v>3064</v>
      </c>
      <c r="C189" s="1489"/>
      <c r="D189" s="1489"/>
      <c r="E189" s="1489"/>
      <c r="F189" s="1487">
        <f>+H189+K189</f>
        <v>10967.948075</v>
      </c>
      <c r="G189" s="1483">
        <v>0</v>
      </c>
      <c r="H189" s="1487">
        <v>10867.948075</v>
      </c>
      <c r="I189" s="1483">
        <v>0</v>
      </c>
      <c r="J189" s="1483">
        <v>0</v>
      </c>
      <c r="K189" s="1488">
        <f t="shared" si="6"/>
        <v>100</v>
      </c>
      <c r="L189" s="1487">
        <v>0</v>
      </c>
      <c r="M189" s="1487">
        <v>100</v>
      </c>
      <c r="N189" s="1483">
        <v>0</v>
      </c>
      <c r="O189" s="1483">
        <v>0</v>
      </c>
      <c r="P189" s="973"/>
      <c r="Q189" s="963"/>
      <c r="R189" s="963"/>
    </row>
    <row r="190" spans="1:21" ht="20.100000000000001" customHeight="1">
      <c r="A190" s="1484" t="s">
        <v>2806</v>
      </c>
      <c r="B190" s="1485" t="s">
        <v>19</v>
      </c>
      <c r="C190" s="1489"/>
      <c r="D190" s="1489"/>
      <c r="E190" s="1489"/>
      <c r="F190" s="1487">
        <f t="shared" ref="F190" si="7">+H190+K190</f>
        <v>17240.153968999999</v>
      </c>
      <c r="G190" s="1483">
        <v>0</v>
      </c>
      <c r="H190" s="1487">
        <v>17240.153968999999</v>
      </c>
      <c r="I190" s="1483">
        <v>0</v>
      </c>
      <c r="J190" s="1483">
        <v>0</v>
      </c>
      <c r="K190" s="1483">
        <f t="shared" si="6"/>
        <v>0</v>
      </c>
      <c r="L190" s="1483">
        <v>0</v>
      </c>
      <c r="M190" s="1483">
        <v>0</v>
      </c>
      <c r="N190" s="1483">
        <v>0</v>
      </c>
      <c r="O190" s="1483">
        <v>0</v>
      </c>
      <c r="P190" s="973"/>
      <c r="Q190" s="963"/>
      <c r="R190" s="963"/>
    </row>
    <row r="191" spans="1:21" ht="20.100000000000001" customHeight="1">
      <c r="A191" s="1484" t="s">
        <v>2807</v>
      </c>
      <c r="B191" s="1485" t="s">
        <v>2805</v>
      </c>
      <c r="C191" s="1489"/>
      <c r="D191" s="1489"/>
      <c r="E191" s="1489"/>
      <c r="F191" s="1487">
        <f>+H191+K191</f>
        <v>14850.569156</v>
      </c>
      <c r="G191" s="1483">
        <v>0</v>
      </c>
      <c r="H191" s="1487">
        <v>14850.569156</v>
      </c>
      <c r="I191" s="1483">
        <v>0</v>
      </c>
      <c r="J191" s="1483">
        <v>0</v>
      </c>
      <c r="K191" s="1483">
        <f t="shared" si="6"/>
        <v>0</v>
      </c>
      <c r="L191" s="1483">
        <v>0</v>
      </c>
      <c r="M191" s="1483">
        <v>0</v>
      </c>
      <c r="N191" s="1483">
        <v>0</v>
      </c>
      <c r="O191" s="1483">
        <v>0</v>
      </c>
      <c r="P191" s="973"/>
      <c r="Q191" s="963"/>
      <c r="R191" s="963"/>
      <c r="U191" s="964">
        <f>+N192+L192</f>
        <v>633340.47815500002</v>
      </c>
    </row>
    <row r="192" spans="1:21" s="966" customFormat="1" ht="20.100000000000001" customHeight="1">
      <c r="A192" s="1490" t="s">
        <v>109</v>
      </c>
      <c r="B192" s="1481" t="s">
        <v>21</v>
      </c>
      <c r="C192" s="1491"/>
      <c r="D192" s="1491"/>
      <c r="E192" s="1491"/>
      <c r="F192" s="1480">
        <f>SUM(F193:F202)</f>
        <v>2336793.7198600001</v>
      </c>
      <c r="G192" s="1480">
        <f>SUM(G193:G202)</f>
        <v>1703453.2417049999</v>
      </c>
      <c r="H192" s="1483">
        <f t="shared" ref="H192:O192" si="8">SUM(H193:H202)</f>
        <v>0</v>
      </c>
      <c r="I192" s="1483">
        <f t="shared" si="8"/>
        <v>0</v>
      </c>
      <c r="J192" s="1483">
        <f t="shared" si="8"/>
        <v>0</v>
      </c>
      <c r="K192" s="1480">
        <f>SUM(K193:K202)</f>
        <v>181.09700000000001</v>
      </c>
      <c r="L192" s="1480">
        <f t="shared" si="8"/>
        <v>181.09700000000001</v>
      </c>
      <c r="M192" s="1480">
        <f t="shared" si="8"/>
        <v>0</v>
      </c>
      <c r="N192" s="1480">
        <f>SUM(N193:N202)</f>
        <v>633159.38115500007</v>
      </c>
      <c r="O192" s="1480">
        <f t="shared" si="8"/>
        <v>0</v>
      </c>
      <c r="P192" s="974"/>
      <c r="Q192" s="965"/>
      <c r="R192" s="965"/>
      <c r="S192" s="966">
        <v>1941632.1774810001</v>
      </c>
      <c r="T192" s="966">
        <v>2336793.7198600001</v>
      </c>
      <c r="U192" s="967">
        <f>+F192-T192</f>
        <v>0</v>
      </c>
    </row>
    <row r="193" spans="1:20" ht="20.100000000000001" customHeight="1">
      <c r="A193" s="1484">
        <v>1</v>
      </c>
      <c r="B193" s="1485" t="s">
        <v>717</v>
      </c>
      <c r="C193" s="1489"/>
      <c r="D193" s="1489"/>
      <c r="E193" s="1489"/>
      <c r="F193" s="1487">
        <f>+G193</f>
        <v>1458840.31687</v>
      </c>
      <c r="G193" s="1487">
        <f>1624187.877043-165347.560173</f>
        <v>1458840.31687</v>
      </c>
      <c r="H193" s="1483">
        <v>0</v>
      </c>
      <c r="I193" s="1483">
        <v>0</v>
      </c>
      <c r="J193" s="1483">
        <v>0</v>
      </c>
      <c r="K193" s="1483">
        <f>+L193+M193</f>
        <v>0</v>
      </c>
      <c r="L193" s="1483">
        <v>0</v>
      </c>
      <c r="M193" s="1483">
        <v>0</v>
      </c>
      <c r="N193" s="1483">
        <v>0</v>
      </c>
      <c r="O193" s="1483">
        <v>0</v>
      </c>
      <c r="P193" s="973"/>
      <c r="Q193" s="963"/>
      <c r="R193" s="963"/>
    </row>
    <row r="194" spans="1:20" ht="20.100000000000001" customHeight="1">
      <c r="A194" s="1484">
        <v>2</v>
      </c>
      <c r="B194" s="1485" t="s">
        <v>2817</v>
      </c>
      <c r="C194" s="1489"/>
      <c r="D194" s="1489"/>
      <c r="E194" s="1489"/>
      <c r="F194" s="1487">
        <f>+N194</f>
        <v>633159.38115500007</v>
      </c>
      <c r="G194" s="1487">
        <v>0</v>
      </c>
      <c r="H194" s="1483">
        <v>0</v>
      </c>
      <c r="I194" s="1483">
        <v>0</v>
      </c>
      <c r="J194" s="1483">
        <v>0</v>
      </c>
      <c r="K194" s="1483">
        <f t="shared" ref="K194:K202" si="9">+L194+M194</f>
        <v>0</v>
      </c>
      <c r="L194" s="1483">
        <v>0</v>
      </c>
      <c r="M194" s="1483">
        <v>0</v>
      </c>
      <c r="N194" s="1487">
        <f>'TH CHI_62_342_51_52_53_31'!G80-'TH CHI_62_342_51_52_53_31'!G83-'TH CHI_62_342_51_52_53_31'!G84</f>
        <v>633159.38115500007</v>
      </c>
      <c r="O194" s="1487">
        <v>0</v>
      </c>
      <c r="P194" s="973"/>
      <c r="Q194" s="963"/>
      <c r="R194" s="963"/>
      <c r="S194" s="960">
        <v>723040.85893300001</v>
      </c>
      <c r="T194" s="960">
        <v>719826.85893300001</v>
      </c>
    </row>
    <row r="195" spans="1:20" ht="20.100000000000001" customHeight="1">
      <c r="A195" s="1484">
        <v>3</v>
      </c>
      <c r="B195" s="1485" t="s">
        <v>2814</v>
      </c>
      <c r="C195" s="1489"/>
      <c r="D195" s="1489"/>
      <c r="E195" s="1489"/>
      <c r="F195" s="1487">
        <f>+G195</f>
        <v>143204.246151</v>
      </c>
      <c r="G195" s="1487">
        <v>143204.246151</v>
      </c>
      <c r="H195" s="1483">
        <v>0</v>
      </c>
      <c r="I195" s="1483">
        <v>0</v>
      </c>
      <c r="J195" s="1483">
        <v>0</v>
      </c>
      <c r="K195" s="1483">
        <f t="shared" si="9"/>
        <v>0</v>
      </c>
      <c r="L195" s="1483">
        <v>0</v>
      </c>
      <c r="M195" s="1483">
        <v>0</v>
      </c>
      <c r="N195" s="1483">
        <v>0</v>
      </c>
      <c r="O195" s="1483">
        <v>0</v>
      </c>
      <c r="P195" s="973"/>
      <c r="Q195" s="963"/>
      <c r="R195" s="963"/>
      <c r="T195" s="960">
        <v>165347.56017300001</v>
      </c>
    </row>
    <row r="196" spans="1:20" ht="20.100000000000001" customHeight="1">
      <c r="A196" s="1484">
        <v>4</v>
      </c>
      <c r="B196" s="1485" t="s">
        <v>2735</v>
      </c>
      <c r="C196" s="1489"/>
      <c r="D196" s="1489"/>
      <c r="E196" s="1489"/>
      <c r="F196" s="1487">
        <f>+G196+K196</f>
        <v>54</v>
      </c>
      <c r="G196" s="1483">
        <v>0</v>
      </c>
      <c r="H196" s="1483">
        <v>0</v>
      </c>
      <c r="I196" s="1483">
        <v>0</v>
      </c>
      <c r="J196" s="1483">
        <v>0</v>
      </c>
      <c r="K196" s="1487">
        <f t="shared" si="9"/>
        <v>54</v>
      </c>
      <c r="L196" s="1487">
        <v>54</v>
      </c>
      <c r="M196" s="1483">
        <v>0</v>
      </c>
      <c r="N196" s="1483">
        <v>0</v>
      </c>
      <c r="O196" s="1483">
        <v>0</v>
      </c>
      <c r="P196" s="973"/>
      <c r="Q196" s="963"/>
      <c r="R196" s="963"/>
    </row>
    <row r="197" spans="1:20" ht="20.100000000000001" customHeight="1">
      <c r="A197" s="1484">
        <v>5</v>
      </c>
      <c r="B197" s="1485" t="s">
        <v>2736</v>
      </c>
      <c r="C197" s="1489"/>
      <c r="D197" s="1489"/>
      <c r="E197" s="1489"/>
      <c r="F197" s="1487">
        <f t="shared" ref="F197:F200" si="10">+G197+K197</f>
        <v>36</v>
      </c>
      <c r="G197" s="1483">
        <v>0</v>
      </c>
      <c r="H197" s="1483">
        <v>0</v>
      </c>
      <c r="I197" s="1483">
        <v>0</v>
      </c>
      <c r="J197" s="1483">
        <v>0</v>
      </c>
      <c r="K197" s="1487">
        <f t="shared" si="9"/>
        <v>36</v>
      </c>
      <c r="L197" s="1487">
        <v>36</v>
      </c>
      <c r="M197" s="1483">
        <v>0</v>
      </c>
      <c r="N197" s="1483">
        <v>0</v>
      </c>
      <c r="O197" s="1483">
        <v>0</v>
      </c>
      <c r="P197" s="973"/>
      <c r="Q197" s="963"/>
      <c r="R197" s="963"/>
      <c r="T197" s="960">
        <v>2336793.7198600001</v>
      </c>
    </row>
    <row r="198" spans="1:20" ht="20.100000000000001" customHeight="1">
      <c r="A198" s="1484">
        <v>6</v>
      </c>
      <c r="B198" s="1485" t="s">
        <v>2737</v>
      </c>
      <c r="C198" s="1489"/>
      <c r="D198" s="1489"/>
      <c r="E198" s="1489"/>
      <c r="F198" s="1487">
        <f t="shared" si="10"/>
        <v>30</v>
      </c>
      <c r="G198" s="1483">
        <v>0</v>
      </c>
      <c r="H198" s="1483">
        <v>0</v>
      </c>
      <c r="I198" s="1483">
        <v>0</v>
      </c>
      <c r="J198" s="1483">
        <v>0</v>
      </c>
      <c r="K198" s="1487">
        <f t="shared" si="9"/>
        <v>30</v>
      </c>
      <c r="L198" s="1487">
        <v>30</v>
      </c>
      <c r="M198" s="1483">
        <v>0</v>
      </c>
      <c r="N198" s="1483">
        <v>0</v>
      </c>
      <c r="O198" s="1483">
        <v>0</v>
      </c>
      <c r="P198" s="973"/>
      <c r="Q198" s="963"/>
      <c r="R198" s="963"/>
      <c r="T198" s="964">
        <f>+T197-F192</f>
        <v>0</v>
      </c>
    </row>
    <row r="199" spans="1:20" ht="20.100000000000001" customHeight="1">
      <c r="A199" s="1484">
        <v>7</v>
      </c>
      <c r="B199" s="1485" t="s">
        <v>2738</v>
      </c>
      <c r="C199" s="1489"/>
      <c r="D199" s="1489"/>
      <c r="E199" s="1489"/>
      <c r="F199" s="1487">
        <f t="shared" si="10"/>
        <v>41.097000000000001</v>
      </c>
      <c r="G199" s="1483">
        <v>0</v>
      </c>
      <c r="H199" s="1483">
        <v>0</v>
      </c>
      <c r="I199" s="1483">
        <v>0</v>
      </c>
      <c r="J199" s="1483">
        <v>0</v>
      </c>
      <c r="K199" s="1487">
        <f t="shared" si="9"/>
        <v>41.097000000000001</v>
      </c>
      <c r="L199" s="1487">
        <v>41.097000000000001</v>
      </c>
      <c r="M199" s="1483">
        <v>0</v>
      </c>
      <c r="N199" s="1483">
        <v>0</v>
      </c>
      <c r="O199" s="1483">
        <v>0</v>
      </c>
      <c r="P199" s="973"/>
      <c r="Q199" s="963"/>
      <c r="R199" s="963"/>
    </row>
    <row r="200" spans="1:20" ht="20.100000000000001" customHeight="1">
      <c r="A200" s="1484">
        <v>8</v>
      </c>
      <c r="B200" s="1485" t="s">
        <v>2739</v>
      </c>
      <c r="C200" s="1489"/>
      <c r="D200" s="1489"/>
      <c r="E200" s="1489"/>
      <c r="F200" s="1487">
        <f t="shared" si="10"/>
        <v>20</v>
      </c>
      <c r="G200" s="1483">
        <v>0</v>
      </c>
      <c r="H200" s="1483">
        <v>0</v>
      </c>
      <c r="I200" s="1483">
        <v>0</v>
      </c>
      <c r="J200" s="1483">
        <v>0</v>
      </c>
      <c r="K200" s="1487">
        <f t="shared" si="9"/>
        <v>20</v>
      </c>
      <c r="L200" s="1487">
        <v>20</v>
      </c>
      <c r="M200" s="1483">
        <v>0</v>
      </c>
      <c r="N200" s="1483">
        <v>0</v>
      </c>
      <c r="O200" s="1483">
        <v>0</v>
      </c>
      <c r="P200" s="973"/>
      <c r="Q200" s="963"/>
      <c r="R200" s="963"/>
    </row>
    <row r="201" spans="1:20" ht="20.100000000000001" customHeight="1">
      <c r="A201" s="1484">
        <v>9</v>
      </c>
      <c r="B201" s="1485" t="s">
        <v>281</v>
      </c>
      <c r="C201" s="1489"/>
      <c r="D201" s="1489"/>
      <c r="E201" s="1489"/>
      <c r="F201" s="1487">
        <f>+G201</f>
        <v>68634.278684000004</v>
      </c>
      <c r="G201" s="1487">
        <f>42147.892+26486.386684</f>
        <v>68634.278684000004</v>
      </c>
      <c r="H201" s="1483">
        <v>0</v>
      </c>
      <c r="I201" s="1483">
        <v>0</v>
      </c>
      <c r="J201" s="1483">
        <v>0</v>
      </c>
      <c r="K201" s="1483">
        <f t="shared" si="9"/>
        <v>0</v>
      </c>
      <c r="L201" s="1487"/>
      <c r="M201" s="1483">
        <v>0</v>
      </c>
      <c r="N201" s="1483">
        <v>0</v>
      </c>
      <c r="O201" s="1483">
        <v>0</v>
      </c>
      <c r="P201" s="973"/>
      <c r="Q201" s="963"/>
      <c r="R201" s="963"/>
    </row>
    <row r="202" spans="1:20" ht="20.100000000000001" customHeight="1">
      <c r="A202" s="1484">
        <v>10</v>
      </c>
      <c r="B202" s="1485" t="s">
        <v>3065</v>
      </c>
      <c r="C202" s="1489"/>
      <c r="D202" s="1489"/>
      <c r="E202" s="1489"/>
      <c r="F202" s="1487">
        <f>+G202</f>
        <v>32774.400000000001</v>
      </c>
      <c r="G202" s="1487">
        <v>32774.400000000001</v>
      </c>
      <c r="H202" s="1483">
        <v>0</v>
      </c>
      <c r="I202" s="1483">
        <v>0</v>
      </c>
      <c r="J202" s="1483">
        <v>0</v>
      </c>
      <c r="K202" s="1483">
        <f t="shared" si="9"/>
        <v>0</v>
      </c>
      <c r="L202" s="1487"/>
      <c r="M202" s="1483">
        <v>0</v>
      </c>
      <c r="N202" s="1483">
        <v>0</v>
      </c>
      <c r="O202" s="1483">
        <v>0</v>
      </c>
      <c r="P202" s="973"/>
      <c r="Q202" s="963"/>
      <c r="R202" s="963"/>
      <c r="S202" s="964">
        <f>S194-N194</f>
        <v>89881.477777999942</v>
      </c>
      <c r="T202" s="960">
        <v>1684382.0128800001</v>
      </c>
    </row>
    <row r="203" spans="1:20" ht="20.100000000000001" customHeight="1">
      <c r="A203" s="1490" t="s">
        <v>118</v>
      </c>
      <c r="B203" s="1492" t="s">
        <v>718</v>
      </c>
      <c r="C203" s="1489"/>
      <c r="D203" s="1489"/>
      <c r="E203" s="1489"/>
      <c r="F203" s="1480">
        <f>SUM(F204:F241)</f>
        <v>524288.55934100004</v>
      </c>
      <c r="G203" s="1483">
        <v>0</v>
      </c>
      <c r="H203" s="1480">
        <f>SUM(H204:H241)</f>
        <v>488150.59783700004</v>
      </c>
      <c r="I203" s="1483">
        <v>0</v>
      </c>
      <c r="J203" s="1483">
        <v>0</v>
      </c>
      <c r="K203" s="1483">
        <f>SUM(K204:K241)</f>
        <v>0</v>
      </c>
      <c r="L203" s="1483">
        <f>SUM(L204:L241)</f>
        <v>0</v>
      </c>
      <c r="M203" s="1483">
        <f>SUM(M204:M241)</f>
        <v>0</v>
      </c>
      <c r="N203" s="1480">
        <f>SUM(N204:N241)</f>
        <v>36137.961504000006</v>
      </c>
      <c r="O203" s="1483">
        <v>0</v>
      </c>
      <c r="P203" s="973"/>
      <c r="Q203" s="963"/>
      <c r="R203" s="963"/>
      <c r="T203" s="964">
        <f>+G193-T202</f>
        <v>-225541.69601000007</v>
      </c>
    </row>
    <row r="204" spans="1:20" ht="20.100000000000001" customHeight="1">
      <c r="A204" s="1484">
        <v>1</v>
      </c>
      <c r="B204" s="1493" t="s">
        <v>3067</v>
      </c>
      <c r="C204" s="1489"/>
      <c r="D204" s="1489"/>
      <c r="E204" s="1489"/>
      <c r="F204" s="1487">
        <f t="shared" ref="F204:F227" si="11">+H204+K204</f>
        <v>15257.756399999998</v>
      </c>
      <c r="G204" s="1483">
        <v>0</v>
      </c>
      <c r="H204" s="1487">
        <f>24410.7564-9153</f>
        <v>15257.756399999998</v>
      </c>
      <c r="I204" s="1483">
        <v>0</v>
      </c>
      <c r="J204" s="1483">
        <v>0</v>
      </c>
      <c r="K204" s="1483">
        <v>0</v>
      </c>
      <c r="L204" s="1483">
        <v>0</v>
      </c>
      <c r="M204" s="1483">
        <v>0</v>
      </c>
      <c r="N204" s="1483">
        <v>0</v>
      </c>
      <c r="O204" s="1483">
        <v>0</v>
      </c>
      <c r="P204" s="973"/>
      <c r="Q204" s="963"/>
      <c r="R204" s="963"/>
    </row>
    <row r="205" spans="1:20" ht="20.100000000000001" customHeight="1">
      <c r="A205" s="1484">
        <v>2</v>
      </c>
      <c r="B205" s="1493" t="s">
        <v>3066</v>
      </c>
      <c r="C205" s="1489"/>
      <c r="D205" s="1489"/>
      <c r="E205" s="1489"/>
      <c r="F205" s="1487">
        <f t="shared" si="11"/>
        <v>9254.6910000000007</v>
      </c>
      <c r="G205" s="1483">
        <v>0</v>
      </c>
      <c r="H205" s="1487">
        <v>9254.6910000000007</v>
      </c>
      <c r="I205" s="1483">
        <v>0</v>
      </c>
      <c r="J205" s="1483">
        <v>0</v>
      </c>
      <c r="K205" s="1483">
        <f>+L205+M205</f>
        <v>0</v>
      </c>
      <c r="L205" s="1483">
        <v>0</v>
      </c>
      <c r="M205" s="1483">
        <v>0</v>
      </c>
      <c r="N205" s="1483">
        <v>0</v>
      </c>
      <c r="O205" s="1483">
        <v>0</v>
      </c>
      <c r="P205" s="973"/>
      <c r="Q205" s="963"/>
      <c r="R205" s="963"/>
      <c r="T205" s="960">
        <v>26486.386684000001</v>
      </c>
    </row>
    <row r="206" spans="1:20" ht="20.100000000000001" customHeight="1">
      <c r="A206" s="1484">
        <v>3</v>
      </c>
      <c r="B206" s="1493" t="s">
        <v>3068</v>
      </c>
      <c r="C206" s="1489"/>
      <c r="D206" s="1489"/>
      <c r="E206" s="1489"/>
      <c r="F206" s="1487">
        <f t="shared" si="11"/>
        <v>1387.8106</v>
      </c>
      <c r="G206" s="1483">
        <v>0</v>
      </c>
      <c r="H206" s="1487">
        <v>1387.8106</v>
      </c>
      <c r="I206" s="1483">
        <v>0</v>
      </c>
      <c r="J206" s="1483">
        <v>0</v>
      </c>
      <c r="K206" s="1483">
        <v>0</v>
      </c>
      <c r="L206" s="1483">
        <v>0</v>
      </c>
      <c r="M206" s="1483">
        <v>0</v>
      </c>
      <c r="N206" s="1483">
        <v>0</v>
      </c>
      <c r="O206" s="1483">
        <v>0</v>
      </c>
      <c r="P206" s="973"/>
      <c r="Q206" s="963"/>
      <c r="R206" s="963"/>
      <c r="T206" s="964">
        <f>+G201+T205</f>
        <v>95120.665368000002</v>
      </c>
    </row>
    <row r="207" spans="1:20" ht="20.100000000000001" customHeight="1">
      <c r="A207" s="1484">
        <v>4</v>
      </c>
      <c r="B207" s="1493" t="s">
        <v>1465</v>
      </c>
      <c r="C207" s="1489"/>
      <c r="D207" s="1489"/>
      <c r="E207" s="1489"/>
      <c r="F207" s="1487">
        <f t="shared" si="11"/>
        <v>45630.366000000002</v>
      </c>
      <c r="G207" s="1483">
        <v>0</v>
      </c>
      <c r="H207" s="1487">
        <f>49480.366-3850</f>
        <v>45630.366000000002</v>
      </c>
      <c r="I207" s="1483">
        <v>0</v>
      </c>
      <c r="J207" s="1483">
        <v>0</v>
      </c>
      <c r="K207" s="1483">
        <v>0</v>
      </c>
      <c r="L207" s="1483">
        <v>0</v>
      </c>
      <c r="M207" s="1483">
        <v>0</v>
      </c>
      <c r="N207" s="1483">
        <v>0</v>
      </c>
      <c r="O207" s="1483">
        <v>0</v>
      </c>
      <c r="P207" s="973"/>
      <c r="Q207" s="963"/>
      <c r="R207" s="963"/>
    </row>
    <row r="208" spans="1:20" ht="20.100000000000001" customHeight="1">
      <c r="A208" s="1484">
        <v>5</v>
      </c>
      <c r="B208" s="1493" t="s">
        <v>3069</v>
      </c>
      <c r="C208" s="1489"/>
      <c r="D208" s="1489"/>
      <c r="E208" s="1489"/>
      <c r="F208" s="1487">
        <f t="shared" si="11"/>
        <v>359328.640311</v>
      </c>
      <c r="G208" s="1483">
        <v>0</v>
      </c>
      <c r="H208" s="1487">
        <f>3986+355108.36104+234.279271</f>
        <v>359328.640311</v>
      </c>
      <c r="I208" s="1483">
        <v>0</v>
      </c>
      <c r="J208" s="1483">
        <v>0</v>
      </c>
      <c r="K208" s="1483">
        <v>0</v>
      </c>
      <c r="L208" s="1483">
        <v>0</v>
      </c>
      <c r="M208" s="1483">
        <v>0</v>
      </c>
      <c r="N208" s="1483">
        <v>0</v>
      </c>
      <c r="O208" s="1483">
        <v>0</v>
      </c>
      <c r="P208" s="973"/>
      <c r="Q208" s="963"/>
      <c r="R208" s="963"/>
    </row>
    <row r="209" spans="1:18" ht="20.100000000000001" customHeight="1">
      <c r="A209" s="1484">
        <v>6</v>
      </c>
      <c r="B209" s="1493" t="s">
        <v>3070</v>
      </c>
      <c r="C209" s="1489"/>
      <c r="D209" s="1489"/>
      <c r="E209" s="1489"/>
      <c r="F209" s="1487">
        <f t="shared" si="11"/>
        <v>850</v>
      </c>
      <c r="G209" s="1483">
        <v>0</v>
      </c>
      <c r="H209" s="1487">
        <v>850</v>
      </c>
      <c r="I209" s="1483">
        <v>0</v>
      </c>
      <c r="J209" s="1483">
        <v>0</v>
      </c>
      <c r="K209" s="1483">
        <v>0</v>
      </c>
      <c r="L209" s="1483">
        <v>0</v>
      </c>
      <c r="M209" s="1483">
        <v>0</v>
      </c>
      <c r="N209" s="1483">
        <v>0</v>
      </c>
      <c r="O209" s="1483">
        <v>0</v>
      </c>
      <c r="P209" s="973"/>
      <c r="Q209" s="963"/>
      <c r="R209" s="963"/>
    </row>
    <row r="210" spans="1:18" ht="20.100000000000001" customHeight="1">
      <c r="A210" s="1484">
        <v>7</v>
      </c>
      <c r="B210" s="1493" t="s">
        <v>3071</v>
      </c>
      <c r="C210" s="1489"/>
      <c r="D210" s="1489"/>
      <c r="E210" s="1489"/>
      <c r="F210" s="1487">
        <f t="shared" si="11"/>
        <v>1037.7351630000001</v>
      </c>
      <c r="G210" s="1483">
        <v>0</v>
      </c>
      <c r="H210" s="1487">
        <v>1037.7351630000001</v>
      </c>
      <c r="I210" s="1483">
        <v>0</v>
      </c>
      <c r="J210" s="1483">
        <v>0</v>
      </c>
      <c r="K210" s="1483">
        <v>0</v>
      </c>
      <c r="L210" s="1483">
        <v>0</v>
      </c>
      <c r="M210" s="1483">
        <v>0</v>
      </c>
      <c r="N210" s="1483">
        <v>0</v>
      </c>
      <c r="O210" s="1483">
        <v>0</v>
      </c>
      <c r="P210" s="973"/>
      <c r="Q210" s="963"/>
      <c r="R210" s="963"/>
    </row>
    <row r="211" spans="1:18" ht="20.100000000000001" customHeight="1">
      <c r="A211" s="1484">
        <v>8</v>
      </c>
      <c r="B211" s="1493" t="s">
        <v>3064</v>
      </c>
      <c r="C211" s="1489"/>
      <c r="D211" s="1489"/>
      <c r="E211" s="1489"/>
      <c r="F211" s="1487">
        <f t="shared" si="11"/>
        <v>80</v>
      </c>
      <c r="G211" s="1483">
        <v>0</v>
      </c>
      <c r="H211" s="1487">
        <v>80</v>
      </c>
      <c r="I211" s="1483">
        <v>0</v>
      </c>
      <c r="J211" s="1483">
        <v>0</v>
      </c>
      <c r="K211" s="1483">
        <v>0</v>
      </c>
      <c r="L211" s="1483">
        <v>0</v>
      </c>
      <c r="M211" s="1483">
        <v>0</v>
      </c>
      <c r="N211" s="1483">
        <v>0</v>
      </c>
      <c r="O211" s="1483">
        <v>0</v>
      </c>
      <c r="P211" s="973"/>
      <c r="Q211" s="963"/>
      <c r="R211" s="963"/>
    </row>
    <row r="212" spans="1:18" ht="20.100000000000001" customHeight="1">
      <c r="A212" s="1484">
        <v>9</v>
      </c>
      <c r="B212" s="1493" t="s">
        <v>3073</v>
      </c>
      <c r="C212" s="1489"/>
      <c r="D212" s="1489"/>
      <c r="E212" s="1489"/>
      <c r="F212" s="1487">
        <f t="shared" si="11"/>
        <v>100</v>
      </c>
      <c r="G212" s="1483">
        <v>0</v>
      </c>
      <c r="H212" s="1487">
        <v>100</v>
      </c>
      <c r="I212" s="1483">
        <v>0</v>
      </c>
      <c r="J212" s="1483">
        <v>0</v>
      </c>
      <c r="K212" s="1483">
        <v>0</v>
      </c>
      <c r="L212" s="1483">
        <v>0</v>
      </c>
      <c r="M212" s="1483">
        <v>0</v>
      </c>
      <c r="N212" s="1483">
        <v>0</v>
      </c>
      <c r="O212" s="1483">
        <v>0</v>
      </c>
      <c r="P212" s="973"/>
      <c r="Q212" s="963"/>
      <c r="R212" s="963"/>
    </row>
    <row r="213" spans="1:18" ht="20.100000000000001" customHeight="1">
      <c r="A213" s="1484">
        <v>10</v>
      </c>
      <c r="B213" s="1493" t="s">
        <v>3072</v>
      </c>
      <c r="C213" s="1489"/>
      <c r="D213" s="1489"/>
      <c r="E213" s="1489"/>
      <c r="F213" s="1487">
        <f t="shared" si="11"/>
        <v>40</v>
      </c>
      <c r="G213" s="1483">
        <v>0</v>
      </c>
      <c r="H213" s="1487">
        <v>40</v>
      </c>
      <c r="I213" s="1483">
        <v>0</v>
      </c>
      <c r="J213" s="1483">
        <v>0</v>
      </c>
      <c r="K213" s="1483">
        <v>0</v>
      </c>
      <c r="L213" s="1483">
        <v>0</v>
      </c>
      <c r="M213" s="1483">
        <v>0</v>
      </c>
      <c r="N213" s="1483">
        <v>0</v>
      </c>
      <c r="O213" s="1483">
        <v>0</v>
      </c>
      <c r="P213" s="973"/>
      <c r="Q213" s="963"/>
      <c r="R213" s="963"/>
    </row>
    <row r="214" spans="1:18" ht="20.100000000000001" customHeight="1">
      <c r="A214" s="1484">
        <v>11</v>
      </c>
      <c r="B214" s="1493" t="s">
        <v>3074</v>
      </c>
      <c r="C214" s="1489"/>
      <c r="D214" s="1489"/>
      <c r="E214" s="1489"/>
      <c r="F214" s="1487">
        <f t="shared" si="11"/>
        <v>650</v>
      </c>
      <c r="G214" s="1483">
        <v>0</v>
      </c>
      <c r="H214" s="1487">
        <v>650</v>
      </c>
      <c r="I214" s="1483">
        <v>0</v>
      </c>
      <c r="J214" s="1483">
        <v>0</v>
      </c>
      <c r="K214" s="1483">
        <v>0</v>
      </c>
      <c r="L214" s="1483">
        <v>0</v>
      </c>
      <c r="M214" s="1483">
        <v>0</v>
      </c>
      <c r="N214" s="1483">
        <v>0</v>
      </c>
      <c r="O214" s="1483">
        <v>0</v>
      </c>
      <c r="P214" s="973"/>
      <c r="Q214" s="963"/>
      <c r="R214" s="963"/>
    </row>
    <row r="215" spans="1:18" ht="20.100000000000001" customHeight="1">
      <c r="A215" s="1484">
        <v>12</v>
      </c>
      <c r="B215" s="1493" t="s">
        <v>3075</v>
      </c>
      <c r="C215" s="1489"/>
      <c r="D215" s="1489"/>
      <c r="E215" s="1489"/>
      <c r="F215" s="1487">
        <f t="shared" si="11"/>
        <v>110.4</v>
      </c>
      <c r="G215" s="1483">
        <v>0</v>
      </c>
      <c r="H215" s="1487">
        <v>110.4</v>
      </c>
      <c r="I215" s="1483">
        <v>0</v>
      </c>
      <c r="J215" s="1483">
        <v>0</v>
      </c>
      <c r="K215" s="1483">
        <v>0</v>
      </c>
      <c r="L215" s="1483">
        <v>0</v>
      </c>
      <c r="M215" s="1483">
        <v>0</v>
      </c>
      <c r="N215" s="1483">
        <v>0</v>
      </c>
      <c r="O215" s="1483">
        <v>0</v>
      </c>
      <c r="P215" s="973"/>
      <c r="Q215" s="963"/>
      <c r="R215" s="963"/>
    </row>
    <row r="216" spans="1:18" ht="20.100000000000001" customHeight="1">
      <c r="A216" s="1484">
        <v>13</v>
      </c>
      <c r="B216" s="1493" t="s">
        <v>3076</v>
      </c>
      <c r="C216" s="1489"/>
      <c r="D216" s="1489"/>
      <c r="E216" s="1489"/>
      <c r="F216" s="1487">
        <f t="shared" si="11"/>
        <v>40</v>
      </c>
      <c r="G216" s="1483">
        <v>0</v>
      </c>
      <c r="H216" s="1487">
        <v>40</v>
      </c>
      <c r="I216" s="1483">
        <v>0</v>
      </c>
      <c r="J216" s="1483">
        <v>0</v>
      </c>
      <c r="K216" s="1483">
        <v>0</v>
      </c>
      <c r="L216" s="1483">
        <v>0</v>
      </c>
      <c r="M216" s="1483">
        <v>0</v>
      </c>
      <c r="N216" s="1483">
        <v>0</v>
      </c>
      <c r="O216" s="1483">
        <v>0</v>
      </c>
      <c r="P216" s="973"/>
      <c r="Q216" s="963"/>
      <c r="R216" s="963"/>
    </row>
    <row r="217" spans="1:18" ht="20.100000000000001" customHeight="1">
      <c r="A217" s="1484">
        <v>14</v>
      </c>
      <c r="B217" s="1493" t="s">
        <v>3077</v>
      </c>
      <c r="C217" s="1489"/>
      <c r="D217" s="1489"/>
      <c r="E217" s="1489"/>
      <c r="F217" s="1487">
        <f t="shared" si="11"/>
        <v>40</v>
      </c>
      <c r="G217" s="1483">
        <v>0</v>
      </c>
      <c r="H217" s="1487">
        <v>40</v>
      </c>
      <c r="I217" s="1483">
        <v>0</v>
      </c>
      <c r="J217" s="1483">
        <v>0</v>
      </c>
      <c r="K217" s="1483">
        <v>0</v>
      </c>
      <c r="L217" s="1483">
        <v>0</v>
      </c>
      <c r="M217" s="1483">
        <v>0</v>
      </c>
      <c r="N217" s="1483">
        <v>0</v>
      </c>
      <c r="O217" s="1483">
        <v>0</v>
      </c>
      <c r="P217" s="973"/>
      <c r="Q217" s="963"/>
      <c r="R217" s="963"/>
    </row>
    <row r="218" spans="1:18" ht="20.100000000000001" customHeight="1">
      <c r="A218" s="1484">
        <v>15</v>
      </c>
      <c r="B218" s="1493" t="s">
        <v>23</v>
      </c>
      <c r="C218" s="1489"/>
      <c r="D218" s="1489"/>
      <c r="E218" s="1489"/>
      <c r="F218" s="1487">
        <f t="shared" si="11"/>
        <v>220</v>
      </c>
      <c r="G218" s="1483">
        <v>0</v>
      </c>
      <c r="H218" s="1487">
        <v>220</v>
      </c>
      <c r="I218" s="1483">
        <v>0</v>
      </c>
      <c r="J218" s="1483">
        <v>0</v>
      </c>
      <c r="K218" s="1483">
        <v>0</v>
      </c>
      <c r="L218" s="1483">
        <v>0</v>
      </c>
      <c r="M218" s="1483">
        <v>0</v>
      </c>
      <c r="N218" s="1483">
        <v>0</v>
      </c>
      <c r="O218" s="1483">
        <v>0</v>
      </c>
      <c r="P218" s="973"/>
      <c r="Q218" s="963"/>
      <c r="R218" s="963"/>
    </row>
    <row r="219" spans="1:18" ht="20.100000000000001" customHeight="1">
      <c r="A219" s="1484">
        <v>16</v>
      </c>
      <c r="B219" s="1493" t="s">
        <v>3078</v>
      </c>
      <c r="C219" s="1489"/>
      <c r="D219" s="1489"/>
      <c r="E219" s="1489"/>
      <c r="F219" s="1487">
        <f t="shared" si="11"/>
        <v>47.03</v>
      </c>
      <c r="G219" s="1483">
        <v>0</v>
      </c>
      <c r="H219" s="1487">
        <v>47.03</v>
      </c>
      <c r="I219" s="1483">
        <v>0</v>
      </c>
      <c r="J219" s="1483">
        <v>0</v>
      </c>
      <c r="K219" s="1483">
        <v>0</v>
      </c>
      <c r="L219" s="1483">
        <v>0</v>
      </c>
      <c r="M219" s="1483">
        <v>0</v>
      </c>
      <c r="N219" s="1483">
        <v>0</v>
      </c>
      <c r="O219" s="1483">
        <v>0</v>
      </c>
      <c r="P219" s="973"/>
      <c r="Q219" s="963"/>
      <c r="R219" s="963"/>
    </row>
    <row r="220" spans="1:18" ht="20.100000000000001" customHeight="1">
      <c r="A220" s="1484">
        <v>17</v>
      </c>
      <c r="B220" s="1493" t="s">
        <v>3079</v>
      </c>
      <c r="C220" s="1489"/>
      <c r="D220" s="1489"/>
      <c r="E220" s="1489"/>
      <c r="F220" s="1487">
        <f t="shared" si="11"/>
        <v>80</v>
      </c>
      <c r="G220" s="1483">
        <v>0</v>
      </c>
      <c r="H220" s="1487">
        <v>80</v>
      </c>
      <c r="I220" s="1483">
        <v>0</v>
      </c>
      <c r="J220" s="1483">
        <v>0</v>
      </c>
      <c r="K220" s="1483">
        <v>0</v>
      </c>
      <c r="L220" s="1483">
        <v>0</v>
      </c>
      <c r="M220" s="1483">
        <v>0</v>
      </c>
      <c r="N220" s="1483">
        <v>0</v>
      </c>
      <c r="O220" s="1483">
        <v>0</v>
      </c>
      <c r="P220" s="973"/>
      <c r="Q220" s="963"/>
      <c r="R220" s="963"/>
    </row>
    <row r="221" spans="1:18" ht="20.100000000000001" customHeight="1">
      <c r="A221" s="1484">
        <v>18</v>
      </c>
      <c r="B221" s="1493" t="s">
        <v>720</v>
      </c>
      <c r="C221" s="1489"/>
      <c r="D221" s="1489"/>
      <c r="E221" s="1489"/>
      <c r="F221" s="1487">
        <f t="shared" si="11"/>
        <v>40</v>
      </c>
      <c r="G221" s="1483">
        <v>0</v>
      </c>
      <c r="H221" s="1487">
        <v>40</v>
      </c>
      <c r="I221" s="1483">
        <v>0</v>
      </c>
      <c r="J221" s="1483">
        <v>0</v>
      </c>
      <c r="K221" s="1483">
        <v>0</v>
      </c>
      <c r="L221" s="1483">
        <v>0</v>
      </c>
      <c r="M221" s="1483">
        <v>0</v>
      </c>
      <c r="N221" s="1483">
        <v>0</v>
      </c>
      <c r="O221" s="1483">
        <v>0</v>
      </c>
      <c r="P221" s="973"/>
      <c r="Q221" s="963"/>
      <c r="R221" s="963"/>
    </row>
    <row r="222" spans="1:18" ht="20.100000000000001" customHeight="1">
      <c r="A222" s="1484">
        <v>19</v>
      </c>
      <c r="B222" s="1493" t="s">
        <v>3080</v>
      </c>
      <c r="C222" s="1489"/>
      <c r="D222" s="1489"/>
      <c r="E222" s="1489"/>
      <c r="F222" s="1487">
        <f t="shared" si="11"/>
        <v>168.256</v>
      </c>
      <c r="G222" s="1483">
        <v>0</v>
      </c>
      <c r="H222" s="1487">
        <v>168.256</v>
      </c>
      <c r="I222" s="1483">
        <v>0</v>
      </c>
      <c r="J222" s="1483">
        <v>0</v>
      </c>
      <c r="K222" s="1483">
        <v>0</v>
      </c>
      <c r="L222" s="1483">
        <v>0</v>
      </c>
      <c r="M222" s="1483">
        <v>0</v>
      </c>
      <c r="N222" s="1483">
        <v>0</v>
      </c>
      <c r="O222" s="1483">
        <v>0</v>
      </c>
      <c r="P222" s="973"/>
      <c r="Q222" s="963"/>
      <c r="R222" s="963"/>
    </row>
    <row r="223" spans="1:18" ht="20.100000000000001" customHeight="1">
      <c r="A223" s="1484">
        <v>20</v>
      </c>
      <c r="B223" s="1493" t="s">
        <v>3081</v>
      </c>
      <c r="C223" s="1489"/>
      <c r="D223" s="1489"/>
      <c r="E223" s="1489"/>
      <c r="F223" s="1487">
        <f t="shared" si="11"/>
        <v>263.84545200000002</v>
      </c>
      <c r="G223" s="1483">
        <v>0</v>
      </c>
      <c r="H223" s="1487">
        <v>263.84545200000002</v>
      </c>
      <c r="I223" s="1483">
        <v>0</v>
      </c>
      <c r="J223" s="1483">
        <v>0</v>
      </c>
      <c r="K223" s="1483">
        <v>0</v>
      </c>
      <c r="L223" s="1483">
        <v>0</v>
      </c>
      <c r="M223" s="1483">
        <v>0</v>
      </c>
      <c r="N223" s="1483">
        <v>0</v>
      </c>
      <c r="O223" s="1483">
        <v>0</v>
      </c>
      <c r="P223" s="973"/>
      <c r="Q223" s="963"/>
      <c r="R223" s="963"/>
    </row>
    <row r="224" spans="1:18" ht="20.100000000000001" customHeight="1">
      <c r="A224" s="1484">
        <v>21</v>
      </c>
      <c r="B224" s="1493" t="s">
        <v>2819</v>
      </c>
      <c r="C224" s="1489"/>
      <c r="D224" s="1489"/>
      <c r="E224" s="1489"/>
      <c r="F224" s="1487">
        <f t="shared" si="11"/>
        <v>25545.714155000001</v>
      </c>
      <c r="G224" s="1483">
        <v>0</v>
      </c>
      <c r="H224" s="1487">
        <v>25545.714155000001</v>
      </c>
      <c r="I224" s="1483">
        <v>0</v>
      </c>
      <c r="J224" s="1483">
        <v>0</v>
      </c>
      <c r="K224" s="1483">
        <v>0</v>
      </c>
      <c r="L224" s="1483">
        <v>0</v>
      </c>
      <c r="M224" s="1483">
        <v>0</v>
      </c>
      <c r="N224" s="1483">
        <v>0</v>
      </c>
      <c r="O224" s="1483">
        <v>0</v>
      </c>
      <c r="P224" s="973"/>
      <c r="Q224" s="963"/>
      <c r="R224" s="963"/>
    </row>
    <row r="225" spans="1:18" ht="20.100000000000001" customHeight="1">
      <c r="A225" s="1484">
        <v>22</v>
      </c>
      <c r="B225" s="1493" t="s">
        <v>2820</v>
      </c>
      <c r="C225" s="1489"/>
      <c r="D225" s="1489"/>
      <c r="E225" s="1489"/>
      <c r="F225" s="1487">
        <f t="shared" si="11"/>
        <v>233.88966199999999</v>
      </c>
      <c r="G225" s="1483">
        <v>0</v>
      </c>
      <c r="H225" s="1487">
        <v>233.88966199999999</v>
      </c>
      <c r="I225" s="1483">
        <v>0</v>
      </c>
      <c r="J225" s="1483">
        <v>0</v>
      </c>
      <c r="K225" s="1483">
        <v>0</v>
      </c>
      <c r="L225" s="1483">
        <v>0</v>
      </c>
      <c r="M225" s="1483">
        <v>0</v>
      </c>
      <c r="N225" s="1483">
        <v>0</v>
      </c>
      <c r="O225" s="1483">
        <v>0</v>
      </c>
      <c r="P225" s="973"/>
      <c r="Q225" s="963"/>
      <c r="R225" s="963"/>
    </row>
    <row r="226" spans="1:18" ht="20.100000000000001" customHeight="1">
      <c r="A226" s="1484">
        <v>23</v>
      </c>
      <c r="B226" s="1493" t="s">
        <v>2809</v>
      </c>
      <c r="C226" s="1489"/>
      <c r="D226" s="1489"/>
      <c r="E226" s="1489"/>
      <c r="F226" s="1487">
        <f t="shared" si="11"/>
        <v>259.31864000000002</v>
      </c>
      <c r="G226" s="1483">
        <v>0</v>
      </c>
      <c r="H226" s="1487">
        <v>259.31864000000002</v>
      </c>
      <c r="I226" s="1483">
        <v>0</v>
      </c>
      <c r="J226" s="1483">
        <v>0</v>
      </c>
      <c r="K226" s="1483">
        <v>0</v>
      </c>
      <c r="L226" s="1483">
        <v>0</v>
      </c>
      <c r="M226" s="1483">
        <v>0</v>
      </c>
      <c r="N226" s="1483">
        <v>0</v>
      </c>
      <c r="O226" s="1483">
        <v>0</v>
      </c>
      <c r="P226" s="973"/>
      <c r="Q226" s="963"/>
      <c r="R226" s="963"/>
    </row>
    <row r="227" spans="1:18" ht="20.100000000000001" customHeight="1">
      <c r="A227" s="1484">
        <v>24</v>
      </c>
      <c r="B227" s="1493" t="s">
        <v>2810</v>
      </c>
      <c r="C227" s="1489"/>
      <c r="D227" s="1489"/>
      <c r="E227" s="1489"/>
      <c r="F227" s="1487">
        <f t="shared" si="11"/>
        <v>477.28962000000001</v>
      </c>
      <c r="G227" s="1483">
        <v>0</v>
      </c>
      <c r="H227" s="1487">
        <v>477.28962000000001</v>
      </c>
      <c r="I227" s="1483">
        <v>0</v>
      </c>
      <c r="J227" s="1483">
        <v>0</v>
      </c>
      <c r="K227" s="1483">
        <v>0</v>
      </c>
      <c r="L227" s="1483">
        <v>0</v>
      </c>
      <c r="M227" s="1483">
        <v>0</v>
      </c>
      <c r="N227" s="1483">
        <v>0</v>
      </c>
      <c r="O227" s="1483">
        <v>0</v>
      </c>
      <c r="P227" s="973"/>
      <c r="Q227" s="963"/>
      <c r="R227" s="963"/>
    </row>
    <row r="228" spans="1:18" ht="20.100000000000001" customHeight="1">
      <c r="A228" s="1484">
        <v>25</v>
      </c>
      <c r="B228" s="1493" t="s">
        <v>2811</v>
      </c>
      <c r="C228" s="1489"/>
      <c r="D228" s="1489"/>
      <c r="E228" s="1489"/>
      <c r="F228" s="1487">
        <f>+H228+K228</f>
        <v>405.46205500000002</v>
      </c>
      <c r="G228" s="1483">
        <v>0</v>
      </c>
      <c r="H228" s="1487">
        <v>405.46205500000002</v>
      </c>
      <c r="I228" s="1483">
        <v>0</v>
      </c>
      <c r="J228" s="1483">
        <v>0</v>
      </c>
      <c r="K228" s="1483">
        <v>0</v>
      </c>
      <c r="L228" s="1483">
        <v>0</v>
      </c>
      <c r="M228" s="1483">
        <v>0</v>
      </c>
      <c r="N228" s="1483">
        <v>0</v>
      </c>
      <c r="O228" s="1483">
        <v>0</v>
      </c>
      <c r="P228" s="973"/>
      <c r="Q228" s="963"/>
      <c r="R228" s="963"/>
    </row>
    <row r="229" spans="1:18" ht="20.100000000000001" customHeight="1">
      <c r="A229" s="1484">
        <v>26</v>
      </c>
      <c r="B229" s="1493" t="s">
        <v>2812</v>
      </c>
      <c r="C229" s="1489"/>
      <c r="D229" s="1489"/>
      <c r="E229" s="1489"/>
      <c r="F229" s="1487">
        <f t="shared" ref="F229:F234" si="12">+H229+K229</f>
        <v>133.420793</v>
      </c>
      <c r="G229" s="1483">
        <v>0</v>
      </c>
      <c r="H229" s="1487">
        <v>133.420793</v>
      </c>
      <c r="I229" s="1483">
        <v>0</v>
      </c>
      <c r="J229" s="1483">
        <v>0</v>
      </c>
      <c r="K229" s="1483">
        <v>0</v>
      </c>
      <c r="L229" s="1483">
        <v>0</v>
      </c>
      <c r="M229" s="1483">
        <v>0</v>
      </c>
      <c r="N229" s="1483">
        <v>0</v>
      </c>
      <c r="O229" s="1483">
        <v>0</v>
      </c>
      <c r="P229" s="973"/>
      <c r="Q229" s="963"/>
      <c r="R229" s="963"/>
    </row>
    <row r="230" spans="1:18" ht="20.100000000000001" customHeight="1">
      <c r="A230" s="1484">
        <v>27</v>
      </c>
      <c r="B230" s="1493" t="s">
        <v>2813</v>
      </c>
      <c r="C230" s="1489"/>
      <c r="D230" s="1489"/>
      <c r="E230" s="1489"/>
      <c r="F230" s="1487">
        <f t="shared" si="12"/>
        <v>14.885913</v>
      </c>
      <c r="G230" s="1483">
        <v>0</v>
      </c>
      <c r="H230" s="1487">
        <v>14.885913</v>
      </c>
      <c r="I230" s="1483">
        <v>0</v>
      </c>
      <c r="J230" s="1483">
        <v>0</v>
      </c>
      <c r="K230" s="1483">
        <v>0</v>
      </c>
      <c r="L230" s="1483">
        <v>0</v>
      </c>
      <c r="M230" s="1483">
        <v>0</v>
      </c>
      <c r="N230" s="1483">
        <v>0</v>
      </c>
      <c r="O230" s="1483">
        <v>0</v>
      </c>
      <c r="P230" s="973"/>
      <c r="Q230" s="963"/>
      <c r="R230" s="963"/>
    </row>
    <row r="231" spans="1:18" ht="20.100000000000001" customHeight="1">
      <c r="A231" s="1484">
        <v>28</v>
      </c>
      <c r="B231" s="1493" t="s">
        <v>3082</v>
      </c>
      <c r="C231" s="1489"/>
      <c r="D231" s="1489"/>
      <c r="E231" s="1489"/>
      <c r="F231" s="1487">
        <f t="shared" si="12"/>
        <v>329.90504099999998</v>
      </c>
      <c r="G231" s="1483">
        <v>0</v>
      </c>
      <c r="H231" s="1487">
        <v>329.90504099999998</v>
      </c>
      <c r="I231" s="1483">
        <v>0</v>
      </c>
      <c r="J231" s="1483">
        <v>0</v>
      </c>
      <c r="K231" s="1483">
        <v>0</v>
      </c>
      <c r="L231" s="1483">
        <v>0</v>
      </c>
      <c r="M231" s="1483">
        <v>0</v>
      </c>
      <c r="N231" s="1483">
        <v>0</v>
      </c>
      <c r="O231" s="1483">
        <v>0</v>
      </c>
      <c r="P231" s="973"/>
      <c r="Q231" s="963"/>
      <c r="R231" s="963"/>
    </row>
    <row r="232" spans="1:18" ht="20.100000000000001" customHeight="1">
      <c r="A232" s="1484">
        <v>29</v>
      </c>
      <c r="B232" s="1493" t="s">
        <v>3083</v>
      </c>
      <c r="C232" s="1489"/>
      <c r="D232" s="1489"/>
      <c r="E232" s="1489"/>
      <c r="F232" s="1487">
        <f t="shared" si="12"/>
        <v>1550.5436010000001</v>
      </c>
      <c r="G232" s="1483">
        <v>0</v>
      </c>
      <c r="H232" s="1487">
        <v>1550.5436010000001</v>
      </c>
      <c r="I232" s="1483">
        <v>0</v>
      </c>
      <c r="J232" s="1483">
        <v>0</v>
      </c>
      <c r="K232" s="1483">
        <v>0</v>
      </c>
      <c r="L232" s="1483">
        <v>0</v>
      </c>
      <c r="M232" s="1483">
        <v>0</v>
      </c>
      <c r="N232" s="1483">
        <v>0</v>
      </c>
      <c r="O232" s="1483">
        <v>0</v>
      </c>
      <c r="P232" s="973"/>
      <c r="Q232" s="963"/>
      <c r="R232" s="963"/>
    </row>
    <row r="233" spans="1:18" ht="20.100000000000001" customHeight="1">
      <c r="A233" s="1484">
        <v>30</v>
      </c>
      <c r="B233" s="1493" t="s">
        <v>3084</v>
      </c>
      <c r="C233" s="1489"/>
      <c r="D233" s="1489"/>
      <c r="E233" s="1489"/>
      <c r="F233" s="1487">
        <f t="shared" si="12"/>
        <v>460.682095</v>
      </c>
      <c r="G233" s="1483">
        <v>0</v>
      </c>
      <c r="H233" s="1487">
        <v>460.682095</v>
      </c>
      <c r="I233" s="1483">
        <v>0</v>
      </c>
      <c r="J233" s="1483">
        <v>0</v>
      </c>
      <c r="K233" s="1483">
        <v>0</v>
      </c>
      <c r="L233" s="1483">
        <v>0</v>
      </c>
      <c r="M233" s="1483">
        <v>0</v>
      </c>
      <c r="N233" s="1483">
        <v>0</v>
      </c>
      <c r="O233" s="1483">
        <v>0</v>
      </c>
      <c r="P233" s="973"/>
      <c r="Q233" s="963"/>
      <c r="R233" s="963"/>
    </row>
    <row r="234" spans="1:18" ht="20.100000000000001" customHeight="1">
      <c r="A234" s="1484">
        <v>31</v>
      </c>
      <c r="B234" s="1493" t="s">
        <v>3085</v>
      </c>
      <c r="C234" s="1489"/>
      <c r="D234" s="1489"/>
      <c r="E234" s="1489"/>
      <c r="F234" s="1487">
        <f t="shared" si="12"/>
        <v>79.094885000000005</v>
      </c>
      <c r="G234" s="1483">
        <v>0</v>
      </c>
      <c r="H234" s="1487">
        <v>79.094885000000005</v>
      </c>
      <c r="I234" s="1483">
        <v>0</v>
      </c>
      <c r="J234" s="1483">
        <v>0</v>
      </c>
      <c r="K234" s="1483">
        <v>0</v>
      </c>
      <c r="L234" s="1483">
        <v>0</v>
      </c>
      <c r="M234" s="1483">
        <v>0</v>
      </c>
      <c r="N234" s="1483">
        <v>0</v>
      </c>
      <c r="O234" s="1483">
        <v>0</v>
      </c>
      <c r="P234" s="973"/>
      <c r="Q234" s="963"/>
      <c r="R234" s="963"/>
    </row>
    <row r="235" spans="1:18" ht="20.100000000000001" customHeight="1">
      <c r="A235" s="1484">
        <v>32</v>
      </c>
      <c r="B235" s="1493" t="s">
        <v>3086</v>
      </c>
      <c r="C235" s="1489"/>
      <c r="D235" s="1489"/>
      <c r="E235" s="1489"/>
      <c r="F235" s="1487">
        <f>+H235+K235</f>
        <v>1000</v>
      </c>
      <c r="G235" s="1483">
        <v>0</v>
      </c>
      <c r="H235" s="1487">
        <v>1000</v>
      </c>
      <c r="I235" s="1483">
        <v>0</v>
      </c>
      <c r="J235" s="1483">
        <v>0</v>
      </c>
      <c r="K235" s="1483">
        <v>0</v>
      </c>
      <c r="L235" s="1483">
        <v>0</v>
      </c>
      <c r="M235" s="1483">
        <v>0</v>
      </c>
      <c r="N235" s="1483">
        <v>0</v>
      </c>
      <c r="O235" s="1483">
        <v>0</v>
      </c>
      <c r="P235" s="973"/>
      <c r="Q235" s="963"/>
      <c r="R235" s="963"/>
    </row>
    <row r="236" spans="1:18" ht="20.100000000000001" customHeight="1">
      <c r="A236" s="1484">
        <v>33</v>
      </c>
      <c r="B236" s="1493" t="s">
        <v>3087</v>
      </c>
      <c r="C236" s="1489"/>
      <c r="D236" s="1489"/>
      <c r="E236" s="1489"/>
      <c r="F236" s="1487">
        <f>+H236+K236</f>
        <v>10000</v>
      </c>
      <c r="G236" s="1483">
        <v>0</v>
      </c>
      <c r="H236" s="1487">
        <v>10000</v>
      </c>
      <c r="I236" s="1483">
        <v>0</v>
      </c>
      <c r="J236" s="1483">
        <v>0</v>
      </c>
      <c r="K236" s="1483">
        <v>0</v>
      </c>
      <c r="L236" s="1483">
        <v>0</v>
      </c>
      <c r="M236" s="1483">
        <v>0</v>
      </c>
      <c r="N236" s="1483">
        <v>0</v>
      </c>
      <c r="O236" s="1483">
        <v>0</v>
      </c>
      <c r="P236" s="973"/>
      <c r="Q236" s="963"/>
      <c r="R236" s="963"/>
    </row>
    <row r="237" spans="1:18" ht="20.100000000000001" customHeight="1">
      <c r="A237" s="1484">
        <v>34</v>
      </c>
      <c r="B237" s="1493" t="s">
        <v>3088</v>
      </c>
      <c r="C237" s="1489"/>
      <c r="D237" s="1489"/>
      <c r="E237" s="1489"/>
      <c r="F237" s="1487">
        <f>+H237+K237</f>
        <v>5899.8604509999996</v>
      </c>
      <c r="G237" s="1483">
        <v>0</v>
      </c>
      <c r="H237" s="1487">
        <v>5899.8604509999996</v>
      </c>
      <c r="I237" s="1483">
        <v>0</v>
      </c>
      <c r="J237" s="1483">
        <v>0</v>
      </c>
      <c r="K237" s="1483">
        <v>0</v>
      </c>
      <c r="L237" s="1483">
        <v>0</v>
      </c>
      <c r="M237" s="1483">
        <v>0</v>
      </c>
      <c r="N237" s="1483">
        <v>0</v>
      </c>
      <c r="O237" s="1483">
        <v>0</v>
      </c>
      <c r="P237" s="973"/>
      <c r="Q237" s="963"/>
      <c r="R237" s="963"/>
    </row>
    <row r="238" spans="1:18" ht="20.100000000000001" customHeight="1">
      <c r="A238" s="1484">
        <v>35</v>
      </c>
      <c r="B238" s="1493" t="s">
        <v>2815</v>
      </c>
      <c r="C238" s="1489"/>
      <c r="D238" s="1489"/>
      <c r="E238" s="1489"/>
      <c r="F238" s="1487">
        <f>+H238+K238</f>
        <v>2000</v>
      </c>
      <c r="G238" s="1483">
        <v>0</v>
      </c>
      <c r="H238" s="1487">
        <v>2000</v>
      </c>
      <c r="I238" s="1483">
        <v>0</v>
      </c>
      <c r="J238" s="1483">
        <v>0</v>
      </c>
      <c r="K238" s="1483">
        <v>0</v>
      </c>
      <c r="L238" s="1483">
        <v>0</v>
      </c>
      <c r="M238" s="1483">
        <v>0</v>
      </c>
      <c r="N238" s="1483">
        <v>0</v>
      </c>
      <c r="O238" s="1483">
        <v>0</v>
      </c>
      <c r="P238" s="973"/>
      <c r="Q238" s="963"/>
      <c r="R238" s="963"/>
    </row>
    <row r="239" spans="1:18" ht="20.100000000000001" customHeight="1">
      <c r="A239" s="1484">
        <v>36</v>
      </c>
      <c r="B239" s="1493" t="s">
        <v>2816</v>
      </c>
      <c r="C239" s="1489"/>
      <c r="D239" s="1489"/>
      <c r="E239" s="1489"/>
      <c r="F239" s="1487">
        <f>+H239+K239</f>
        <v>5000</v>
      </c>
      <c r="G239" s="1483">
        <v>0</v>
      </c>
      <c r="H239" s="1487">
        <v>5000</v>
      </c>
      <c r="I239" s="1483">
        <v>0</v>
      </c>
      <c r="J239" s="1483">
        <v>0</v>
      </c>
      <c r="K239" s="1483">
        <v>0</v>
      </c>
      <c r="L239" s="1483">
        <v>0</v>
      </c>
      <c r="M239" s="1483">
        <v>0</v>
      </c>
      <c r="N239" s="1483">
        <v>0</v>
      </c>
      <c r="O239" s="1483">
        <v>0</v>
      </c>
      <c r="P239" s="973"/>
      <c r="Q239" s="963"/>
      <c r="R239" s="963"/>
    </row>
    <row r="240" spans="1:18" ht="20.100000000000001" customHeight="1">
      <c r="A240" s="1484">
        <v>37</v>
      </c>
      <c r="B240" s="1493" t="s">
        <v>2817</v>
      </c>
      <c r="C240" s="1489"/>
      <c r="D240" s="1489"/>
      <c r="E240" s="1489"/>
      <c r="F240" s="1487">
        <f>+H240+N240</f>
        <v>36137.961504000006</v>
      </c>
      <c r="G240" s="1483">
        <v>0</v>
      </c>
      <c r="H240" s="1487"/>
      <c r="I240" s="1483">
        <v>0</v>
      </c>
      <c r="J240" s="1483">
        <v>0</v>
      </c>
      <c r="K240" s="1483">
        <v>0</v>
      </c>
      <c r="L240" s="1483">
        <v>0</v>
      </c>
      <c r="M240" s="1483">
        <v>0</v>
      </c>
      <c r="N240" s="1487">
        <f>+'TH CHI_62_342_51_52_53_31'!H80-'TH CHI_62_342_51_52_53_31'!H82-'TH CHI_62_342_51_52_53_31'!H83</f>
        <v>36137.961504000006</v>
      </c>
      <c r="O240" s="1483">
        <v>0</v>
      </c>
      <c r="P240" s="973"/>
      <c r="Q240" s="963"/>
      <c r="R240" s="963"/>
    </row>
    <row r="241" spans="1:20" ht="20.100000000000001" customHeight="1">
      <c r="A241" s="1484">
        <v>38</v>
      </c>
      <c r="B241" s="1493" t="s">
        <v>2818</v>
      </c>
      <c r="C241" s="1489"/>
      <c r="D241" s="1489"/>
      <c r="E241" s="1489"/>
      <c r="F241" s="1487">
        <f>+H241+K241</f>
        <v>134</v>
      </c>
      <c r="G241" s="1483">
        <v>0</v>
      </c>
      <c r="H241" s="1487">
        <f>4+50+80</f>
        <v>134</v>
      </c>
      <c r="I241" s="1483">
        <v>0</v>
      </c>
      <c r="J241" s="1483">
        <v>0</v>
      </c>
      <c r="K241" s="1483">
        <v>0</v>
      </c>
      <c r="L241" s="1483">
        <v>0</v>
      </c>
      <c r="M241" s="1483">
        <v>0</v>
      </c>
      <c r="N241" s="1483">
        <v>0</v>
      </c>
      <c r="O241" s="1483">
        <v>0</v>
      </c>
      <c r="P241" s="973"/>
      <c r="Q241" s="963"/>
      <c r="R241" s="963"/>
      <c r="T241" s="960">
        <v>134</v>
      </c>
    </row>
    <row r="242" spans="1:20" ht="20.100000000000001" customHeight="1">
      <c r="A242" s="1494" t="s">
        <v>320</v>
      </c>
      <c r="B242" s="1492" t="s">
        <v>3089</v>
      </c>
      <c r="C242" s="1489"/>
      <c r="D242" s="1489"/>
      <c r="E242" s="1489"/>
      <c r="F242" s="1480">
        <f>+I242</f>
        <v>403.904653</v>
      </c>
      <c r="G242" s="1483">
        <v>0</v>
      </c>
      <c r="H242" s="1483">
        <v>0</v>
      </c>
      <c r="I242" s="1487">
        <f>+'CAN DOI_60_342'!J10</f>
        <v>403.904653</v>
      </c>
      <c r="J242" s="1483">
        <v>0</v>
      </c>
      <c r="K242" s="1483">
        <v>0</v>
      </c>
      <c r="L242" s="1483">
        <v>0</v>
      </c>
      <c r="M242" s="1483">
        <v>0</v>
      </c>
      <c r="N242" s="1483">
        <v>0</v>
      </c>
      <c r="O242" s="1483">
        <v>0</v>
      </c>
      <c r="P242" s="973"/>
      <c r="Q242" s="963"/>
      <c r="R242" s="963"/>
    </row>
    <row r="243" spans="1:20" ht="20.100000000000001" customHeight="1">
      <c r="A243" s="1494" t="s">
        <v>321</v>
      </c>
      <c r="B243" s="1492" t="s">
        <v>721</v>
      </c>
      <c r="C243" s="1489"/>
      <c r="D243" s="1489"/>
      <c r="E243" s="1489"/>
      <c r="F243" s="1480">
        <f>+'CAN DOI_60_342'!J27</f>
        <v>86597.686707000001</v>
      </c>
      <c r="G243" s="1483">
        <v>0</v>
      </c>
      <c r="H243" s="1483">
        <v>0</v>
      </c>
      <c r="I243" s="1483">
        <v>0</v>
      </c>
      <c r="J243" s="1483">
        <v>0</v>
      </c>
      <c r="K243" s="1483">
        <v>0</v>
      </c>
      <c r="L243" s="1483">
        <v>0</v>
      </c>
      <c r="M243" s="1483">
        <v>0</v>
      </c>
      <c r="N243" s="1483">
        <v>0</v>
      </c>
      <c r="O243" s="1483">
        <v>0</v>
      </c>
      <c r="P243" s="973"/>
      <c r="Q243" s="963"/>
      <c r="R243" s="963"/>
    </row>
    <row r="244" spans="1:20" ht="20.100000000000001" customHeight="1">
      <c r="A244" s="1494" t="s">
        <v>323</v>
      </c>
      <c r="B244" s="1492" t="s">
        <v>722</v>
      </c>
      <c r="C244" s="1489"/>
      <c r="D244" s="1489"/>
      <c r="E244" s="1489"/>
      <c r="F244" s="1480">
        <f>+O244</f>
        <v>1736404.7300210001</v>
      </c>
      <c r="G244" s="1483">
        <v>0</v>
      </c>
      <c r="H244" s="1483">
        <v>0</v>
      </c>
      <c r="I244" s="1483">
        <v>0</v>
      </c>
      <c r="J244" s="1483">
        <v>0</v>
      </c>
      <c r="K244" s="1483">
        <v>0</v>
      </c>
      <c r="L244" s="1483">
        <v>0</v>
      </c>
      <c r="M244" s="1483">
        <v>0</v>
      </c>
      <c r="N244" s="1483">
        <v>0</v>
      </c>
      <c r="O244" s="1487">
        <f>'TH CHI_62_342_51_52_53_31'!F77</f>
        <v>1736404.7300210001</v>
      </c>
      <c r="P244" s="973"/>
      <c r="Q244" s="963"/>
      <c r="R244" s="963"/>
      <c r="S244" s="960">
        <v>833784.50026899995</v>
      </c>
      <c r="T244" s="960">
        <v>789612.66389299999</v>
      </c>
    </row>
    <row r="245" spans="1:20" ht="20.100000000000001" customHeight="1">
      <c r="A245" s="1494" t="s">
        <v>325</v>
      </c>
      <c r="B245" s="1492" t="s">
        <v>723</v>
      </c>
      <c r="C245" s="1489"/>
      <c r="D245" s="1489"/>
      <c r="E245" s="1489"/>
      <c r="F245" s="1480">
        <f>+J245</f>
        <v>1000</v>
      </c>
      <c r="G245" s="1483">
        <v>0</v>
      </c>
      <c r="H245" s="1483">
        <v>0</v>
      </c>
      <c r="I245" s="1483">
        <v>0</v>
      </c>
      <c r="J245" s="1487">
        <f>+'TH CHI_62_342_51_52_53_31'!F75</f>
        <v>1000</v>
      </c>
      <c r="K245" s="1483">
        <v>0</v>
      </c>
      <c r="L245" s="1483">
        <v>0</v>
      </c>
      <c r="M245" s="1483">
        <v>0</v>
      </c>
      <c r="N245" s="1483">
        <v>0</v>
      </c>
      <c r="O245" s="1483">
        <v>0</v>
      </c>
      <c r="P245" s="973"/>
      <c r="Q245" s="963"/>
      <c r="R245" s="963"/>
    </row>
    <row r="246" spans="1:20" ht="20.100000000000001" customHeight="1">
      <c r="A246" s="1494" t="s">
        <v>360</v>
      </c>
      <c r="B246" s="1492" t="s">
        <v>333</v>
      </c>
      <c r="C246" s="1489"/>
      <c r="D246" s="1489"/>
      <c r="E246" s="1489"/>
      <c r="F246" s="1480">
        <f>'TH CHI_62_342_51_52_53_31'!F102</f>
        <v>4169359.5692720003</v>
      </c>
      <c r="G246" s="1483">
        <v>0</v>
      </c>
      <c r="H246" s="1483">
        <v>0</v>
      </c>
      <c r="I246" s="1483">
        <v>0</v>
      </c>
      <c r="J246" s="1483">
        <v>0</v>
      </c>
      <c r="K246" s="1483">
        <v>0</v>
      </c>
      <c r="L246" s="1483">
        <v>0</v>
      </c>
      <c r="M246" s="1483">
        <v>0</v>
      </c>
      <c r="N246" s="1483">
        <v>0</v>
      </c>
      <c r="O246" s="1483">
        <v>0</v>
      </c>
      <c r="P246" s="973"/>
      <c r="Q246" s="963"/>
      <c r="R246" s="963"/>
    </row>
    <row r="247" spans="1:20" ht="20.100000000000001" customHeight="1">
      <c r="A247" s="1495" t="s">
        <v>327</v>
      </c>
      <c r="B247" s="1492" t="s">
        <v>338</v>
      </c>
      <c r="C247" s="1489"/>
      <c r="D247" s="1489"/>
      <c r="E247" s="1489"/>
      <c r="F247" s="1480">
        <f>'TH CHI_62_342_51_52_53_31'!F107</f>
        <v>31031</v>
      </c>
      <c r="G247" s="1483">
        <v>0</v>
      </c>
      <c r="H247" s="1483">
        <v>0</v>
      </c>
      <c r="I247" s="1483">
        <v>0</v>
      </c>
      <c r="J247" s="1483">
        <v>0</v>
      </c>
      <c r="K247" s="1483">
        <v>0</v>
      </c>
      <c r="L247" s="1483">
        <v>0</v>
      </c>
      <c r="M247" s="1483">
        <v>0</v>
      </c>
      <c r="N247" s="1483">
        <v>0</v>
      </c>
      <c r="O247" s="1483">
        <v>0</v>
      </c>
    </row>
    <row r="248" spans="1:20" hidden="1"/>
    <row r="249" spans="1:20" hidden="1">
      <c r="A249" s="960"/>
      <c r="F249" s="964"/>
      <c r="K249" s="1757" t="s">
        <v>2808</v>
      </c>
      <c r="L249" s="1757"/>
      <c r="M249" s="1757"/>
      <c r="N249" s="1757"/>
      <c r="O249" s="1757"/>
    </row>
    <row r="250" spans="1:20" hidden="1">
      <c r="A250" s="960"/>
      <c r="F250" s="964"/>
      <c r="K250" s="1755" t="s">
        <v>85</v>
      </c>
      <c r="L250" s="1755"/>
      <c r="M250" s="1755"/>
      <c r="N250" s="1755"/>
      <c r="O250" s="1755"/>
    </row>
    <row r="251" spans="1:20" hidden="1">
      <c r="A251" s="960"/>
      <c r="K251" s="1755" t="s">
        <v>86</v>
      </c>
      <c r="L251" s="1755"/>
      <c r="M251" s="1755"/>
      <c r="N251" s="1755"/>
      <c r="O251" s="1755"/>
    </row>
  </sheetData>
  <mergeCells count="26">
    <mergeCell ref="F9:F10"/>
    <mergeCell ref="G9:G10"/>
    <mergeCell ref="H9:H10"/>
    <mergeCell ref="K249:O249"/>
    <mergeCell ref="K250:O250"/>
    <mergeCell ref="K251:O251"/>
    <mergeCell ref="J9:J10"/>
    <mergeCell ref="K9:M9"/>
    <mergeCell ref="N9:N10"/>
    <mergeCell ref="O9:O10"/>
    <mergeCell ref="M1:O1"/>
    <mergeCell ref="A4:R4"/>
    <mergeCell ref="A5:O5"/>
    <mergeCell ref="M7:R7"/>
    <mergeCell ref="R9:R10"/>
    <mergeCell ref="P9:P10"/>
    <mergeCell ref="Q9:Q10"/>
    <mergeCell ref="I9:I10"/>
    <mergeCell ref="A8:A10"/>
    <mergeCell ref="B8:B10"/>
    <mergeCell ref="C8:E8"/>
    <mergeCell ref="F8:O8"/>
    <mergeCell ref="P8:R8"/>
    <mergeCell ref="C9:C10"/>
    <mergeCell ref="D9:D10"/>
    <mergeCell ref="E9:E10"/>
  </mergeCells>
  <printOptions horizontalCentered="1"/>
  <pageMargins left="0.19685039370078741" right="0.19685039370078741" top="0.59055118110236227" bottom="0.59055118110236227" header="0" footer="0"/>
  <pageSetup paperSize="9" orientation="landscape" r:id="rId1"/>
  <headerFooter differentFirst="1">
    <oddFooter>&amp;C&amp;"Times New Roman,Regular"&amp;12&amp;P</oddFooter>
  </headerFooter>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
  <sheetViews>
    <sheetView workbookViewId="0">
      <selection activeCell="W12" sqref="W12"/>
    </sheetView>
  </sheetViews>
  <sheetFormatPr defaultColWidth="8.7109375" defaultRowHeight="12.75"/>
  <cols>
    <col min="1" max="1" width="4.85546875" style="341" customWidth="1"/>
    <col min="2" max="2" width="18.85546875" customWidth="1"/>
    <col min="3" max="3" width="11.140625" customWidth="1"/>
    <col min="4" max="4" width="11.42578125" customWidth="1"/>
    <col min="5" max="6" width="9.7109375" customWidth="1"/>
    <col min="7" max="7" width="8.5703125" customWidth="1"/>
    <col min="8" max="8" width="12.5703125" customWidth="1"/>
    <col min="9" max="9" width="12.7109375" customWidth="1"/>
    <col min="10" max="11" width="13.140625" customWidth="1"/>
    <col min="12" max="12" width="11.5703125" customWidth="1"/>
    <col min="13" max="13" width="10.42578125" hidden="1" customWidth="1"/>
    <col min="14" max="15" width="10.85546875" hidden="1" customWidth="1"/>
    <col min="16" max="17" width="13.5703125" hidden="1" customWidth="1"/>
    <col min="18" max="18" width="9.28515625" customWidth="1"/>
    <col min="19" max="19" width="9" bestFit="1" customWidth="1"/>
  </cols>
  <sheetData>
    <row r="1" spans="1:19" s="1428" customFormat="1" ht="21" customHeight="1">
      <c r="A1" s="1420" t="s">
        <v>3110</v>
      </c>
      <c r="B1" s="1421"/>
      <c r="C1" s="1425"/>
      <c r="D1" s="1426"/>
      <c r="E1" s="1427"/>
      <c r="F1" s="1427"/>
      <c r="G1" s="1426"/>
      <c r="H1" s="1426"/>
      <c r="I1" s="1426"/>
      <c r="J1" s="1426"/>
      <c r="K1" s="1746" t="s">
        <v>3126</v>
      </c>
      <c r="L1" s="1746"/>
      <c r="M1" s="1746"/>
      <c r="N1" s="1746"/>
      <c r="O1" s="1746"/>
      <c r="P1" s="1746"/>
      <c r="Q1" s="1746"/>
      <c r="R1" s="1746"/>
    </row>
    <row r="2" spans="1:19" s="1428" customFormat="1" ht="18" customHeight="1">
      <c r="A2" s="1420" t="s">
        <v>2878</v>
      </c>
      <c r="B2" s="1422"/>
      <c r="C2" s="1429"/>
      <c r="D2" s="1426"/>
      <c r="E2" s="1427"/>
      <c r="F2" s="1427"/>
      <c r="G2" s="1426"/>
      <c r="H2" s="1426"/>
      <c r="I2" s="1426"/>
      <c r="J2" s="1426"/>
      <c r="K2" s="1426"/>
      <c r="L2" s="1256"/>
      <c r="M2" s="1256"/>
      <c r="N2" s="1256"/>
      <c r="O2" s="1256"/>
      <c r="P2" s="1256"/>
      <c r="Q2" s="1256"/>
      <c r="R2" s="1256"/>
    </row>
    <row r="3" spans="1:19" s="1423" customFormat="1" ht="24" customHeight="1">
      <c r="A3" s="1766" t="s">
        <v>3127</v>
      </c>
      <c r="B3" s="1766"/>
      <c r="C3" s="1766"/>
      <c r="D3" s="1766"/>
      <c r="E3" s="1766"/>
      <c r="F3" s="1766"/>
      <c r="G3" s="1766"/>
      <c r="H3" s="1766"/>
      <c r="I3" s="1766"/>
      <c r="J3" s="1766"/>
      <c r="K3" s="1766"/>
      <c r="L3" s="1766"/>
      <c r="M3" s="1766"/>
      <c r="N3" s="1766"/>
      <c r="O3" s="1766"/>
      <c r="P3" s="1766"/>
      <c r="Q3" s="1766"/>
      <c r="R3" s="1766"/>
    </row>
    <row r="4" spans="1:19" ht="22.5" customHeight="1">
      <c r="A4" s="1767" t="s">
        <v>3121</v>
      </c>
      <c r="B4" s="1767"/>
      <c r="C4" s="1767"/>
      <c r="D4" s="1767"/>
      <c r="E4" s="1767"/>
      <c r="F4" s="1767"/>
      <c r="G4" s="1767"/>
      <c r="H4" s="1767"/>
      <c r="I4" s="1767"/>
      <c r="J4" s="1767"/>
      <c r="K4" s="1767"/>
      <c r="L4" s="1767"/>
      <c r="M4" s="1767"/>
      <c r="N4" s="1767"/>
      <c r="O4" s="1767"/>
      <c r="P4" s="1767"/>
      <c r="Q4" s="1767"/>
      <c r="R4" s="1767"/>
    </row>
    <row r="5" spans="1:19" s="346" customFormat="1" ht="25.5" customHeight="1">
      <c r="A5" s="343"/>
      <c r="B5" s="344"/>
      <c r="C5" s="344"/>
      <c r="D5" s="344"/>
      <c r="E5" s="345"/>
      <c r="F5" s="345"/>
      <c r="G5" s="344"/>
      <c r="H5" s="344"/>
      <c r="I5" s="344"/>
      <c r="J5" s="344"/>
      <c r="K5" s="1894" t="s">
        <v>44</v>
      </c>
      <c r="L5" s="1894"/>
      <c r="M5" s="1894"/>
      <c r="N5" s="1894"/>
      <c r="O5" s="1894"/>
      <c r="P5" s="1894"/>
      <c r="Q5" s="1894"/>
      <c r="R5" s="1894"/>
    </row>
    <row r="6" spans="1:19" s="346" customFormat="1" ht="21.95" customHeight="1">
      <c r="A6" s="1742" t="s">
        <v>45</v>
      </c>
      <c r="B6" s="1742" t="s">
        <v>2972</v>
      </c>
      <c r="C6" s="1742" t="s">
        <v>939</v>
      </c>
      <c r="D6" s="1742"/>
      <c r="E6" s="1742"/>
      <c r="F6" s="1742"/>
      <c r="G6" s="1742"/>
      <c r="H6" s="1742" t="s">
        <v>2826</v>
      </c>
      <c r="I6" s="1742"/>
      <c r="J6" s="1742"/>
      <c r="K6" s="1742"/>
      <c r="L6" s="1742"/>
      <c r="M6" s="1742"/>
      <c r="N6" s="1430"/>
      <c r="O6" s="1430"/>
      <c r="P6" s="1430"/>
      <c r="Q6" s="1430"/>
      <c r="R6" s="1742" t="s">
        <v>97</v>
      </c>
    </row>
    <row r="7" spans="1:19" s="346" customFormat="1" ht="21.95" customHeight="1">
      <c r="A7" s="1742"/>
      <c r="B7" s="1742"/>
      <c r="C7" s="1742" t="s">
        <v>240</v>
      </c>
      <c r="D7" s="1742" t="s">
        <v>341</v>
      </c>
      <c r="E7" s="1742"/>
      <c r="F7" s="1742"/>
      <c r="G7" s="1742"/>
      <c r="H7" s="1742" t="s">
        <v>240</v>
      </c>
      <c r="I7" s="1742" t="s">
        <v>341</v>
      </c>
      <c r="J7" s="1742"/>
      <c r="K7" s="1742"/>
      <c r="L7" s="1742"/>
      <c r="M7" s="1742"/>
      <c r="N7" s="1430"/>
      <c r="O7" s="1430"/>
      <c r="P7" s="1430"/>
      <c r="Q7" s="1430"/>
      <c r="R7" s="1742"/>
    </row>
    <row r="8" spans="1:19" s="346" customFormat="1" ht="26.25" customHeight="1">
      <c r="A8" s="1742"/>
      <c r="B8" s="1742"/>
      <c r="C8" s="1742"/>
      <c r="D8" s="1742" t="s">
        <v>2973</v>
      </c>
      <c r="E8" s="1742" t="s">
        <v>357</v>
      </c>
      <c r="F8" s="1742"/>
      <c r="G8" s="1742"/>
      <c r="H8" s="1742"/>
      <c r="I8" s="1742" t="s">
        <v>2973</v>
      </c>
      <c r="J8" s="1742" t="s">
        <v>357</v>
      </c>
      <c r="K8" s="1742"/>
      <c r="L8" s="1742"/>
      <c r="M8" s="1742"/>
      <c r="N8" s="1430"/>
      <c r="O8" s="1430"/>
      <c r="P8" s="1430" t="s">
        <v>724</v>
      </c>
      <c r="Q8" s="1430"/>
      <c r="R8" s="1742"/>
    </row>
    <row r="9" spans="1:19" s="346" customFormat="1" ht="138.75" customHeight="1">
      <c r="A9" s="1742"/>
      <c r="B9" s="1742"/>
      <c r="C9" s="1742"/>
      <c r="D9" s="1742"/>
      <c r="E9" s="1430" t="s">
        <v>240</v>
      </c>
      <c r="F9" s="1430" t="s">
        <v>3128</v>
      </c>
      <c r="G9" s="1430" t="s">
        <v>3129</v>
      </c>
      <c r="H9" s="1742"/>
      <c r="I9" s="1742"/>
      <c r="J9" s="1430" t="s">
        <v>240</v>
      </c>
      <c r="K9" s="1645" t="s">
        <v>3128</v>
      </c>
      <c r="L9" s="1645" t="s">
        <v>3129</v>
      </c>
      <c r="M9" s="1430" t="s">
        <v>26</v>
      </c>
      <c r="N9" s="1430"/>
      <c r="O9" s="1430"/>
      <c r="P9" s="1430" t="s">
        <v>725</v>
      </c>
      <c r="Q9" s="1430"/>
      <c r="R9" s="1742"/>
    </row>
    <row r="10" spans="1:19" s="1424" customFormat="1" ht="21.95" customHeight="1">
      <c r="A10" s="1892" t="s">
        <v>57</v>
      </c>
      <c r="B10" s="1892" t="s">
        <v>80</v>
      </c>
      <c r="C10" s="1892">
        <v>1</v>
      </c>
      <c r="D10" s="1892">
        <v>2</v>
      </c>
      <c r="E10" s="1892">
        <v>3</v>
      </c>
      <c r="F10" s="1892">
        <v>4</v>
      </c>
      <c r="G10" s="1892">
        <v>5</v>
      </c>
      <c r="H10" s="1892">
        <v>6</v>
      </c>
      <c r="I10" s="1892">
        <v>7</v>
      </c>
      <c r="J10" s="1892">
        <v>8</v>
      </c>
      <c r="K10" s="1892">
        <v>9</v>
      </c>
      <c r="L10" s="1892">
        <v>10</v>
      </c>
      <c r="M10" s="1892">
        <v>10</v>
      </c>
      <c r="N10" s="1892"/>
      <c r="O10" s="1892"/>
      <c r="P10" s="1892"/>
      <c r="Q10" s="1892"/>
      <c r="R10" s="1893" t="s">
        <v>2974</v>
      </c>
    </row>
    <row r="11" spans="1:19" s="348" customFormat="1" ht="21.95" customHeight="1">
      <c r="A11" s="1432"/>
      <c r="B11" s="1432" t="s">
        <v>343</v>
      </c>
      <c r="C11" s="1434">
        <f>SUM(C12:C20)</f>
        <v>2863570</v>
      </c>
      <c r="D11" s="1434">
        <f t="shared" ref="D11:G11" si="0">SUM(D12:D20)</f>
        <v>2674050</v>
      </c>
      <c r="E11" s="1434">
        <f t="shared" si="0"/>
        <v>189520</v>
      </c>
      <c r="F11" s="1434">
        <f t="shared" si="0"/>
        <v>189520</v>
      </c>
      <c r="G11" s="1434">
        <f t="shared" si="0"/>
        <v>0</v>
      </c>
      <c r="H11" s="1435">
        <f>SUM(H12:H20)</f>
        <v>4169359.5599999996</v>
      </c>
      <c r="I11" s="1436">
        <f>SUM(I12:I20)</f>
        <v>2795442.04</v>
      </c>
      <c r="J11" s="1436">
        <f>SUM(J12:J20)</f>
        <v>1373917.52</v>
      </c>
      <c r="K11" s="1436">
        <f>SUM(K12:K20)</f>
        <v>189520</v>
      </c>
      <c r="L11" s="1436">
        <f>SUM(L12:L20)</f>
        <v>1184397.52</v>
      </c>
      <c r="M11" s="1434">
        <f>SUM(M12:M20)</f>
        <v>0</v>
      </c>
      <c r="N11" s="1434"/>
      <c r="O11" s="1434"/>
      <c r="P11" s="1437">
        <f>SUM(P12:P20)</f>
        <v>108284</v>
      </c>
      <c r="Q11" s="1437"/>
      <c r="R11" s="1438">
        <f>H11/C11*100</f>
        <v>145.60005727116848</v>
      </c>
    </row>
    <row r="12" spans="1:19" s="349" customFormat="1" ht="21.95" customHeight="1">
      <c r="A12" s="1433">
        <v>1</v>
      </c>
      <c r="B12" s="1443" t="s">
        <v>344</v>
      </c>
      <c r="C12" s="1439">
        <f>+D12+E12</f>
        <v>269982</v>
      </c>
      <c r="D12" s="1439">
        <v>245451</v>
      </c>
      <c r="E12" s="1439">
        <f>F12+G12</f>
        <v>24531</v>
      </c>
      <c r="F12" s="1439">
        <v>24531</v>
      </c>
      <c r="G12" s="1439">
        <v>0</v>
      </c>
      <c r="H12" s="1440">
        <f>+I12+J12</f>
        <v>403482.76</v>
      </c>
      <c r="I12" s="1441">
        <v>259215.04</v>
      </c>
      <c r="J12" s="1441">
        <f>K12+L12+M12</f>
        <v>144267.72</v>
      </c>
      <c r="K12" s="1441">
        <v>24531</v>
      </c>
      <c r="L12" s="1441">
        <f>144267.72-K12</f>
        <v>119736.72</v>
      </c>
      <c r="M12" s="1439">
        <v>0</v>
      </c>
      <c r="N12" s="1439"/>
      <c r="O12" s="1439"/>
      <c r="P12" s="1439">
        <v>6330</v>
      </c>
      <c r="Q12" s="1439">
        <v>44684000</v>
      </c>
      <c r="R12" s="1442">
        <f t="shared" ref="R12:R20" si="1">H12/C12*100</f>
        <v>149.44802246075665</v>
      </c>
      <c r="S12" s="1888"/>
    </row>
    <row r="13" spans="1:19" s="349" customFormat="1" ht="21.95" customHeight="1">
      <c r="A13" s="1433">
        <v>2</v>
      </c>
      <c r="B13" s="1443" t="s">
        <v>346</v>
      </c>
      <c r="C13" s="1439">
        <f>+D13+E13</f>
        <v>352682</v>
      </c>
      <c r="D13" s="1439">
        <v>327710</v>
      </c>
      <c r="E13" s="1439">
        <f t="shared" ref="E13:E19" si="2">F13+G13</f>
        <v>24972</v>
      </c>
      <c r="F13" s="1439">
        <v>24972</v>
      </c>
      <c r="G13" s="1439">
        <v>0</v>
      </c>
      <c r="H13" s="1440">
        <f>+I13+J13</f>
        <v>525273.24</v>
      </c>
      <c r="I13" s="1441">
        <v>342660</v>
      </c>
      <c r="J13" s="1441">
        <f t="shared" ref="J13:J20" si="3">K13+L13+M13</f>
        <v>182613.24</v>
      </c>
      <c r="K13" s="1441">
        <v>24972</v>
      </c>
      <c r="L13" s="1441">
        <f>182613.24-K13</f>
        <v>157641.24</v>
      </c>
      <c r="M13" s="1439">
        <v>0</v>
      </c>
      <c r="N13" s="1439"/>
      <c r="O13" s="1439"/>
      <c r="P13" s="1439">
        <v>11796</v>
      </c>
      <c r="Q13" s="1439">
        <v>44684000</v>
      </c>
      <c r="R13" s="1442">
        <f t="shared" si="1"/>
        <v>148.93678724743535</v>
      </c>
    </row>
    <row r="14" spans="1:19" s="348" customFormat="1" ht="21.95" customHeight="1">
      <c r="A14" s="1433">
        <v>3</v>
      </c>
      <c r="B14" s="1443" t="s">
        <v>345</v>
      </c>
      <c r="C14" s="1439">
        <f>+D14+E14</f>
        <v>298537</v>
      </c>
      <c r="D14" s="1439">
        <v>272030</v>
      </c>
      <c r="E14" s="1439">
        <f>F14+G14</f>
        <v>26507</v>
      </c>
      <c r="F14" s="1439">
        <v>26507</v>
      </c>
      <c r="G14" s="1439">
        <v>0</v>
      </c>
      <c r="H14" s="1440">
        <f t="shared" ref="H14:H20" si="4">+I14+J14</f>
        <v>498009.32</v>
      </c>
      <c r="I14" s="1441">
        <v>289615</v>
      </c>
      <c r="J14" s="1441">
        <f t="shared" si="3"/>
        <v>208394.32</v>
      </c>
      <c r="K14" s="1441">
        <v>26507</v>
      </c>
      <c r="L14" s="1441">
        <f>208394.32-K14</f>
        <v>181887.32</v>
      </c>
      <c r="M14" s="1434">
        <v>0</v>
      </c>
      <c r="N14" s="1434"/>
      <c r="O14" s="1434"/>
      <c r="P14" s="1434">
        <v>10350</v>
      </c>
      <c r="Q14" s="1434">
        <v>44684000</v>
      </c>
      <c r="R14" s="1442">
        <f t="shared" si="1"/>
        <v>166.81661569587689</v>
      </c>
    </row>
    <row r="15" spans="1:19" s="349" customFormat="1" ht="21.95" customHeight="1">
      <c r="A15" s="1433">
        <v>4</v>
      </c>
      <c r="B15" s="1443" t="s">
        <v>347</v>
      </c>
      <c r="C15" s="1439">
        <f t="shared" ref="C15:C20" si="5">+D15+E15</f>
        <v>457711</v>
      </c>
      <c r="D15" s="1439">
        <v>433180</v>
      </c>
      <c r="E15" s="1439">
        <f t="shared" si="2"/>
        <v>24531</v>
      </c>
      <c r="F15" s="1439">
        <v>24531</v>
      </c>
      <c r="G15" s="1439">
        <v>0</v>
      </c>
      <c r="H15" s="1440">
        <f t="shared" si="4"/>
        <v>674824.83</v>
      </c>
      <c r="I15" s="1441">
        <v>446785</v>
      </c>
      <c r="J15" s="1441">
        <f t="shared" si="3"/>
        <v>228039.83</v>
      </c>
      <c r="K15" s="1441">
        <v>24531</v>
      </c>
      <c r="L15" s="1441">
        <f>228039.83-K15</f>
        <v>203508.83</v>
      </c>
      <c r="M15" s="1439">
        <v>0</v>
      </c>
      <c r="N15" s="1439"/>
      <c r="O15" s="1439"/>
      <c r="P15" s="1439">
        <v>9246</v>
      </c>
      <c r="Q15" s="1439"/>
      <c r="R15" s="1442">
        <f t="shared" si="1"/>
        <v>147.4346978770447</v>
      </c>
    </row>
    <row r="16" spans="1:19" s="349" customFormat="1" ht="21.95" customHeight="1">
      <c r="A16" s="1433">
        <v>5</v>
      </c>
      <c r="B16" s="1443" t="s">
        <v>348</v>
      </c>
      <c r="C16" s="1439">
        <f t="shared" si="5"/>
        <v>348823</v>
      </c>
      <c r="D16" s="1439">
        <v>330257</v>
      </c>
      <c r="E16" s="1439">
        <f t="shared" si="2"/>
        <v>18566</v>
      </c>
      <c r="F16" s="1439">
        <v>18566</v>
      </c>
      <c r="G16" s="1439">
        <v>0</v>
      </c>
      <c r="H16" s="1440">
        <f t="shared" si="4"/>
        <v>476458.26</v>
      </c>
      <c r="I16" s="1441">
        <v>341826</v>
      </c>
      <c r="J16" s="1441">
        <f t="shared" si="3"/>
        <v>134632.26</v>
      </c>
      <c r="K16" s="1441">
        <v>18566</v>
      </c>
      <c r="L16" s="1441">
        <f>134632.26-K16</f>
        <v>116066.26000000001</v>
      </c>
      <c r="M16" s="1439">
        <v>0</v>
      </c>
      <c r="N16" s="1439"/>
      <c r="O16" s="1439"/>
      <c r="P16" s="1439">
        <v>7930</v>
      </c>
      <c r="Q16" s="1439"/>
      <c r="R16" s="1442">
        <f t="shared" si="1"/>
        <v>136.59026497679338</v>
      </c>
    </row>
    <row r="17" spans="1:18" s="349" customFormat="1" ht="21.95" customHeight="1">
      <c r="A17" s="1433">
        <v>6</v>
      </c>
      <c r="B17" s="1443" t="s">
        <v>351</v>
      </c>
      <c r="C17" s="1439">
        <f t="shared" si="5"/>
        <v>260326</v>
      </c>
      <c r="D17" s="1439">
        <v>247500</v>
      </c>
      <c r="E17" s="1439">
        <f t="shared" si="2"/>
        <v>12826</v>
      </c>
      <c r="F17" s="1439">
        <v>12826</v>
      </c>
      <c r="G17" s="1439">
        <v>0</v>
      </c>
      <c r="H17" s="1440">
        <f t="shared" si="4"/>
        <v>357051.47</v>
      </c>
      <c r="I17" s="1441">
        <v>260898</v>
      </c>
      <c r="J17" s="1441">
        <f t="shared" si="3"/>
        <v>96153.47</v>
      </c>
      <c r="K17" s="1441">
        <v>12826</v>
      </c>
      <c r="L17" s="1441">
        <f>96153.47-K17</f>
        <v>83327.47</v>
      </c>
      <c r="M17" s="1439">
        <v>0</v>
      </c>
      <c r="N17" s="1439"/>
      <c r="O17" s="1439"/>
      <c r="P17" s="1439">
        <v>20376</v>
      </c>
      <c r="Q17" s="1439"/>
      <c r="R17" s="1442">
        <f t="shared" si="1"/>
        <v>137.15551654464016</v>
      </c>
    </row>
    <row r="18" spans="1:18" s="349" customFormat="1" ht="21.95" customHeight="1">
      <c r="A18" s="1433">
        <v>7</v>
      </c>
      <c r="B18" s="1443" t="s">
        <v>349</v>
      </c>
      <c r="C18" s="1439">
        <f t="shared" si="5"/>
        <v>456331</v>
      </c>
      <c r="D18" s="1439">
        <v>431642</v>
      </c>
      <c r="E18" s="1439">
        <f t="shared" si="2"/>
        <v>24689</v>
      </c>
      <c r="F18" s="1439">
        <v>24689</v>
      </c>
      <c r="G18" s="1439">
        <v>0</v>
      </c>
      <c r="H18" s="1440">
        <f t="shared" si="4"/>
        <v>633006.67999999993</v>
      </c>
      <c r="I18" s="1441">
        <v>446342</v>
      </c>
      <c r="J18" s="1441">
        <f t="shared" si="3"/>
        <v>186664.68</v>
      </c>
      <c r="K18" s="1441">
        <v>24689</v>
      </c>
      <c r="L18" s="1441">
        <f>186664.68-K18</f>
        <v>161975.67999999999</v>
      </c>
      <c r="M18" s="1439">
        <v>0</v>
      </c>
      <c r="N18" s="1439"/>
      <c r="O18" s="1439"/>
      <c r="P18" s="1439">
        <v>16386</v>
      </c>
      <c r="Q18" s="1439"/>
      <c r="R18" s="1442">
        <f t="shared" si="1"/>
        <v>138.71656319645169</v>
      </c>
    </row>
    <row r="19" spans="1:18" s="349" customFormat="1" ht="21.95" customHeight="1">
      <c r="A19" s="1433">
        <v>8</v>
      </c>
      <c r="B19" s="1443" t="s">
        <v>350</v>
      </c>
      <c r="C19" s="1439">
        <f t="shared" si="5"/>
        <v>211361</v>
      </c>
      <c r="D19" s="1439">
        <v>195656</v>
      </c>
      <c r="E19" s="1439">
        <f t="shared" si="2"/>
        <v>15705</v>
      </c>
      <c r="F19" s="1439">
        <v>15705</v>
      </c>
      <c r="G19" s="1439">
        <v>0</v>
      </c>
      <c r="H19" s="1440">
        <f t="shared" si="4"/>
        <v>275976.11</v>
      </c>
      <c r="I19" s="1441">
        <v>206477</v>
      </c>
      <c r="J19" s="1441">
        <f t="shared" si="3"/>
        <v>69499.11</v>
      </c>
      <c r="K19" s="1441">
        <v>15705</v>
      </c>
      <c r="L19" s="1441">
        <f>69499.11-K19</f>
        <v>53794.11</v>
      </c>
      <c r="M19" s="1439">
        <v>0</v>
      </c>
      <c r="N19" s="1439"/>
      <c r="O19" s="1439"/>
      <c r="P19" s="1439">
        <v>9570</v>
      </c>
      <c r="Q19" s="1439"/>
      <c r="R19" s="1442">
        <f t="shared" si="1"/>
        <v>130.57097099275646</v>
      </c>
    </row>
    <row r="20" spans="1:18" s="1891" customFormat="1" ht="21.95" customHeight="1">
      <c r="A20" s="1889">
        <v>9</v>
      </c>
      <c r="B20" s="1890" t="s">
        <v>352</v>
      </c>
      <c r="C20" s="1439">
        <f t="shared" si="5"/>
        <v>207817</v>
      </c>
      <c r="D20" s="1439">
        <v>190624</v>
      </c>
      <c r="E20" s="1439">
        <f>F20+G20</f>
        <v>17193</v>
      </c>
      <c r="F20" s="1439">
        <v>17193</v>
      </c>
      <c r="G20" s="1439">
        <v>0</v>
      </c>
      <c r="H20" s="1440">
        <f t="shared" si="4"/>
        <v>325276.89</v>
      </c>
      <c r="I20" s="1441">
        <v>201624</v>
      </c>
      <c r="J20" s="1441">
        <f t="shared" si="3"/>
        <v>123652.89</v>
      </c>
      <c r="K20" s="1441">
        <v>17193</v>
      </c>
      <c r="L20" s="1441">
        <f>123652.89-K20</f>
        <v>106459.89</v>
      </c>
      <c r="M20" s="1439">
        <v>0</v>
      </c>
      <c r="N20" s="1439"/>
      <c r="O20" s="1439"/>
      <c r="P20" s="1439">
        <v>16300</v>
      </c>
      <c r="Q20" s="1439"/>
      <c r="R20" s="1442">
        <f t="shared" si="1"/>
        <v>156.520828421159</v>
      </c>
    </row>
    <row r="21" spans="1:18" ht="24.75" hidden="1" customHeight="1">
      <c r="A21" s="6"/>
      <c r="B21" s="1"/>
      <c r="C21" s="1"/>
      <c r="D21" s="1"/>
      <c r="E21" s="1"/>
      <c r="F21" s="1"/>
      <c r="G21" s="1"/>
      <c r="H21" s="1669" t="s">
        <v>499</v>
      </c>
      <c r="I21" s="1669"/>
      <c r="J21" s="1669"/>
      <c r="K21" s="1669"/>
      <c r="L21" s="1669"/>
      <c r="M21" s="1669"/>
      <c r="N21" s="1669"/>
      <c r="O21" s="1669"/>
      <c r="P21" s="1669"/>
      <c r="Q21" s="1669"/>
      <c r="R21" s="1669"/>
    </row>
    <row r="22" spans="1:18" ht="15.75" hidden="1">
      <c r="A22" s="6"/>
      <c r="B22" s="1"/>
      <c r="C22" s="1"/>
      <c r="D22" s="1"/>
      <c r="E22" s="1"/>
      <c r="F22" s="1"/>
      <c r="G22" s="1"/>
      <c r="H22" s="1764" t="s">
        <v>85</v>
      </c>
      <c r="I22" s="1764"/>
      <c r="J22" s="1764"/>
      <c r="K22" s="1764"/>
      <c r="L22" s="1764"/>
      <c r="M22" s="1764"/>
      <c r="N22" s="1764"/>
      <c r="O22" s="1764"/>
      <c r="P22" s="1764"/>
      <c r="Q22" s="1764"/>
      <c r="R22" s="1764"/>
    </row>
    <row r="23" spans="1:18" ht="15.75" hidden="1">
      <c r="A23" s="6"/>
      <c r="B23" s="1"/>
      <c r="C23" s="1"/>
      <c r="D23" s="1"/>
      <c r="E23" s="1"/>
      <c r="F23" s="1"/>
      <c r="G23" s="1"/>
      <c r="H23" s="1765" t="s">
        <v>86</v>
      </c>
      <c r="I23" s="1765"/>
      <c r="J23" s="1765"/>
      <c r="K23" s="1765"/>
      <c r="L23" s="1765"/>
      <c r="M23" s="1765"/>
      <c r="N23" s="1765"/>
      <c r="O23" s="1765"/>
      <c r="P23" s="1765"/>
      <c r="Q23" s="1765"/>
      <c r="R23" s="1765"/>
    </row>
    <row r="24" spans="1:18" ht="15.75" hidden="1">
      <c r="A24" s="6"/>
      <c r="B24" s="1"/>
      <c r="C24" s="1"/>
      <c r="D24" s="1"/>
      <c r="E24" s="1"/>
      <c r="F24" s="1"/>
      <c r="G24" s="1"/>
      <c r="H24" s="1"/>
      <c r="I24" s="1"/>
      <c r="J24" s="1"/>
      <c r="K24" s="1"/>
      <c r="L24" s="1"/>
      <c r="M24" s="1"/>
      <c r="N24" s="1"/>
      <c r="O24" s="1"/>
      <c r="P24" s="1"/>
      <c r="Q24" s="1"/>
      <c r="R24" s="1"/>
    </row>
    <row r="25" spans="1:18" hidden="1"/>
  </sheetData>
  <sheetProtection selectLockedCells="1" selectUnlockedCells="1"/>
  <mergeCells count="20">
    <mergeCell ref="I7:M7"/>
    <mergeCell ref="D8:D9"/>
    <mergeCell ref="E8:G8"/>
    <mergeCell ref="I8:I9"/>
    <mergeCell ref="K1:R1"/>
    <mergeCell ref="K5:R5"/>
    <mergeCell ref="H21:R21"/>
    <mergeCell ref="H22:R22"/>
    <mergeCell ref="H23:R23"/>
    <mergeCell ref="J8:M8"/>
    <mergeCell ref="A3:R3"/>
    <mergeCell ref="A4:R4"/>
    <mergeCell ref="A6:A9"/>
    <mergeCell ref="B6:B9"/>
    <mergeCell ref="C6:G6"/>
    <mergeCell ref="H6:M6"/>
    <mergeCell ref="R6:R9"/>
    <mergeCell ref="C7:C9"/>
    <mergeCell ref="D7:G7"/>
    <mergeCell ref="H7:H9"/>
  </mergeCells>
  <phoneticPr fontId="160" type="noConversion"/>
  <printOptions horizontalCentered="1"/>
  <pageMargins left="0" right="0" top="0" bottom="0" header="0" footer="0"/>
  <pageSetup paperSize="9" firstPageNumber="0"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70"/>
  <sheetViews>
    <sheetView tabSelected="1" zoomScale="145" zoomScaleNormal="145" workbookViewId="0">
      <selection activeCell="A4" sqref="A4:AN4"/>
    </sheetView>
  </sheetViews>
  <sheetFormatPr defaultRowHeight="15.75"/>
  <cols>
    <col min="1" max="1" width="3" style="155" customWidth="1"/>
    <col min="2" max="2" width="20" style="155" customWidth="1"/>
    <col min="3" max="3" width="4" style="155" customWidth="1"/>
    <col min="4" max="4" width="3.5703125" style="155" customWidth="1"/>
    <col min="5" max="5" width="3.7109375" style="155" customWidth="1"/>
    <col min="6" max="9" width="10.85546875" style="155" hidden="1" customWidth="1"/>
    <col min="10" max="10" width="4.140625" style="177" customWidth="1"/>
    <col min="11" max="11" width="4" style="177" customWidth="1"/>
    <col min="12" max="12" width="4.28515625" style="177" customWidth="1"/>
    <col min="13" max="13" width="4" style="155" customWidth="1"/>
    <col min="14" max="14" width="3.42578125" style="155" customWidth="1"/>
    <col min="15" max="16" width="3.5703125" style="155" customWidth="1"/>
    <col min="17" max="18" width="4" style="155" customWidth="1"/>
    <col min="19" max="19" width="3.5703125" style="155" customWidth="1"/>
    <col min="20" max="20" width="4.28515625" style="155" customWidth="1"/>
    <col min="21" max="21" width="3.5703125" style="155" customWidth="1"/>
    <col min="22" max="23" width="3.42578125" style="155" customWidth="1"/>
    <col min="24" max="26" width="3.7109375" style="155" customWidth="1"/>
    <col min="27" max="27" width="3.28515625" style="155" customWidth="1"/>
    <col min="28" max="28" width="3.140625" style="155" customWidth="1"/>
    <col min="29" max="30" width="3.28515625" style="155" customWidth="1"/>
    <col min="31" max="33" width="3.42578125" style="155" customWidth="1"/>
    <col min="34" max="34" width="3.28515625" style="155" customWidth="1"/>
    <col min="35" max="35" width="3.140625" style="155" customWidth="1"/>
    <col min="36" max="36" width="3.42578125" style="155" customWidth="1"/>
    <col min="37" max="37" width="3.28515625" style="155" customWidth="1"/>
    <col min="38" max="38" width="3.140625" style="155" customWidth="1"/>
    <col min="39" max="40" width="3.28515625" style="155" customWidth="1"/>
    <col min="41" max="41" width="6.140625" style="155" hidden="1" customWidth="1"/>
    <col min="42" max="42" width="5.85546875" style="155" hidden="1" customWidth="1"/>
    <col min="43" max="43" width="4.5703125" style="155" hidden="1" customWidth="1"/>
    <col min="44" max="44" width="5.28515625" style="155" hidden="1" customWidth="1"/>
    <col min="45" max="46" width="5.42578125" style="155" hidden="1" customWidth="1"/>
    <col min="47" max="47" width="6.42578125" style="155" hidden="1" customWidth="1"/>
    <col min="48" max="48" width="6.140625" style="155" hidden="1" customWidth="1"/>
    <col min="49" max="49" width="5.85546875" style="155" hidden="1" customWidth="1"/>
    <col min="50" max="50" width="4.28515625" style="155" hidden="1" customWidth="1"/>
    <col min="51" max="51" width="5" style="155" hidden="1" customWidth="1"/>
    <col min="52" max="52" width="6.42578125" style="155" hidden="1" customWidth="1"/>
    <col min="53" max="53" width="6.5703125" style="155" hidden="1" customWidth="1"/>
    <col min="54" max="54" width="4.7109375" style="155" hidden="1" customWidth="1"/>
    <col min="55" max="55" width="6" style="155" hidden="1" customWidth="1"/>
    <col min="56" max="56" width="5.85546875" style="155" hidden="1" customWidth="1"/>
    <col min="57" max="57" width="5.7109375" style="155" hidden="1" customWidth="1"/>
    <col min="58" max="58" width="4.42578125" style="155" hidden="1" customWidth="1"/>
    <col min="59" max="59" width="6.42578125" style="155" hidden="1" customWidth="1"/>
    <col min="60" max="60" width="5.140625" style="155" hidden="1" customWidth="1"/>
    <col min="61" max="61" width="5.5703125" style="155" hidden="1" customWidth="1"/>
    <col min="62" max="62" width="6.28515625" style="155" hidden="1" customWidth="1"/>
    <col min="63" max="63" width="6.140625" style="155" hidden="1" customWidth="1"/>
    <col min="64" max="64" width="4.7109375" style="155" hidden="1" customWidth="1"/>
    <col min="65" max="65" width="5.140625" style="155" hidden="1" customWidth="1"/>
    <col min="66" max="66" width="5.28515625" style="155" hidden="1" customWidth="1"/>
    <col min="67" max="67" width="5.7109375" style="155" hidden="1" customWidth="1"/>
    <col min="68" max="68" width="5.5703125" style="155" hidden="1" customWidth="1"/>
    <col min="69" max="71" width="0" style="155" hidden="1" customWidth="1"/>
    <col min="72" max="16384" width="9.140625" style="155"/>
  </cols>
  <sheetData>
    <row r="1" spans="1:71" s="960" customFormat="1" ht="17.100000000000001" customHeight="1">
      <c r="A1" s="1387" t="s">
        <v>3110</v>
      </c>
      <c r="B1" s="1392"/>
      <c r="C1" s="1393"/>
      <c r="D1" s="1393"/>
      <c r="E1" s="1393"/>
      <c r="F1" s="1393"/>
      <c r="G1" s="1393"/>
      <c r="H1" s="1393"/>
      <c r="I1" s="1393"/>
      <c r="J1" s="1387"/>
      <c r="K1" s="1387"/>
      <c r="L1" s="1387"/>
      <c r="M1" s="1393"/>
      <c r="N1" s="1393"/>
      <c r="O1" s="1393"/>
      <c r="P1" s="1393"/>
      <c r="Q1" s="1393"/>
      <c r="R1" s="1393"/>
      <c r="S1" s="1393"/>
      <c r="T1" s="1393"/>
      <c r="U1" s="1393"/>
      <c r="V1" s="1393"/>
      <c r="W1" s="1393"/>
      <c r="X1" s="1393"/>
      <c r="Y1" s="1393"/>
      <c r="Z1" s="1393"/>
      <c r="AA1" s="1393"/>
      <c r="AE1" s="1896" t="s">
        <v>3130</v>
      </c>
      <c r="AF1" s="1896"/>
      <c r="AG1" s="1896"/>
      <c r="AH1" s="1896"/>
      <c r="AI1" s="1896"/>
      <c r="AJ1" s="1896"/>
      <c r="AK1" s="1896"/>
      <c r="AL1" s="1896"/>
      <c r="AM1" s="1896"/>
      <c r="AN1" s="1896"/>
      <c r="AO1" s="1896"/>
      <c r="AP1" s="1896"/>
      <c r="AQ1" s="1896"/>
      <c r="AR1" s="1896"/>
      <c r="AS1" s="1896"/>
    </row>
    <row r="2" spans="1:71" s="960" customFormat="1" ht="17.100000000000001" customHeight="1">
      <c r="A2" s="1387" t="s">
        <v>2878</v>
      </c>
      <c r="B2" s="1392"/>
      <c r="C2" s="1393"/>
      <c r="D2" s="1393"/>
      <c r="E2" s="1393"/>
      <c r="F2" s="1393"/>
      <c r="G2" s="1393"/>
      <c r="H2" s="1393"/>
      <c r="I2" s="1393"/>
      <c r="J2" s="1387"/>
      <c r="K2" s="1387"/>
      <c r="L2" s="1387"/>
      <c r="M2" s="1393"/>
      <c r="N2" s="1393"/>
      <c r="O2" s="1393"/>
      <c r="P2" s="1393"/>
      <c r="Q2" s="1393"/>
      <c r="R2" s="1393"/>
      <c r="S2" s="1393"/>
      <c r="T2" s="1393"/>
      <c r="U2" s="1393"/>
      <c r="V2" s="1393"/>
      <c r="W2" s="1393"/>
      <c r="X2" s="1393"/>
      <c r="Y2" s="1393"/>
      <c r="Z2" s="1393"/>
      <c r="AA2" s="1393"/>
    </row>
    <row r="3" spans="1:71" ht="27.75" customHeight="1">
      <c r="A3" s="1388"/>
      <c r="B3" s="1389"/>
      <c r="C3" s="1388"/>
      <c r="D3" s="1390"/>
      <c r="E3" s="1390"/>
      <c r="F3" s="1390"/>
      <c r="G3" s="1390"/>
      <c r="H3" s="1390"/>
      <c r="I3" s="1390"/>
      <c r="J3" s="1391"/>
      <c r="K3" s="1391"/>
      <c r="L3" s="1391"/>
      <c r="M3" s="1390"/>
      <c r="N3" s="1390"/>
      <c r="O3" s="1390"/>
      <c r="P3" s="1390"/>
      <c r="Q3" s="1390"/>
      <c r="R3" s="1390"/>
      <c r="S3" s="1390"/>
      <c r="T3" s="1390"/>
      <c r="U3" s="1390"/>
      <c r="V3" s="1390"/>
      <c r="W3" s="1390"/>
      <c r="X3" s="1390"/>
      <c r="Y3" s="1390"/>
      <c r="Z3" s="1390"/>
      <c r="AA3" s="1390"/>
    </row>
    <row r="4" spans="1:71" ht="33" customHeight="1">
      <c r="A4" s="1897" t="s">
        <v>3131</v>
      </c>
      <c r="B4" s="1898"/>
      <c r="C4" s="1898"/>
      <c r="D4" s="1898"/>
      <c r="E4" s="1898"/>
      <c r="F4" s="1898"/>
      <c r="G4" s="1898"/>
      <c r="H4" s="1898"/>
      <c r="I4" s="1898"/>
      <c r="J4" s="1898"/>
      <c r="K4" s="1898"/>
      <c r="L4" s="1898"/>
      <c r="M4" s="1898"/>
      <c r="N4" s="1898"/>
      <c r="O4" s="1898"/>
      <c r="P4" s="1898"/>
      <c r="Q4" s="1898"/>
      <c r="R4" s="1898"/>
      <c r="S4" s="1898"/>
      <c r="T4" s="1898"/>
      <c r="U4" s="1898"/>
      <c r="V4" s="1898"/>
      <c r="W4" s="1898"/>
      <c r="X4" s="1898"/>
      <c r="Y4" s="1898"/>
      <c r="Z4" s="1898"/>
      <c r="AA4" s="1898"/>
      <c r="AB4" s="1898"/>
      <c r="AC4" s="1898"/>
      <c r="AD4" s="1898"/>
      <c r="AE4" s="1898"/>
      <c r="AF4" s="1898"/>
      <c r="AG4" s="1898"/>
      <c r="AH4" s="1898"/>
      <c r="AI4" s="1898"/>
      <c r="AJ4" s="1898"/>
      <c r="AK4" s="1898"/>
      <c r="AL4" s="1898"/>
      <c r="AM4" s="1898"/>
      <c r="AN4" s="1898"/>
    </row>
    <row r="5" spans="1:71" ht="22.5" customHeight="1">
      <c r="A5" s="1768" t="s">
        <v>3132</v>
      </c>
      <c r="B5" s="1768"/>
      <c r="C5" s="1768"/>
      <c r="D5" s="1768"/>
      <c r="E5" s="1768"/>
      <c r="F5" s="1768"/>
      <c r="G5" s="1768"/>
      <c r="H5" s="1768"/>
      <c r="I5" s="1768"/>
      <c r="J5" s="1768"/>
      <c r="K5" s="1768"/>
      <c r="L5" s="1768"/>
      <c r="M5" s="1768"/>
      <c r="N5" s="1768"/>
      <c r="O5" s="1768"/>
      <c r="P5" s="1768"/>
      <c r="Q5" s="1768"/>
      <c r="R5" s="1768"/>
      <c r="S5" s="1768"/>
      <c r="T5" s="1768"/>
      <c r="U5" s="1768"/>
      <c r="V5" s="1768"/>
      <c r="W5" s="1768"/>
      <c r="X5" s="1768"/>
      <c r="Y5" s="1768"/>
      <c r="Z5" s="1768"/>
      <c r="AA5" s="1768"/>
      <c r="AB5" s="1768"/>
      <c r="AC5" s="1768"/>
      <c r="AD5" s="1768"/>
      <c r="AE5" s="1768"/>
      <c r="AF5" s="1768"/>
      <c r="AG5" s="1768"/>
      <c r="AH5" s="1768"/>
      <c r="AI5" s="1768"/>
      <c r="AJ5" s="1768"/>
      <c r="AK5" s="1768"/>
      <c r="AL5" s="1768"/>
      <c r="AM5" s="1768"/>
      <c r="AN5" s="1768"/>
    </row>
    <row r="6" spans="1:71" ht="19.5" customHeight="1"/>
    <row r="7" spans="1:71" ht="20.25" customHeight="1">
      <c r="AA7" s="1771"/>
      <c r="AB7" s="1771"/>
      <c r="AC7" s="1771"/>
      <c r="AD7" s="1771"/>
      <c r="AE7" s="1771"/>
      <c r="AF7" s="1771"/>
      <c r="AG7" s="1771"/>
      <c r="AH7" s="1779" t="s">
        <v>44</v>
      </c>
      <c r="AI7" s="1779"/>
      <c r="AJ7" s="1779"/>
      <c r="AK7" s="1779"/>
      <c r="AL7" s="1779"/>
      <c r="AM7" s="1779"/>
      <c r="AN7" s="1779"/>
      <c r="BL7" s="1771" t="s">
        <v>491</v>
      </c>
      <c r="BM7" s="1771"/>
      <c r="BN7" s="1771"/>
      <c r="BO7" s="1771"/>
      <c r="BP7" s="1771"/>
    </row>
    <row r="8" spans="1:71" s="177" customFormat="1" ht="14.1" customHeight="1">
      <c r="A8" s="1769" t="s">
        <v>45</v>
      </c>
      <c r="B8" s="1769" t="s">
        <v>355</v>
      </c>
      <c r="C8" s="1769" t="s">
        <v>123</v>
      </c>
      <c r="D8" s="1769"/>
      <c r="E8" s="1769"/>
      <c r="F8" s="1769" t="s">
        <v>726</v>
      </c>
      <c r="G8" s="1769"/>
      <c r="H8" s="1769" t="s">
        <v>729</v>
      </c>
      <c r="I8" s="1769"/>
      <c r="J8" s="1769" t="s">
        <v>96</v>
      </c>
      <c r="K8" s="1769"/>
      <c r="L8" s="1769"/>
      <c r="M8" s="1769"/>
      <c r="N8" s="1769"/>
      <c r="O8" s="1769"/>
      <c r="P8" s="1769"/>
      <c r="Q8" s="1769"/>
      <c r="R8" s="1769"/>
      <c r="S8" s="1769"/>
      <c r="T8" s="1769"/>
      <c r="U8" s="1769"/>
      <c r="V8" s="1769"/>
      <c r="W8" s="1769"/>
      <c r="X8" s="1769"/>
      <c r="Y8" s="1769"/>
      <c r="Z8" s="1769"/>
      <c r="AA8" s="1769"/>
      <c r="AB8" s="1769"/>
      <c r="AC8" s="1769"/>
      <c r="AD8" s="1769"/>
      <c r="AE8" s="1769"/>
      <c r="AF8" s="1769"/>
      <c r="AG8" s="1769"/>
      <c r="AH8" s="1769"/>
      <c r="AI8" s="1769"/>
      <c r="AJ8" s="1769"/>
      <c r="AK8" s="1769"/>
      <c r="AL8" s="1769"/>
      <c r="AM8" s="1769"/>
      <c r="AN8" s="1769"/>
      <c r="AO8" s="993"/>
      <c r="AP8" s="993"/>
      <c r="AQ8" s="993"/>
      <c r="AR8" s="993"/>
      <c r="AS8" s="993"/>
      <c r="AT8" s="993"/>
      <c r="AU8" s="993"/>
      <c r="AV8" s="993"/>
      <c r="AW8" s="993"/>
      <c r="AX8" s="993"/>
      <c r="AY8" s="993"/>
      <c r="AZ8" s="993"/>
      <c r="BA8" s="993"/>
      <c r="BB8" s="993"/>
      <c r="BC8" s="993"/>
      <c r="BD8" s="993"/>
      <c r="BE8" s="993"/>
      <c r="BF8" s="993"/>
      <c r="BG8" s="993"/>
      <c r="BH8" s="993"/>
      <c r="BI8" s="993"/>
      <c r="BJ8" s="993"/>
      <c r="BK8" s="993"/>
      <c r="BL8" s="993"/>
      <c r="BM8" s="993"/>
      <c r="BN8" s="993"/>
      <c r="BO8" s="993"/>
      <c r="BP8" s="994"/>
      <c r="BQ8" s="992"/>
      <c r="BR8" s="992"/>
      <c r="BS8" s="992"/>
    </row>
    <row r="9" spans="1:71" s="177" customFormat="1" ht="21" customHeight="1">
      <c r="A9" s="1769"/>
      <c r="B9" s="1769"/>
      <c r="C9" s="1769" t="s">
        <v>240</v>
      </c>
      <c r="D9" s="1769" t="s">
        <v>342</v>
      </c>
      <c r="E9" s="1769"/>
      <c r="F9" s="1398"/>
      <c r="G9" s="1398"/>
      <c r="H9" s="1398"/>
      <c r="I9" s="1398"/>
      <c r="J9" s="1769" t="s">
        <v>240</v>
      </c>
      <c r="K9" s="1769" t="s">
        <v>342</v>
      </c>
      <c r="L9" s="1769"/>
      <c r="M9" s="1769" t="s">
        <v>2954</v>
      </c>
      <c r="N9" s="1769"/>
      <c r="O9" s="1769"/>
      <c r="P9" s="1769"/>
      <c r="Q9" s="1769"/>
      <c r="R9" s="1769"/>
      <c r="S9" s="1769"/>
      <c r="T9" s="1769" t="s">
        <v>329</v>
      </c>
      <c r="U9" s="1769"/>
      <c r="V9" s="1769"/>
      <c r="W9" s="1769"/>
      <c r="X9" s="1769"/>
      <c r="Y9" s="1769"/>
      <c r="Z9" s="1769"/>
      <c r="AA9" s="1769" t="s">
        <v>2956</v>
      </c>
      <c r="AB9" s="1769"/>
      <c r="AC9" s="1769"/>
      <c r="AD9" s="1769"/>
      <c r="AE9" s="1769"/>
      <c r="AF9" s="1769"/>
      <c r="AG9" s="1769"/>
      <c r="AH9" s="1769" t="s">
        <v>2957</v>
      </c>
      <c r="AI9" s="1769"/>
      <c r="AJ9" s="1769"/>
      <c r="AK9" s="1769"/>
      <c r="AL9" s="1769"/>
      <c r="AM9" s="1769"/>
      <c r="AN9" s="1769"/>
      <c r="AO9" s="1780" t="s">
        <v>480</v>
      </c>
      <c r="AP9" s="1775"/>
      <c r="AQ9" s="1775"/>
      <c r="AR9" s="1775"/>
      <c r="AS9" s="1775"/>
      <c r="AT9" s="1775"/>
      <c r="AU9" s="1775"/>
      <c r="AV9" s="1775" t="s">
        <v>330</v>
      </c>
      <c r="AW9" s="1775"/>
      <c r="AX9" s="1775"/>
      <c r="AY9" s="1775"/>
      <c r="AZ9" s="1775"/>
      <c r="BA9" s="1775"/>
      <c r="BB9" s="1775"/>
      <c r="BC9" s="1775" t="s">
        <v>331</v>
      </c>
      <c r="BD9" s="1775"/>
      <c r="BE9" s="1775"/>
      <c r="BF9" s="1775"/>
      <c r="BG9" s="1775"/>
      <c r="BH9" s="1775"/>
      <c r="BI9" s="1775"/>
      <c r="BJ9" s="1775" t="s">
        <v>481</v>
      </c>
      <c r="BK9" s="1775"/>
      <c r="BL9" s="1775"/>
      <c r="BM9" s="1775"/>
      <c r="BN9" s="1775"/>
      <c r="BO9" s="1775"/>
      <c r="BP9" s="1775"/>
    </row>
    <row r="10" spans="1:71" s="177" customFormat="1" ht="21.95" customHeight="1">
      <c r="A10" s="1769"/>
      <c r="B10" s="1769"/>
      <c r="C10" s="1769"/>
      <c r="D10" s="1769" t="s">
        <v>482</v>
      </c>
      <c r="E10" s="1769" t="s">
        <v>852</v>
      </c>
      <c r="F10" s="1398"/>
      <c r="G10" s="1398"/>
      <c r="H10" s="1398"/>
      <c r="I10" s="1398"/>
      <c r="J10" s="1769"/>
      <c r="K10" s="1769" t="s">
        <v>482</v>
      </c>
      <c r="L10" s="1769" t="s">
        <v>852</v>
      </c>
      <c r="M10" s="1769" t="s">
        <v>240</v>
      </c>
      <c r="N10" s="1781" t="s">
        <v>733</v>
      </c>
      <c r="O10" s="1781"/>
      <c r="P10" s="1781"/>
      <c r="Q10" s="1781" t="s">
        <v>732</v>
      </c>
      <c r="R10" s="1781"/>
      <c r="S10" s="1781"/>
      <c r="T10" s="1769" t="s">
        <v>240</v>
      </c>
      <c r="U10" s="1769" t="s">
        <v>550</v>
      </c>
      <c r="V10" s="1769"/>
      <c r="W10" s="1769"/>
      <c r="X10" s="1769" t="s">
        <v>732</v>
      </c>
      <c r="Y10" s="1769"/>
      <c r="Z10" s="1769"/>
      <c r="AA10" s="1769" t="s">
        <v>240</v>
      </c>
      <c r="AB10" s="1769" t="s">
        <v>733</v>
      </c>
      <c r="AC10" s="1769"/>
      <c r="AD10" s="1769"/>
      <c r="AE10" s="1769" t="s">
        <v>732</v>
      </c>
      <c r="AF10" s="1769"/>
      <c r="AG10" s="1769"/>
      <c r="AH10" s="1769" t="s">
        <v>240</v>
      </c>
      <c r="AI10" s="1769" t="s">
        <v>733</v>
      </c>
      <c r="AJ10" s="1769"/>
      <c r="AK10" s="1769"/>
      <c r="AL10" s="1769" t="s">
        <v>732</v>
      </c>
      <c r="AM10" s="1769"/>
      <c r="AN10" s="1769"/>
      <c r="AO10" s="1776" t="s">
        <v>240</v>
      </c>
      <c r="AP10" s="1772" t="s">
        <v>59</v>
      </c>
      <c r="AQ10" s="1772"/>
      <c r="AR10" s="1772"/>
      <c r="AS10" s="1772" t="s">
        <v>483</v>
      </c>
      <c r="AT10" s="1772"/>
      <c r="AU10" s="1772"/>
      <c r="AV10" s="1772" t="s">
        <v>240</v>
      </c>
      <c r="AW10" s="1772" t="s">
        <v>59</v>
      </c>
      <c r="AX10" s="1772"/>
      <c r="AY10" s="1772"/>
      <c r="AZ10" s="1772" t="s">
        <v>483</v>
      </c>
      <c r="BA10" s="1772"/>
      <c r="BB10" s="1772"/>
      <c r="BC10" s="1772" t="s">
        <v>240</v>
      </c>
      <c r="BD10" s="1772" t="s">
        <v>59</v>
      </c>
      <c r="BE10" s="1772"/>
      <c r="BF10" s="1772"/>
      <c r="BG10" s="1772" t="s">
        <v>483</v>
      </c>
      <c r="BH10" s="1772"/>
      <c r="BI10" s="1772"/>
      <c r="BJ10" s="1772" t="s">
        <v>240</v>
      </c>
      <c r="BK10" s="1774" t="s">
        <v>733</v>
      </c>
      <c r="BL10" s="1772"/>
      <c r="BM10" s="1772"/>
      <c r="BN10" s="1774" t="s">
        <v>732</v>
      </c>
      <c r="BO10" s="1772"/>
      <c r="BP10" s="1772"/>
    </row>
    <row r="11" spans="1:71" s="177" customFormat="1" ht="14.1" customHeight="1">
      <c r="A11" s="1769"/>
      <c r="B11" s="1769"/>
      <c r="C11" s="1769"/>
      <c r="D11" s="1769"/>
      <c r="E11" s="1769"/>
      <c r="F11" s="1398"/>
      <c r="G11" s="1398"/>
      <c r="H11" s="1398"/>
      <c r="I11" s="1398"/>
      <c r="J11" s="1769"/>
      <c r="K11" s="1769"/>
      <c r="L11" s="1769"/>
      <c r="M11" s="1769"/>
      <c r="N11" s="1769" t="s">
        <v>240</v>
      </c>
      <c r="O11" s="1769" t="s">
        <v>358</v>
      </c>
      <c r="P11" s="1769"/>
      <c r="Q11" s="1769" t="s">
        <v>240</v>
      </c>
      <c r="R11" s="1769" t="s">
        <v>358</v>
      </c>
      <c r="S11" s="1769"/>
      <c r="T11" s="1769"/>
      <c r="U11" s="1769" t="s">
        <v>240</v>
      </c>
      <c r="V11" s="1769" t="s">
        <v>358</v>
      </c>
      <c r="W11" s="1769"/>
      <c r="X11" s="1769" t="s">
        <v>240</v>
      </c>
      <c r="Y11" s="1769" t="s">
        <v>358</v>
      </c>
      <c r="Z11" s="1769"/>
      <c r="AA11" s="1769"/>
      <c r="AB11" s="1769" t="s">
        <v>853</v>
      </c>
      <c r="AC11" s="1769" t="s">
        <v>358</v>
      </c>
      <c r="AD11" s="1769"/>
      <c r="AE11" s="1769" t="s">
        <v>853</v>
      </c>
      <c r="AF11" s="1769" t="s">
        <v>358</v>
      </c>
      <c r="AG11" s="1769"/>
      <c r="AH11" s="1769"/>
      <c r="AI11" s="1769" t="s">
        <v>853</v>
      </c>
      <c r="AJ11" s="1769" t="s">
        <v>358</v>
      </c>
      <c r="AK11" s="1769"/>
      <c r="AL11" s="1769" t="s">
        <v>853</v>
      </c>
      <c r="AM11" s="1769" t="s">
        <v>358</v>
      </c>
      <c r="AN11" s="1769"/>
      <c r="AO11" s="1776"/>
      <c r="AP11" s="1773" t="s">
        <v>240</v>
      </c>
      <c r="AQ11" s="1772" t="s">
        <v>358</v>
      </c>
      <c r="AR11" s="1772"/>
      <c r="AS11" s="1773" t="s">
        <v>240</v>
      </c>
      <c r="AT11" s="1772" t="s">
        <v>358</v>
      </c>
      <c r="AU11" s="1772"/>
      <c r="AV11" s="1772"/>
      <c r="AW11" s="1773" t="s">
        <v>240</v>
      </c>
      <c r="AX11" s="1772" t="s">
        <v>358</v>
      </c>
      <c r="AY11" s="1772"/>
      <c r="AZ11" s="1773" t="s">
        <v>240</v>
      </c>
      <c r="BA11" s="1772" t="s">
        <v>358</v>
      </c>
      <c r="BB11" s="1772"/>
      <c r="BC11" s="1772"/>
      <c r="BD11" s="1773" t="s">
        <v>240</v>
      </c>
      <c r="BE11" s="1772" t="s">
        <v>358</v>
      </c>
      <c r="BF11" s="1772"/>
      <c r="BG11" s="1773" t="s">
        <v>240</v>
      </c>
      <c r="BH11" s="1772" t="s">
        <v>358</v>
      </c>
      <c r="BI11" s="1772"/>
      <c r="BJ11" s="1772"/>
      <c r="BK11" s="1773" t="s">
        <v>240</v>
      </c>
      <c r="BL11" s="1772" t="s">
        <v>358</v>
      </c>
      <c r="BM11" s="1772"/>
      <c r="BN11" s="1773" t="s">
        <v>240</v>
      </c>
      <c r="BO11" s="1772" t="s">
        <v>358</v>
      </c>
      <c r="BP11" s="1772"/>
    </row>
    <row r="12" spans="1:71" s="177" customFormat="1" ht="41.25" customHeight="1">
      <c r="A12" s="1769"/>
      <c r="B12" s="1769"/>
      <c r="C12" s="1769"/>
      <c r="D12" s="1769"/>
      <c r="E12" s="1769"/>
      <c r="F12" s="1398"/>
      <c r="G12" s="1398"/>
      <c r="H12" s="1398"/>
      <c r="I12" s="1398"/>
      <c r="J12" s="1769"/>
      <c r="K12" s="1769"/>
      <c r="L12" s="1769"/>
      <c r="M12" s="1769"/>
      <c r="N12" s="1769"/>
      <c r="O12" s="1398" t="s">
        <v>731</v>
      </c>
      <c r="P12" s="1398" t="s">
        <v>730</v>
      </c>
      <c r="Q12" s="1769"/>
      <c r="R12" s="1398" t="s">
        <v>731</v>
      </c>
      <c r="S12" s="1398" t="s">
        <v>730</v>
      </c>
      <c r="T12" s="1769"/>
      <c r="U12" s="1769"/>
      <c r="V12" s="1398" t="s">
        <v>731</v>
      </c>
      <c r="W12" s="1398" t="s">
        <v>730</v>
      </c>
      <c r="X12" s="1769"/>
      <c r="Y12" s="1398" t="s">
        <v>731</v>
      </c>
      <c r="Z12" s="1398" t="s">
        <v>730</v>
      </c>
      <c r="AA12" s="1769"/>
      <c r="AB12" s="1769"/>
      <c r="AC12" s="1398" t="s">
        <v>731</v>
      </c>
      <c r="AD12" s="1398" t="s">
        <v>730</v>
      </c>
      <c r="AE12" s="1769"/>
      <c r="AF12" s="1398" t="s">
        <v>731</v>
      </c>
      <c r="AG12" s="1398" t="s">
        <v>730</v>
      </c>
      <c r="AH12" s="1769"/>
      <c r="AI12" s="1769"/>
      <c r="AJ12" s="1398" t="s">
        <v>731</v>
      </c>
      <c r="AK12" s="1398" t="s">
        <v>730</v>
      </c>
      <c r="AL12" s="1769"/>
      <c r="AM12" s="1398" t="s">
        <v>731</v>
      </c>
      <c r="AN12" s="1398" t="s">
        <v>730</v>
      </c>
      <c r="AO12" s="1777"/>
      <c r="AP12" s="1773"/>
      <c r="AQ12" s="991" t="s">
        <v>25</v>
      </c>
      <c r="AR12" s="991" t="s">
        <v>26</v>
      </c>
      <c r="AS12" s="1773"/>
      <c r="AT12" s="991" t="s">
        <v>25</v>
      </c>
      <c r="AU12" s="991" t="s">
        <v>26</v>
      </c>
      <c r="AV12" s="1773"/>
      <c r="AW12" s="1773"/>
      <c r="AX12" s="991" t="s">
        <v>25</v>
      </c>
      <c r="AY12" s="991" t="s">
        <v>26</v>
      </c>
      <c r="AZ12" s="1773"/>
      <c r="BA12" s="990" t="s">
        <v>731</v>
      </c>
      <c r="BB12" s="990" t="s">
        <v>730</v>
      </c>
      <c r="BC12" s="1773"/>
      <c r="BD12" s="1773"/>
      <c r="BE12" s="990" t="s">
        <v>731</v>
      </c>
      <c r="BF12" s="991" t="s">
        <v>26</v>
      </c>
      <c r="BG12" s="1773"/>
      <c r="BH12" s="990" t="s">
        <v>731</v>
      </c>
      <c r="BI12" s="990" t="s">
        <v>730</v>
      </c>
      <c r="BJ12" s="1773"/>
      <c r="BK12" s="1773"/>
      <c r="BL12" s="990" t="s">
        <v>731</v>
      </c>
      <c r="BM12" s="990" t="s">
        <v>730</v>
      </c>
      <c r="BN12" s="1773"/>
      <c r="BO12" s="990" t="s">
        <v>731</v>
      </c>
      <c r="BP12" s="990" t="s">
        <v>730</v>
      </c>
    </row>
    <row r="13" spans="1:71" s="979" customFormat="1" ht="14.1" customHeight="1">
      <c r="A13" s="1399" t="s">
        <v>57</v>
      </c>
      <c r="B13" s="1399" t="s">
        <v>80</v>
      </c>
      <c r="C13" s="1400">
        <v>1</v>
      </c>
      <c r="D13" s="1400">
        <v>2</v>
      </c>
      <c r="E13" s="1400">
        <v>3</v>
      </c>
      <c r="F13" s="1400" t="s">
        <v>727</v>
      </c>
      <c r="G13" s="1400" t="s">
        <v>728</v>
      </c>
      <c r="H13" s="1400" t="s">
        <v>727</v>
      </c>
      <c r="I13" s="1400" t="s">
        <v>728</v>
      </c>
      <c r="J13" s="1401">
        <v>4</v>
      </c>
      <c r="K13" s="1401">
        <v>5</v>
      </c>
      <c r="L13" s="1401">
        <v>6</v>
      </c>
      <c r="M13" s="1400">
        <v>7</v>
      </c>
      <c r="N13" s="1400">
        <v>8</v>
      </c>
      <c r="O13" s="1400">
        <v>9</v>
      </c>
      <c r="P13" s="1400">
        <v>10</v>
      </c>
      <c r="Q13" s="1400">
        <v>11</v>
      </c>
      <c r="R13" s="1400">
        <v>12</v>
      </c>
      <c r="S13" s="1400">
        <v>13</v>
      </c>
      <c r="T13" s="1400">
        <v>14</v>
      </c>
      <c r="U13" s="1400">
        <v>15</v>
      </c>
      <c r="V13" s="1400">
        <v>16</v>
      </c>
      <c r="W13" s="1400">
        <v>17</v>
      </c>
      <c r="X13" s="1400">
        <v>18</v>
      </c>
      <c r="Y13" s="1400">
        <v>19</v>
      </c>
      <c r="Z13" s="1400">
        <v>20</v>
      </c>
      <c r="AA13" s="1400">
        <v>21</v>
      </c>
      <c r="AB13" s="1400">
        <v>22</v>
      </c>
      <c r="AC13" s="1400">
        <v>23</v>
      </c>
      <c r="AD13" s="1400">
        <v>24</v>
      </c>
      <c r="AE13" s="1400">
        <v>25</v>
      </c>
      <c r="AF13" s="1400">
        <v>26</v>
      </c>
      <c r="AG13" s="1400">
        <v>27</v>
      </c>
      <c r="AH13" s="1400">
        <v>28</v>
      </c>
      <c r="AI13" s="1400">
        <v>29</v>
      </c>
      <c r="AJ13" s="1400">
        <v>30</v>
      </c>
      <c r="AK13" s="1400">
        <v>31</v>
      </c>
      <c r="AL13" s="1400">
        <v>32</v>
      </c>
      <c r="AM13" s="1400">
        <v>33</v>
      </c>
      <c r="AN13" s="1400">
        <v>34</v>
      </c>
      <c r="AO13" s="1394">
        <v>35</v>
      </c>
      <c r="AP13" s="978">
        <v>36</v>
      </c>
      <c r="AQ13" s="978">
        <v>37</v>
      </c>
      <c r="AR13" s="978">
        <v>38</v>
      </c>
      <c r="AS13" s="978">
        <v>39</v>
      </c>
      <c r="AT13" s="978">
        <v>40</v>
      </c>
      <c r="AU13" s="978">
        <v>41</v>
      </c>
      <c r="AV13" s="978">
        <v>42</v>
      </c>
      <c r="AW13" s="978">
        <v>43</v>
      </c>
      <c r="AX13" s="978">
        <v>44</v>
      </c>
      <c r="AY13" s="978">
        <v>45</v>
      </c>
      <c r="AZ13" s="978">
        <v>46</v>
      </c>
      <c r="BA13" s="978">
        <v>47</v>
      </c>
      <c r="BB13" s="978">
        <v>48</v>
      </c>
      <c r="BC13" s="978">
        <v>49</v>
      </c>
      <c r="BD13" s="978">
        <v>50</v>
      </c>
      <c r="BE13" s="978">
        <v>51</v>
      </c>
      <c r="BF13" s="978">
        <v>52</v>
      </c>
      <c r="BG13" s="978">
        <v>53</v>
      </c>
      <c r="BH13" s="978">
        <v>54</v>
      </c>
      <c r="BI13" s="978">
        <v>55</v>
      </c>
      <c r="BJ13" s="978">
        <v>56</v>
      </c>
      <c r="BK13" s="978">
        <v>57</v>
      </c>
      <c r="BL13" s="978">
        <v>58</v>
      </c>
      <c r="BM13" s="978">
        <v>59</v>
      </c>
      <c r="BN13" s="978">
        <v>60</v>
      </c>
      <c r="BO13" s="978">
        <v>61</v>
      </c>
      <c r="BP13" s="978">
        <v>62</v>
      </c>
    </row>
    <row r="14" spans="1:71" s="177" customFormat="1" ht="14.1" customHeight="1">
      <c r="A14" s="1402" t="s">
        <v>108</v>
      </c>
      <c r="B14" s="1403" t="s">
        <v>484</v>
      </c>
      <c r="C14" s="1404">
        <f>+SUM(C15:C41)</f>
        <v>15800.1</v>
      </c>
      <c r="D14" s="1405">
        <f>+SUM(D15:D41)</f>
        <v>0</v>
      </c>
      <c r="E14" s="1404">
        <f>+SUM(E15:E41)</f>
        <v>15800.1</v>
      </c>
      <c r="F14" s="1404">
        <f t="shared" ref="F14:G14" si="0">+SUM(F15:F41)</f>
        <v>0</v>
      </c>
      <c r="G14" s="1404">
        <f t="shared" si="0"/>
        <v>3292</v>
      </c>
      <c r="H14" s="1404"/>
      <c r="I14" s="1404">
        <f>+SUM(I15:I41)</f>
        <v>12508.1</v>
      </c>
      <c r="J14" s="1404">
        <f>+SUM(J15:J41)</f>
        <v>14764.978466</v>
      </c>
      <c r="K14" s="1406">
        <f>+SUM(K15:K41)</f>
        <v>181.09700000000001</v>
      </c>
      <c r="L14" s="1407">
        <f>+SUM(L15:L41)</f>
        <v>14583.881465999999</v>
      </c>
      <c r="M14" s="1407">
        <f>+SUM(M15:M41)</f>
        <v>2658.2200399999997</v>
      </c>
      <c r="N14" s="1408">
        <f t="shared" ref="N14:BP14" si="1">+SUM(N15:N41)</f>
        <v>0</v>
      </c>
      <c r="O14" s="1408">
        <f t="shared" si="1"/>
        <v>0</v>
      </c>
      <c r="P14" s="1408">
        <f t="shared" si="1"/>
        <v>0</v>
      </c>
      <c r="Q14" s="1407">
        <f t="shared" si="1"/>
        <v>2658.2200399999997</v>
      </c>
      <c r="R14" s="1407">
        <f>+SUM(R15:R41)</f>
        <v>2658.2200399999997</v>
      </c>
      <c r="S14" s="1407">
        <f t="shared" si="1"/>
        <v>0</v>
      </c>
      <c r="T14" s="1407">
        <f>+SUM(T15:T41)</f>
        <v>11966.758426</v>
      </c>
      <c r="U14" s="1407">
        <f t="shared" si="1"/>
        <v>41.097000000000001</v>
      </c>
      <c r="V14" s="1407">
        <f t="shared" si="1"/>
        <v>41.097000000000001</v>
      </c>
      <c r="W14" s="1407">
        <f t="shared" si="1"/>
        <v>0</v>
      </c>
      <c r="X14" s="1404">
        <f t="shared" si="1"/>
        <v>11925.661425999999</v>
      </c>
      <c r="Y14" s="1404">
        <f t="shared" si="1"/>
        <v>11925.661425999999</v>
      </c>
      <c r="Z14" s="1407">
        <f>+SUM(Z15:Z41)</f>
        <v>0</v>
      </c>
      <c r="AA14" s="1407">
        <f>+SUM(AA15:AA41)</f>
        <v>0</v>
      </c>
      <c r="AB14" s="1407">
        <f t="shared" si="1"/>
        <v>0</v>
      </c>
      <c r="AC14" s="1407">
        <f t="shared" si="1"/>
        <v>0</v>
      </c>
      <c r="AD14" s="1407">
        <f t="shared" si="1"/>
        <v>0</v>
      </c>
      <c r="AE14" s="1407">
        <f t="shared" si="1"/>
        <v>0</v>
      </c>
      <c r="AF14" s="1407">
        <f t="shared" si="1"/>
        <v>0</v>
      </c>
      <c r="AG14" s="1407">
        <f t="shared" si="1"/>
        <v>0</v>
      </c>
      <c r="AH14" s="1407">
        <f t="shared" si="1"/>
        <v>140</v>
      </c>
      <c r="AI14" s="1407">
        <f t="shared" si="1"/>
        <v>140</v>
      </c>
      <c r="AJ14" s="1407">
        <f t="shared" si="1"/>
        <v>140</v>
      </c>
      <c r="AK14" s="1407">
        <f t="shared" si="1"/>
        <v>0</v>
      </c>
      <c r="AL14" s="1407">
        <f t="shared" si="1"/>
        <v>0</v>
      </c>
      <c r="AM14" s="1407">
        <f t="shared" si="1"/>
        <v>0</v>
      </c>
      <c r="AN14" s="1407">
        <f t="shared" si="1"/>
        <v>0</v>
      </c>
      <c r="AO14" s="995">
        <f>+SUM(AO15:AO41)</f>
        <v>0</v>
      </c>
      <c r="AP14" s="980">
        <f t="shared" si="1"/>
        <v>0</v>
      </c>
      <c r="AQ14" s="980">
        <f t="shared" si="1"/>
        <v>0</v>
      </c>
      <c r="AR14" s="980">
        <f t="shared" si="1"/>
        <v>0</v>
      </c>
      <c r="AS14" s="980">
        <f t="shared" si="1"/>
        <v>0</v>
      </c>
      <c r="AT14" s="980">
        <f t="shared" si="1"/>
        <v>0</v>
      </c>
      <c r="AU14" s="980">
        <f t="shared" si="1"/>
        <v>0</v>
      </c>
      <c r="AV14" s="980">
        <f t="shared" si="1"/>
        <v>0</v>
      </c>
      <c r="AW14" s="980">
        <f t="shared" si="1"/>
        <v>0</v>
      </c>
      <c r="AX14" s="980">
        <f t="shared" si="1"/>
        <v>0</v>
      </c>
      <c r="AY14" s="980">
        <f t="shared" si="1"/>
        <v>0</v>
      </c>
      <c r="AZ14" s="980">
        <f t="shared" si="1"/>
        <v>0</v>
      </c>
      <c r="BA14" s="980">
        <f t="shared" si="1"/>
        <v>0</v>
      </c>
      <c r="BB14" s="980">
        <f t="shared" si="1"/>
        <v>0</v>
      </c>
      <c r="BC14" s="980">
        <f t="shared" si="1"/>
        <v>0</v>
      </c>
      <c r="BD14" s="980">
        <f t="shared" si="1"/>
        <v>0</v>
      </c>
      <c r="BE14" s="980">
        <f t="shared" si="1"/>
        <v>0</v>
      </c>
      <c r="BF14" s="980">
        <f t="shared" si="1"/>
        <v>0</v>
      </c>
      <c r="BG14" s="980">
        <f t="shared" si="1"/>
        <v>0</v>
      </c>
      <c r="BH14" s="980">
        <f t="shared" si="1"/>
        <v>0</v>
      </c>
      <c r="BI14" s="980">
        <f t="shared" si="1"/>
        <v>0</v>
      </c>
      <c r="BJ14" s="980">
        <f t="shared" si="1"/>
        <v>0</v>
      </c>
      <c r="BK14" s="980">
        <f t="shared" si="1"/>
        <v>0</v>
      </c>
      <c r="BL14" s="980">
        <f t="shared" si="1"/>
        <v>0</v>
      </c>
      <c r="BM14" s="980">
        <f t="shared" si="1"/>
        <v>0</v>
      </c>
      <c r="BN14" s="980">
        <f t="shared" si="1"/>
        <v>0</v>
      </c>
      <c r="BO14" s="980">
        <f t="shared" si="1"/>
        <v>0</v>
      </c>
      <c r="BP14" s="980">
        <f t="shared" si="1"/>
        <v>0</v>
      </c>
    </row>
    <row r="15" spans="1:71" ht="14.1" customHeight="1">
      <c r="A15" s="1409">
        <v>1</v>
      </c>
      <c r="B15" s="1410" t="s">
        <v>20</v>
      </c>
      <c r="C15" s="1411">
        <f>+D15+E15</f>
        <v>70</v>
      </c>
      <c r="D15" s="1405">
        <f>+F15+H15</f>
        <v>0</v>
      </c>
      <c r="E15" s="1411">
        <f>+G15+I15</f>
        <v>70</v>
      </c>
      <c r="F15" s="1411"/>
      <c r="G15" s="1411"/>
      <c r="H15" s="1411"/>
      <c r="I15" s="1411">
        <v>70</v>
      </c>
      <c r="J15" s="1411">
        <f>+K15+L15</f>
        <v>70</v>
      </c>
      <c r="K15" s="1412">
        <f>+N15+U15+AB15+AI15+AP15+AW15+BD15+BK15</f>
        <v>0</v>
      </c>
      <c r="L15" s="1413">
        <f>+Q15+X15+AE15+AL15+AS15+AZ15+BG15+BN15</f>
        <v>70</v>
      </c>
      <c r="M15" s="1412">
        <f>+N15+Q15</f>
        <v>0</v>
      </c>
      <c r="N15" s="1405">
        <f>+O15+P15</f>
        <v>0</v>
      </c>
      <c r="O15" s="1405">
        <v>0</v>
      </c>
      <c r="P15" s="1405">
        <v>0</v>
      </c>
      <c r="Q15" s="1412">
        <f>+R15+S15</f>
        <v>0</v>
      </c>
      <c r="R15" s="1412">
        <v>0</v>
      </c>
      <c r="S15" s="1412">
        <v>0</v>
      </c>
      <c r="T15" s="1414">
        <f>+U15+X15</f>
        <v>70</v>
      </c>
      <c r="U15" s="1412">
        <f>+V15+W15</f>
        <v>0</v>
      </c>
      <c r="V15" s="1412">
        <v>0</v>
      </c>
      <c r="W15" s="1412">
        <v>0</v>
      </c>
      <c r="X15" s="1414">
        <f>+Y15+Z15</f>
        <v>70</v>
      </c>
      <c r="Y15" s="1414">
        <v>70</v>
      </c>
      <c r="Z15" s="1412">
        <v>0</v>
      </c>
      <c r="AA15" s="1412">
        <f>+AB15+AE15</f>
        <v>0</v>
      </c>
      <c r="AB15" s="1412">
        <f>+AC15+AD15</f>
        <v>0</v>
      </c>
      <c r="AC15" s="1412">
        <v>0</v>
      </c>
      <c r="AD15" s="1412">
        <v>0</v>
      </c>
      <c r="AE15" s="1412">
        <f>+AF15+AG15</f>
        <v>0</v>
      </c>
      <c r="AF15" s="1412">
        <v>0</v>
      </c>
      <c r="AG15" s="1412">
        <v>0</v>
      </c>
      <c r="AH15" s="1412">
        <f>+AI15+AL15</f>
        <v>0</v>
      </c>
      <c r="AI15" s="1412">
        <f>+AJ15+AK15</f>
        <v>0</v>
      </c>
      <c r="AJ15" s="1405">
        <v>0</v>
      </c>
      <c r="AK15" s="1405">
        <v>0</v>
      </c>
      <c r="AL15" s="1405">
        <f>+AM15+AN15</f>
        <v>0</v>
      </c>
      <c r="AM15" s="1405">
        <v>0</v>
      </c>
      <c r="AN15" s="1405">
        <v>0</v>
      </c>
      <c r="AO15" s="1395">
        <f>+AP15+AS15</f>
        <v>0</v>
      </c>
      <c r="AP15" s="982">
        <f>+AQ15+AR15</f>
        <v>0</v>
      </c>
      <c r="AQ15" s="982"/>
      <c r="AR15" s="982"/>
      <c r="AS15" s="982">
        <f>+AT15+AU15</f>
        <v>0</v>
      </c>
      <c r="AT15" s="982"/>
      <c r="AU15" s="982"/>
      <c r="AV15" s="981">
        <f>+AW15+AZ15</f>
        <v>0</v>
      </c>
      <c r="AW15" s="982">
        <f>+AX15+AY15</f>
        <v>0</v>
      </c>
      <c r="AX15" s="982"/>
      <c r="AY15" s="982"/>
      <c r="AZ15" s="982">
        <f>+BA15+BB15</f>
        <v>0</v>
      </c>
      <c r="BA15" s="982"/>
      <c r="BB15" s="982"/>
      <c r="BC15" s="982"/>
      <c r="BD15" s="982"/>
      <c r="BE15" s="982"/>
      <c r="BF15" s="982"/>
      <c r="BG15" s="982"/>
      <c r="BH15" s="982"/>
      <c r="BI15" s="982"/>
      <c r="BJ15" s="982"/>
      <c r="BK15" s="982"/>
      <c r="BL15" s="982"/>
      <c r="BM15" s="982"/>
      <c r="BN15" s="982"/>
      <c r="BO15" s="982"/>
      <c r="BP15" s="982"/>
    </row>
    <row r="16" spans="1:71" ht="14.1" customHeight="1">
      <c r="A16" s="1409">
        <v>2</v>
      </c>
      <c r="B16" s="1410" t="s">
        <v>2958</v>
      </c>
      <c r="C16" s="1411">
        <f t="shared" ref="C16:C41" si="2">+D16+E16</f>
        <v>4000</v>
      </c>
      <c r="D16" s="1405">
        <f t="shared" ref="D16:D51" si="3">+F16+H16</f>
        <v>0</v>
      </c>
      <c r="E16" s="1411">
        <f t="shared" ref="E16:E51" si="4">+G16+I16</f>
        <v>4000</v>
      </c>
      <c r="F16" s="1411"/>
      <c r="G16" s="1411"/>
      <c r="H16" s="1411"/>
      <c r="I16" s="1411">
        <v>4000</v>
      </c>
      <c r="J16" s="1411">
        <f t="shared" ref="J16:J31" si="5">+K16+L16</f>
        <v>4147.2870000000003</v>
      </c>
      <c r="K16" s="1412">
        <f t="shared" ref="K16:K31" si="6">+N16+U16+AB16+AI16+AP16+AW16+BD16+BK16</f>
        <v>0</v>
      </c>
      <c r="L16" s="1413">
        <f t="shared" ref="L16:L31" si="7">+Q16+X16+AE16+AL16+AS16+AZ16+BG16+BN16</f>
        <v>4147.2870000000003</v>
      </c>
      <c r="M16" s="1412">
        <f t="shared" ref="M16:M31" si="8">+N16+Q16</f>
        <v>0</v>
      </c>
      <c r="N16" s="1405">
        <f t="shared" ref="N16:N31" si="9">+O16+P16</f>
        <v>0</v>
      </c>
      <c r="O16" s="1405">
        <v>0</v>
      </c>
      <c r="P16" s="1405">
        <v>0</v>
      </c>
      <c r="Q16" s="1412">
        <f>+R16+S16</f>
        <v>0</v>
      </c>
      <c r="R16" s="1412">
        <v>0</v>
      </c>
      <c r="S16" s="1412">
        <v>0</v>
      </c>
      <c r="T16" s="1414">
        <f t="shared" ref="T16:T41" si="10">+U16+X16</f>
        <v>4147.2870000000003</v>
      </c>
      <c r="U16" s="1412">
        <f t="shared" ref="U16:U41" si="11">+V16+W16</f>
        <v>0</v>
      </c>
      <c r="V16" s="1412">
        <v>0</v>
      </c>
      <c r="W16" s="1412">
        <v>0</v>
      </c>
      <c r="X16" s="1414">
        <f t="shared" ref="X16:X41" si="12">+Y16+Z16</f>
        <v>4147.2870000000003</v>
      </c>
      <c r="Y16" s="1414">
        <v>4147.2870000000003</v>
      </c>
      <c r="Z16" s="1412">
        <v>0</v>
      </c>
      <c r="AA16" s="1412">
        <f t="shared" ref="AA16:AA41" si="13">+AB16+AE16</f>
        <v>0</v>
      </c>
      <c r="AB16" s="1412">
        <f t="shared" ref="AB16:AB41" si="14">+AC16+AD16</f>
        <v>0</v>
      </c>
      <c r="AC16" s="1412">
        <v>0</v>
      </c>
      <c r="AD16" s="1412">
        <v>0</v>
      </c>
      <c r="AE16" s="1412">
        <f t="shared" ref="AE16:AE41" si="15">+AF16+AG16</f>
        <v>0</v>
      </c>
      <c r="AF16" s="1412">
        <v>0</v>
      </c>
      <c r="AG16" s="1412">
        <v>0</v>
      </c>
      <c r="AH16" s="1412">
        <f t="shared" ref="AH16:AH41" si="16">+AI16+AL16</f>
        <v>0</v>
      </c>
      <c r="AI16" s="1412">
        <f t="shared" ref="AI16:AI41" si="17">+AJ16+AK16</f>
        <v>0</v>
      </c>
      <c r="AJ16" s="1405">
        <v>0</v>
      </c>
      <c r="AK16" s="1405">
        <v>0</v>
      </c>
      <c r="AL16" s="1405">
        <f t="shared" ref="AL16:AL41" si="18">+AM16+AN16</f>
        <v>0</v>
      </c>
      <c r="AM16" s="1405">
        <v>0</v>
      </c>
      <c r="AN16" s="1405">
        <v>0</v>
      </c>
      <c r="AO16" s="1395">
        <f t="shared" ref="AO16:AO41" si="19">+AP16+AS16</f>
        <v>0</v>
      </c>
      <c r="AP16" s="981">
        <f t="shared" ref="AP16:AP41" si="20">+AQ16+AR16</f>
        <v>0</v>
      </c>
      <c r="AQ16" s="981"/>
      <c r="AR16" s="981"/>
      <c r="AS16" s="981">
        <f t="shared" ref="AS16:AS41" si="21">+AT16+AU16</f>
        <v>0</v>
      </c>
      <c r="AT16" s="981"/>
      <c r="AU16" s="981"/>
      <c r="AV16" s="981">
        <f>+AW16+AZ16</f>
        <v>0</v>
      </c>
      <c r="AW16" s="981">
        <f>+AX16+AY16</f>
        <v>0</v>
      </c>
      <c r="AX16" s="981"/>
      <c r="AY16" s="981"/>
      <c r="AZ16" s="981">
        <f>+BA16+BB16</f>
        <v>0</v>
      </c>
      <c r="BA16" s="981"/>
      <c r="BB16" s="981"/>
      <c r="BC16" s="981"/>
      <c r="BD16" s="981"/>
      <c r="BE16" s="981"/>
      <c r="BF16" s="981"/>
      <c r="BG16" s="981"/>
      <c r="BH16" s="981"/>
      <c r="BI16" s="981"/>
      <c r="BJ16" s="981"/>
      <c r="BK16" s="981"/>
      <c r="BL16" s="981"/>
      <c r="BM16" s="981"/>
      <c r="BN16" s="981"/>
      <c r="BO16" s="981"/>
      <c r="BP16" s="981"/>
    </row>
    <row r="17" spans="1:68" ht="14.1" customHeight="1">
      <c r="A17" s="1409">
        <v>3</v>
      </c>
      <c r="B17" s="1410" t="s">
        <v>589</v>
      </c>
      <c r="C17" s="1411">
        <f t="shared" si="2"/>
        <v>700</v>
      </c>
      <c r="D17" s="1405">
        <f t="shared" si="3"/>
        <v>0</v>
      </c>
      <c r="E17" s="1411">
        <f t="shared" si="4"/>
        <v>700</v>
      </c>
      <c r="F17" s="1411"/>
      <c r="G17" s="1411"/>
      <c r="H17" s="1411"/>
      <c r="I17" s="1411">
        <v>700</v>
      </c>
      <c r="J17" s="1411">
        <f t="shared" si="5"/>
        <v>767.95100000000002</v>
      </c>
      <c r="K17" s="1412">
        <f t="shared" si="6"/>
        <v>0</v>
      </c>
      <c r="L17" s="1413">
        <f t="shared" si="7"/>
        <v>767.95100000000002</v>
      </c>
      <c r="M17" s="1412">
        <f t="shared" si="8"/>
        <v>0</v>
      </c>
      <c r="N17" s="1405">
        <f t="shared" si="9"/>
        <v>0</v>
      </c>
      <c r="O17" s="1405">
        <v>0</v>
      </c>
      <c r="P17" s="1405">
        <v>0</v>
      </c>
      <c r="Q17" s="1412">
        <f>+R17+S17</f>
        <v>0</v>
      </c>
      <c r="R17" s="1412">
        <v>0</v>
      </c>
      <c r="S17" s="1412">
        <v>0</v>
      </c>
      <c r="T17" s="1414">
        <f t="shared" si="10"/>
        <v>767.95100000000002</v>
      </c>
      <c r="U17" s="1412">
        <f t="shared" si="11"/>
        <v>0</v>
      </c>
      <c r="V17" s="1412">
        <v>0</v>
      </c>
      <c r="W17" s="1412">
        <v>0</v>
      </c>
      <c r="X17" s="1414">
        <f t="shared" si="12"/>
        <v>767.95100000000002</v>
      </c>
      <c r="Y17" s="1414">
        <v>767.95100000000002</v>
      </c>
      <c r="Z17" s="1412">
        <v>0</v>
      </c>
      <c r="AA17" s="1412">
        <f t="shared" si="13"/>
        <v>0</v>
      </c>
      <c r="AB17" s="1412">
        <f t="shared" si="14"/>
        <v>0</v>
      </c>
      <c r="AC17" s="1412">
        <v>0</v>
      </c>
      <c r="AD17" s="1412">
        <v>0</v>
      </c>
      <c r="AE17" s="1412">
        <f t="shared" si="15"/>
        <v>0</v>
      </c>
      <c r="AF17" s="1412">
        <v>0</v>
      </c>
      <c r="AG17" s="1412">
        <v>0</v>
      </c>
      <c r="AH17" s="1412">
        <f t="shared" si="16"/>
        <v>0</v>
      </c>
      <c r="AI17" s="1412">
        <f t="shared" si="17"/>
        <v>0</v>
      </c>
      <c r="AJ17" s="1405">
        <v>0</v>
      </c>
      <c r="AK17" s="1405">
        <v>0</v>
      </c>
      <c r="AL17" s="1405">
        <f t="shared" si="18"/>
        <v>0</v>
      </c>
      <c r="AM17" s="1405">
        <v>0</v>
      </c>
      <c r="AN17" s="1405">
        <v>0</v>
      </c>
      <c r="AO17" s="1395">
        <f t="shared" si="19"/>
        <v>0</v>
      </c>
      <c r="AP17" s="981">
        <f t="shared" si="20"/>
        <v>0</v>
      </c>
      <c r="AQ17" s="981"/>
      <c r="AR17" s="981"/>
      <c r="AS17" s="981">
        <f t="shared" si="21"/>
        <v>0</v>
      </c>
      <c r="AT17" s="981"/>
      <c r="AU17" s="981"/>
      <c r="AV17" s="981">
        <f t="shared" ref="AV17:AV41" si="22">+AW17+AZ17</f>
        <v>0</v>
      </c>
      <c r="AW17" s="981">
        <f t="shared" ref="AW17:AW41" si="23">+AX17+AY17</f>
        <v>0</v>
      </c>
      <c r="AX17" s="981"/>
      <c r="AY17" s="981"/>
      <c r="AZ17" s="981">
        <f t="shared" ref="AZ17:AZ41" si="24">+BA17+BB17</f>
        <v>0</v>
      </c>
      <c r="BA17" s="981"/>
      <c r="BB17" s="981"/>
      <c r="BC17" s="981"/>
      <c r="BD17" s="981"/>
      <c r="BE17" s="981"/>
      <c r="BF17" s="981"/>
      <c r="BG17" s="981"/>
      <c r="BH17" s="981"/>
      <c r="BI17" s="981"/>
      <c r="BJ17" s="981"/>
      <c r="BK17" s="981"/>
      <c r="BL17" s="981"/>
      <c r="BM17" s="981"/>
      <c r="BN17" s="981"/>
      <c r="BO17" s="981"/>
      <c r="BP17" s="981"/>
    </row>
    <row r="18" spans="1:68" ht="14.1" customHeight="1">
      <c r="A18" s="1409">
        <v>4</v>
      </c>
      <c r="B18" s="1410" t="s">
        <v>2959</v>
      </c>
      <c r="C18" s="1411">
        <f t="shared" si="2"/>
        <v>0</v>
      </c>
      <c r="D18" s="1405">
        <f t="shared" si="3"/>
        <v>0</v>
      </c>
      <c r="E18" s="1411">
        <f t="shared" si="4"/>
        <v>0</v>
      </c>
      <c r="F18" s="1411"/>
      <c r="G18" s="1411"/>
      <c r="H18" s="1411"/>
      <c r="I18" s="1411"/>
      <c r="J18" s="1411">
        <f t="shared" si="5"/>
        <v>348.113</v>
      </c>
      <c r="K18" s="1412">
        <f t="shared" si="6"/>
        <v>0</v>
      </c>
      <c r="L18" s="1413">
        <f t="shared" si="7"/>
        <v>348.113</v>
      </c>
      <c r="M18" s="1412">
        <f t="shared" si="8"/>
        <v>0</v>
      </c>
      <c r="N18" s="1405">
        <f t="shared" si="9"/>
        <v>0</v>
      </c>
      <c r="O18" s="1405">
        <v>0</v>
      </c>
      <c r="P18" s="1405">
        <v>0</v>
      </c>
      <c r="Q18" s="1412">
        <f>+R18+S18</f>
        <v>0</v>
      </c>
      <c r="R18" s="1412">
        <v>0</v>
      </c>
      <c r="S18" s="1412">
        <v>0</v>
      </c>
      <c r="T18" s="1414">
        <f t="shared" si="10"/>
        <v>348.113</v>
      </c>
      <c r="U18" s="1412">
        <f t="shared" si="11"/>
        <v>0</v>
      </c>
      <c r="V18" s="1412">
        <v>0</v>
      </c>
      <c r="W18" s="1412">
        <v>0</v>
      </c>
      <c r="X18" s="1414">
        <f t="shared" si="12"/>
        <v>348.113</v>
      </c>
      <c r="Y18" s="1414">
        <v>348.113</v>
      </c>
      <c r="Z18" s="1412">
        <v>0</v>
      </c>
      <c r="AA18" s="1412">
        <f t="shared" si="13"/>
        <v>0</v>
      </c>
      <c r="AB18" s="1412">
        <f t="shared" si="14"/>
        <v>0</v>
      </c>
      <c r="AC18" s="1412">
        <v>0</v>
      </c>
      <c r="AD18" s="1412">
        <v>0</v>
      </c>
      <c r="AE18" s="1412">
        <f t="shared" si="15"/>
        <v>0</v>
      </c>
      <c r="AF18" s="1412">
        <v>0</v>
      </c>
      <c r="AG18" s="1412">
        <v>0</v>
      </c>
      <c r="AH18" s="1412">
        <f t="shared" si="16"/>
        <v>0</v>
      </c>
      <c r="AI18" s="1412">
        <f t="shared" si="17"/>
        <v>0</v>
      </c>
      <c r="AJ18" s="1405">
        <v>0</v>
      </c>
      <c r="AK18" s="1405">
        <v>0</v>
      </c>
      <c r="AL18" s="1405">
        <f>+AM18+AN18</f>
        <v>0</v>
      </c>
      <c r="AM18" s="1405">
        <v>0</v>
      </c>
      <c r="AN18" s="1405">
        <v>0</v>
      </c>
      <c r="AO18" s="1395">
        <f t="shared" si="19"/>
        <v>0</v>
      </c>
      <c r="AP18" s="981">
        <f t="shared" si="20"/>
        <v>0</v>
      </c>
      <c r="AQ18" s="981"/>
      <c r="AR18" s="981"/>
      <c r="AS18" s="981">
        <f t="shared" si="21"/>
        <v>0</v>
      </c>
      <c r="AT18" s="981"/>
      <c r="AU18" s="981"/>
      <c r="AV18" s="981">
        <f t="shared" si="22"/>
        <v>0</v>
      </c>
      <c r="AW18" s="981">
        <f t="shared" si="23"/>
        <v>0</v>
      </c>
      <c r="AX18" s="981"/>
      <c r="AY18" s="981"/>
      <c r="AZ18" s="981">
        <f t="shared" si="24"/>
        <v>0</v>
      </c>
      <c r="BA18" s="981"/>
      <c r="BB18" s="981"/>
      <c r="BC18" s="981"/>
      <c r="BD18" s="981"/>
      <c r="BE18" s="981"/>
      <c r="BF18" s="981"/>
      <c r="BG18" s="981"/>
      <c r="BH18" s="981"/>
      <c r="BI18" s="981"/>
      <c r="BJ18" s="981"/>
      <c r="BK18" s="981"/>
      <c r="BL18" s="981"/>
      <c r="BM18" s="981"/>
      <c r="BN18" s="981"/>
      <c r="BO18" s="981"/>
      <c r="BP18" s="981"/>
    </row>
    <row r="19" spans="1:68" ht="14.1" customHeight="1">
      <c r="A19" s="1409">
        <v>5</v>
      </c>
      <c r="B19" s="1410" t="s">
        <v>2960</v>
      </c>
      <c r="C19" s="1411">
        <f t="shared" si="2"/>
        <v>0</v>
      </c>
      <c r="D19" s="1405">
        <f t="shared" si="3"/>
        <v>0</v>
      </c>
      <c r="E19" s="1411">
        <f t="shared" si="4"/>
        <v>0</v>
      </c>
      <c r="F19" s="1411"/>
      <c r="G19" s="1411"/>
      <c r="H19" s="1411"/>
      <c r="I19" s="1411"/>
      <c r="J19" s="1411">
        <f t="shared" si="5"/>
        <v>49.905999999999999</v>
      </c>
      <c r="K19" s="1412">
        <f t="shared" si="6"/>
        <v>0</v>
      </c>
      <c r="L19" s="1413">
        <f t="shared" si="7"/>
        <v>49.905999999999999</v>
      </c>
      <c r="M19" s="1412">
        <f t="shared" si="8"/>
        <v>0</v>
      </c>
      <c r="N19" s="1405">
        <f t="shared" si="9"/>
        <v>0</v>
      </c>
      <c r="O19" s="1405">
        <v>0</v>
      </c>
      <c r="P19" s="1405">
        <v>0</v>
      </c>
      <c r="Q19" s="1412">
        <f t="shared" ref="Q19:Q31" si="25">+R19+S19</f>
        <v>0</v>
      </c>
      <c r="R19" s="1412">
        <v>0</v>
      </c>
      <c r="S19" s="1412">
        <v>0</v>
      </c>
      <c r="T19" s="1414">
        <f t="shared" si="10"/>
        <v>49.905999999999999</v>
      </c>
      <c r="U19" s="1412">
        <f t="shared" si="11"/>
        <v>0</v>
      </c>
      <c r="V19" s="1412">
        <v>0</v>
      </c>
      <c r="W19" s="1412">
        <v>0</v>
      </c>
      <c r="X19" s="1414">
        <f t="shared" si="12"/>
        <v>49.905999999999999</v>
      </c>
      <c r="Y19" s="1414">
        <v>49.905999999999999</v>
      </c>
      <c r="Z19" s="1412">
        <v>0</v>
      </c>
      <c r="AA19" s="1412">
        <f t="shared" si="13"/>
        <v>0</v>
      </c>
      <c r="AB19" s="1412">
        <f t="shared" si="14"/>
        <v>0</v>
      </c>
      <c r="AC19" s="1412">
        <v>0</v>
      </c>
      <c r="AD19" s="1412">
        <v>0</v>
      </c>
      <c r="AE19" s="1412">
        <f t="shared" si="15"/>
        <v>0</v>
      </c>
      <c r="AF19" s="1412">
        <v>0</v>
      </c>
      <c r="AG19" s="1412">
        <v>0</v>
      </c>
      <c r="AH19" s="1412">
        <f t="shared" si="16"/>
        <v>0</v>
      </c>
      <c r="AI19" s="1412">
        <f t="shared" si="17"/>
        <v>0</v>
      </c>
      <c r="AJ19" s="1405">
        <v>0</v>
      </c>
      <c r="AK19" s="1405">
        <v>0</v>
      </c>
      <c r="AL19" s="1405">
        <f t="shared" si="18"/>
        <v>0</v>
      </c>
      <c r="AM19" s="1405">
        <v>0</v>
      </c>
      <c r="AN19" s="1405">
        <v>0</v>
      </c>
      <c r="AO19" s="1395">
        <f t="shared" si="19"/>
        <v>0</v>
      </c>
      <c r="AP19" s="981">
        <f t="shared" si="20"/>
        <v>0</v>
      </c>
      <c r="AQ19" s="981"/>
      <c r="AR19" s="981"/>
      <c r="AS19" s="981">
        <f t="shared" si="21"/>
        <v>0</v>
      </c>
      <c r="AT19" s="981"/>
      <c r="AU19" s="981"/>
      <c r="AV19" s="981">
        <f t="shared" si="22"/>
        <v>0</v>
      </c>
      <c r="AW19" s="981">
        <f t="shared" si="23"/>
        <v>0</v>
      </c>
      <c r="AX19" s="981"/>
      <c r="AY19" s="981"/>
      <c r="AZ19" s="981">
        <f t="shared" si="24"/>
        <v>0</v>
      </c>
      <c r="BA19" s="981"/>
      <c r="BB19" s="981"/>
      <c r="BC19" s="981"/>
      <c r="BD19" s="981"/>
      <c r="BE19" s="981"/>
      <c r="BF19" s="981"/>
      <c r="BG19" s="981"/>
      <c r="BH19" s="981"/>
      <c r="BI19" s="981"/>
      <c r="BJ19" s="981"/>
      <c r="BK19" s="981"/>
      <c r="BL19" s="981"/>
      <c r="BM19" s="981"/>
      <c r="BN19" s="981"/>
      <c r="BO19" s="981"/>
      <c r="BP19" s="981"/>
    </row>
    <row r="20" spans="1:68" ht="14.1" customHeight="1">
      <c r="A20" s="1409">
        <v>6</v>
      </c>
      <c r="B20" s="1410" t="s">
        <v>2055</v>
      </c>
      <c r="C20" s="1411">
        <f t="shared" si="2"/>
        <v>360</v>
      </c>
      <c r="D20" s="1405">
        <f t="shared" si="3"/>
        <v>0</v>
      </c>
      <c r="E20" s="1411">
        <f t="shared" si="4"/>
        <v>360</v>
      </c>
      <c r="F20" s="1411"/>
      <c r="G20" s="1411"/>
      <c r="H20" s="1411"/>
      <c r="I20" s="1411">
        <v>360</v>
      </c>
      <c r="J20" s="1411">
        <f>+K20+L20</f>
        <v>297.64547599999997</v>
      </c>
      <c r="K20" s="1412">
        <f t="shared" si="6"/>
        <v>0</v>
      </c>
      <c r="L20" s="1413">
        <f t="shared" si="7"/>
        <v>297.64547599999997</v>
      </c>
      <c r="M20" s="1412">
        <f t="shared" si="8"/>
        <v>0</v>
      </c>
      <c r="N20" s="1405">
        <f t="shared" si="9"/>
        <v>0</v>
      </c>
      <c r="O20" s="1405">
        <v>0</v>
      </c>
      <c r="P20" s="1405">
        <v>0</v>
      </c>
      <c r="Q20" s="1412">
        <f t="shared" si="25"/>
        <v>0</v>
      </c>
      <c r="R20" s="1412">
        <v>0</v>
      </c>
      <c r="S20" s="1412">
        <v>0</v>
      </c>
      <c r="T20" s="1414">
        <f t="shared" si="10"/>
        <v>297.64547599999997</v>
      </c>
      <c r="U20" s="1412">
        <f t="shared" si="11"/>
        <v>0</v>
      </c>
      <c r="V20" s="1412">
        <v>0</v>
      </c>
      <c r="W20" s="1412">
        <v>0</v>
      </c>
      <c r="X20" s="1414">
        <f t="shared" si="12"/>
        <v>297.64547599999997</v>
      </c>
      <c r="Y20" s="1414">
        <v>297.64547599999997</v>
      </c>
      <c r="Z20" s="1412">
        <v>0</v>
      </c>
      <c r="AA20" s="1412">
        <f t="shared" si="13"/>
        <v>0</v>
      </c>
      <c r="AB20" s="1412">
        <f t="shared" si="14"/>
        <v>0</v>
      </c>
      <c r="AC20" s="1412">
        <v>0</v>
      </c>
      <c r="AD20" s="1412">
        <v>0</v>
      </c>
      <c r="AE20" s="1412">
        <f t="shared" si="15"/>
        <v>0</v>
      </c>
      <c r="AF20" s="1412">
        <v>0</v>
      </c>
      <c r="AG20" s="1412">
        <v>0</v>
      </c>
      <c r="AH20" s="1412">
        <f t="shared" si="16"/>
        <v>0</v>
      </c>
      <c r="AI20" s="1412">
        <f t="shared" si="17"/>
        <v>0</v>
      </c>
      <c r="AJ20" s="1405">
        <v>0</v>
      </c>
      <c r="AK20" s="1405">
        <v>0</v>
      </c>
      <c r="AL20" s="1405">
        <f t="shared" si="18"/>
        <v>0</v>
      </c>
      <c r="AM20" s="1405">
        <v>0</v>
      </c>
      <c r="AN20" s="1405">
        <v>0</v>
      </c>
      <c r="AO20" s="1395">
        <f t="shared" si="19"/>
        <v>0</v>
      </c>
      <c r="AP20" s="981">
        <f t="shared" si="20"/>
        <v>0</v>
      </c>
      <c r="AQ20" s="981"/>
      <c r="AR20" s="981"/>
      <c r="AS20" s="981">
        <f t="shared" si="21"/>
        <v>0</v>
      </c>
      <c r="AT20" s="981"/>
      <c r="AU20" s="981"/>
      <c r="AV20" s="981">
        <f t="shared" si="22"/>
        <v>0</v>
      </c>
      <c r="AW20" s="981">
        <f t="shared" si="23"/>
        <v>0</v>
      </c>
      <c r="AX20" s="981"/>
      <c r="AY20" s="981"/>
      <c r="AZ20" s="981">
        <f t="shared" si="24"/>
        <v>0</v>
      </c>
      <c r="BA20" s="981"/>
      <c r="BB20" s="981"/>
      <c r="BC20" s="981"/>
      <c r="BD20" s="981"/>
      <c r="BE20" s="981"/>
      <c r="BF20" s="981"/>
      <c r="BG20" s="981"/>
      <c r="BH20" s="981"/>
      <c r="BI20" s="981"/>
      <c r="BJ20" s="981"/>
      <c r="BK20" s="981"/>
      <c r="BL20" s="981"/>
      <c r="BM20" s="981"/>
      <c r="BN20" s="981"/>
      <c r="BO20" s="981"/>
      <c r="BP20" s="981"/>
    </row>
    <row r="21" spans="1:68" ht="21.95" customHeight="1">
      <c r="A21" s="1409">
        <v>7</v>
      </c>
      <c r="B21" s="1410" t="s">
        <v>2735</v>
      </c>
      <c r="C21" s="1412">
        <f t="shared" si="2"/>
        <v>0</v>
      </c>
      <c r="D21" s="1405">
        <f t="shared" si="3"/>
        <v>0</v>
      </c>
      <c r="E21" s="1411">
        <f t="shared" si="4"/>
        <v>0</v>
      </c>
      <c r="F21" s="1411"/>
      <c r="G21" s="1411"/>
      <c r="H21" s="1411"/>
      <c r="I21" s="1411"/>
      <c r="J21" s="1411">
        <f>+K21+L21</f>
        <v>54</v>
      </c>
      <c r="K21" s="1415">
        <f t="shared" si="6"/>
        <v>54</v>
      </c>
      <c r="L21" s="1412">
        <f t="shared" si="7"/>
        <v>0</v>
      </c>
      <c r="M21" s="1412">
        <f>+N21+Q21</f>
        <v>0</v>
      </c>
      <c r="N21" s="1405">
        <f t="shared" si="9"/>
        <v>0</v>
      </c>
      <c r="O21" s="1405">
        <v>0</v>
      </c>
      <c r="P21" s="1405">
        <v>0</v>
      </c>
      <c r="Q21" s="1412">
        <f t="shared" si="25"/>
        <v>0</v>
      </c>
      <c r="R21" s="1412">
        <v>0</v>
      </c>
      <c r="S21" s="1412">
        <v>0</v>
      </c>
      <c r="T21" s="1414">
        <f t="shared" si="10"/>
        <v>0</v>
      </c>
      <c r="U21" s="1412">
        <f t="shared" si="11"/>
        <v>0</v>
      </c>
      <c r="V21" s="1412">
        <v>0</v>
      </c>
      <c r="W21" s="1412">
        <v>0</v>
      </c>
      <c r="X21" s="1412">
        <f t="shared" si="12"/>
        <v>0</v>
      </c>
      <c r="Y21" s="1412">
        <v>0</v>
      </c>
      <c r="Z21" s="1412">
        <v>0</v>
      </c>
      <c r="AA21" s="1412">
        <f t="shared" si="13"/>
        <v>0</v>
      </c>
      <c r="AB21" s="1412">
        <f t="shared" si="14"/>
        <v>0</v>
      </c>
      <c r="AC21" s="1412">
        <v>0</v>
      </c>
      <c r="AD21" s="1412">
        <v>0</v>
      </c>
      <c r="AE21" s="1412">
        <f>+AF21+AG21</f>
        <v>0</v>
      </c>
      <c r="AF21" s="1412">
        <v>0</v>
      </c>
      <c r="AG21" s="1412">
        <v>0</v>
      </c>
      <c r="AH21" s="1414">
        <f t="shared" si="16"/>
        <v>54</v>
      </c>
      <c r="AI21" s="1414">
        <f t="shared" si="17"/>
        <v>54</v>
      </c>
      <c r="AJ21" s="1414">
        <v>54</v>
      </c>
      <c r="AK21" s="1405">
        <v>0</v>
      </c>
      <c r="AL21" s="1405">
        <f t="shared" si="18"/>
        <v>0</v>
      </c>
      <c r="AM21" s="1405">
        <v>0</v>
      </c>
      <c r="AN21" s="1405">
        <v>0</v>
      </c>
      <c r="AO21" s="1395">
        <f t="shared" si="19"/>
        <v>0</v>
      </c>
      <c r="AP21" s="981">
        <f t="shared" si="20"/>
        <v>0</v>
      </c>
      <c r="AQ21" s="981"/>
      <c r="AR21" s="981"/>
      <c r="AS21" s="981">
        <f t="shared" si="21"/>
        <v>0</v>
      </c>
      <c r="AT21" s="981"/>
      <c r="AU21" s="981"/>
      <c r="AV21" s="981">
        <f t="shared" si="22"/>
        <v>0</v>
      </c>
      <c r="AW21" s="981">
        <f t="shared" si="23"/>
        <v>0</v>
      </c>
      <c r="AX21" s="981"/>
      <c r="AY21" s="981"/>
      <c r="AZ21" s="981">
        <f t="shared" si="24"/>
        <v>0</v>
      </c>
      <c r="BA21" s="981"/>
      <c r="BB21" s="981"/>
      <c r="BC21" s="981"/>
      <c r="BD21" s="981"/>
      <c r="BE21" s="981"/>
      <c r="BF21" s="981"/>
      <c r="BG21" s="981"/>
      <c r="BH21" s="981"/>
      <c r="BI21" s="981"/>
      <c r="BJ21" s="981"/>
      <c r="BK21" s="981"/>
      <c r="BL21" s="981"/>
      <c r="BM21" s="981"/>
      <c r="BN21" s="981"/>
      <c r="BO21" s="981"/>
      <c r="BP21" s="981"/>
    </row>
    <row r="22" spans="1:68" ht="21.95" customHeight="1">
      <c r="A22" s="1409">
        <v>8</v>
      </c>
      <c r="B22" s="1410" t="s">
        <v>2736</v>
      </c>
      <c r="C22" s="1412">
        <f t="shared" si="2"/>
        <v>0</v>
      </c>
      <c r="D22" s="1405">
        <f t="shared" si="3"/>
        <v>0</v>
      </c>
      <c r="E22" s="1411">
        <f t="shared" si="4"/>
        <v>0</v>
      </c>
      <c r="F22" s="1411"/>
      <c r="G22" s="1411"/>
      <c r="H22" s="1411"/>
      <c r="I22" s="1411"/>
      <c r="J22" s="1411">
        <f t="shared" si="5"/>
        <v>36</v>
      </c>
      <c r="K22" s="1415">
        <f t="shared" si="6"/>
        <v>36</v>
      </c>
      <c r="L22" s="1412">
        <f t="shared" si="7"/>
        <v>0</v>
      </c>
      <c r="M22" s="1412">
        <f t="shared" si="8"/>
        <v>0</v>
      </c>
      <c r="N22" s="1405">
        <f t="shared" si="9"/>
        <v>0</v>
      </c>
      <c r="O22" s="1405">
        <v>0</v>
      </c>
      <c r="P22" s="1405">
        <v>0</v>
      </c>
      <c r="Q22" s="1412">
        <f>+R22+S22</f>
        <v>0</v>
      </c>
      <c r="R22" s="1412">
        <v>0</v>
      </c>
      <c r="S22" s="1412">
        <v>0</v>
      </c>
      <c r="T22" s="1414">
        <f t="shared" si="10"/>
        <v>0</v>
      </c>
      <c r="U22" s="1412">
        <f t="shared" si="11"/>
        <v>0</v>
      </c>
      <c r="V22" s="1412">
        <v>0</v>
      </c>
      <c r="W22" s="1412">
        <v>0</v>
      </c>
      <c r="X22" s="1412">
        <f t="shared" si="12"/>
        <v>0</v>
      </c>
      <c r="Y22" s="1412">
        <v>0</v>
      </c>
      <c r="Z22" s="1412">
        <v>0</v>
      </c>
      <c r="AA22" s="1412">
        <f t="shared" si="13"/>
        <v>0</v>
      </c>
      <c r="AB22" s="1412">
        <f t="shared" si="14"/>
        <v>0</v>
      </c>
      <c r="AC22" s="1412">
        <v>0</v>
      </c>
      <c r="AD22" s="1412">
        <v>0</v>
      </c>
      <c r="AE22" s="1412">
        <f t="shared" si="15"/>
        <v>0</v>
      </c>
      <c r="AF22" s="1412">
        <v>0</v>
      </c>
      <c r="AG22" s="1412">
        <v>0</v>
      </c>
      <c r="AH22" s="1414">
        <f t="shared" si="16"/>
        <v>36</v>
      </c>
      <c r="AI22" s="1414">
        <f t="shared" si="17"/>
        <v>36</v>
      </c>
      <c r="AJ22" s="1414">
        <v>36</v>
      </c>
      <c r="AK22" s="1405">
        <v>0</v>
      </c>
      <c r="AL22" s="1405">
        <f>+AM22+AN22</f>
        <v>0</v>
      </c>
      <c r="AM22" s="1405">
        <v>0</v>
      </c>
      <c r="AN22" s="1405">
        <v>0</v>
      </c>
      <c r="AO22" s="1395">
        <f t="shared" si="19"/>
        <v>0</v>
      </c>
      <c r="AP22" s="981">
        <f t="shared" si="20"/>
        <v>0</v>
      </c>
      <c r="AQ22" s="981"/>
      <c r="AR22" s="981"/>
      <c r="AS22" s="981">
        <f t="shared" si="21"/>
        <v>0</v>
      </c>
      <c r="AT22" s="981"/>
      <c r="AU22" s="981"/>
      <c r="AV22" s="981">
        <f t="shared" si="22"/>
        <v>0</v>
      </c>
      <c r="AW22" s="981">
        <f t="shared" si="23"/>
        <v>0</v>
      </c>
      <c r="AX22" s="981"/>
      <c r="AY22" s="981"/>
      <c r="AZ22" s="981">
        <f t="shared" si="24"/>
        <v>0</v>
      </c>
      <c r="BA22" s="981"/>
      <c r="BB22" s="981"/>
      <c r="BC22" s="981"/>
      <c r="BD22" s="981"/>
      <c r="BE22" s="981"/>
      <c r="BF22" s="981"/>
      <c r="BG22" s="981"/>
      <c r="BH22" s="981"/>
      <c r="BI22" s="981"/>
      <c r="BJ22" s="981"/>
      <c r="BK22" s="981"/>
      <c r="BL22" s="981"/>
      <c r="BM22" s="981"/>
      <c r="BN22" s="981"/>
      <c r="BO22" s="981"/>
      <c r="BP22" s="981"/>
    </row>
    <row r="23" spans="1:68" ht="21.95" customHeight="1">
      <c r="A23" s="1409">
        <v>9</v>
      </c>
      <c r="B23" s="1410" t="s">
        <v>2737</v>
      </c>
      <c r="C23" s="1412">
        <f t="shared" si="2"/>
        <v>0</v>
      </c>
      <c r="D23" s="1405">
        <f t="shared" si="3"/>
        <v>0</v>
      </c>
      <c r="E23" s="1411">
        <f t="shared" si="4"/>
        <v>0</v>
      </c>
      <c r="F23" s="1411"/>
      <c r="G23" s="1411"/>
      <c r="H23" s="1411"/>
      <c r="I23" s="1411"/>
      <c r="J23" s="1411">
        <f t="shared" si="5"/>
        <v>30</v>
      </c>
      <c r="K23" s="1415">
        <f t="shared" si="6"/>
        <v>30</v>
      </c>
      <c r="L23" s="1412">
        <f t="shared" si="7"/>
        <v>0</v>
      </c>
      <c r="M23" s="1412">
        <f t="shared" si="8"/>
        <v>0</v>
      </c>
      <c r="N23" s="1405">
        <f t="shared" si="9"/>
        <v>0</v>
      </c>
      <c r="O23" s="1405">
        <v>0</v>
      </c>
      <c r="P23" s="1405">
        <v>0</v>
      </c>
      <c r="Q23" s="1412">
        <f t="shared" si="25"/>
        <v>0</v>
      </c>
      <c r="R23" s="1412">
        <v>0</v>
      </c>
      <c r="S23" s="1412">
        <v>0</v>
      </c>
      <c r="T23" s="1414">
        <f>+U23+X23</f>
        <v>0</v>
      </c>
      <c r="U23" s="1412">
        <f>+V23+W23</f>
        <v>0</v>
      </c>
      <c r="V23" s="1412">
        <v>0</v>
      </c>
      <c r="W23" s="1412">
        <v>0</v>
      </c>
      <c r="X23" s="1412">
        <f t="shared" si="12"/>
        <v>0</v>
      </c>
      <c r="Y23" s="1412">
        <v>0</v>
      </c>
      <c r="Z23" s="1412">
        <v>0</v>
      </c>
      <c r="AA23" s="1412">
        <f t="shared" si="13"/>
        <v>0</v>
      </c>
      <c r="AB23" s="1412">
        <f t="shared" si="14"/>
        <v>0</v>
      </c>
      <c r="AC23" s="1412">
        <v>0</v>
      </c>
      <c r="AD23" s="1412">
        <v>0</v>
      </c>
      <c r="AE23" s="1412">
        <f t="shared" si="15"/>
        <v>0</v>
      </c>
      <c r="AF23" s="1412">
        <v>0</v>
      </c>
      <c r="AG23" s="1412">
        <v>0</v>
      </c>
      <c r="AH23" s="1414">
        <f t="shared" si="16"/>
        <v>30</v>
      </c>
      <c r="AI23" s="1414">
        <f t="shared" si="17"/>
        <v>30</v>
      </c>
      <c r="AJ23" s="1414">
        <v>30</v>
      </c>
      <c r="AK23" s="1405">
        <v>0</v>
      </c>
      <c r="AL23" s="1405">
        <f t="shared" si="18"/>
        <v>0</v>
      </c>
      <c r="AM23" s="1405">
        <v>0</v>
      </c>
      <c r="AN23" s="1405">
        <v>0</v>
      </c>
      <c r="AO23" s="1395">
        <f t="shared" si="19"/>
        <v>0</v>
      </c>
      <c r="AP23" s="981">
        <f t="shared" si="20"/>
        <v>0</v>
      </c>
      <c r="AQ23" s="981"/>
      <c r="AR23" s="981"/>
      <c r="AS23" s="981">
        <f t="shared" si="21"/>
        <v>0</v>
      </c>
      <c r="AT23" s="981"/>
      <c r="AU23" s="981"/>
      <c r="AV23" s="981">
        <f t="shared" si="22"/>
        <v>0</v>
      </c>
      <c r="AW23" s="981">
        <f t="shared" si="23"/>
        <v>0</v>
      </c>
      <c r="AX23" s="981"/>
      <c r="AY23" s="981"/>
      <c r="AZ23" s="981">
        <f t="shared" si="24"/>
        <v>0</v>
      </c>
      <c r="BA23" s="981"/>
      <c r="BB23" s="981"/>
      <c r="BC23" s="981"/>
      <c r="BD23" s="981"/>
      <c r="BE23" s="981"/>
      <c r="BF23" s="981"/>
      <c r="BG23" s="981"/>
      <c r="BH23" s="981"/>
      <c r="BI23" s="981"/>
      <c r="BJ23" s="981"/>
      <c r="BK23" s="981"/>
      <c r="BL23" s="981"/>
      <c r="BM23" s="981"/>
      <c r="BN23" s="981"/>
      <c r="BO23" s="981"/>
      <c r="BP23" s="981"/>
    </row>
    <row r="24" spans="1:68" ht="21.95" customHeight="1">
      <c r="A24" s="1409">
        <v>10</v>
      </c>
      <c r="B24" s="1410" t="s">
        <v>2738</v>
      </c>
      <c r="C24" s="1412">
        <f t="shared" si="2"/>
        <v>0</v>
      </c>
      <c r="D24" s="1405">
        <f t="shared" si="3"/>
        <v>0</v>
      </c>
      <c r="E24" s="1411">
        <f t="shared" si="4"/>
        <v>0</v>
      </c>
      <c r="F24" s="1411"/>
      <c r="G24" s="1411"/>
      <c r="H24" s="1411"/>
      <c r="I24" s="1411"/>
      <c r="J24" s="1411">
        <f t="shared" si="5"/>
        <v>41.097000000000001</v>
      </c>
      <c r="K24" s="1415">
        <f t="shared" si="6"/>
        <v>41.097000000000001</v>
      </c>
      <c r="L24" s="1412">
        <f t="shared" si="7"/>
        <v>0</v>
      </c>
      <c r="M24" s="1412">
        <f t="shared" si="8"/>
        <v>0</v>
      </c>
      <c r="N24" s="1405">
        <f t="shared" si="9"/>
        <v>0</v>
      </c>
      <c r="O24" s="1405">
        <v>0</v>
      </c>
      <c r="P24" s="1405">
        <v>0</v>
      </c>
      <c r="Q24" s="1412">
        <f t="shared" si="25"/>
        <v>0</v>
      </c>
      <c r="R24" s="1412">
        <v>0</v>
      </c>
      <c r="S24" s="1412">
        <v>0</v>
      </c>
      <c r="T24" s="1414">
        <f t="shared" si="10"/>
        <v>41.097000000000001</v>
      </c>
      <c r="U24" s="1414">
        <f t="shared" si="11"/>
        <v>41.097000000000001</v>
      </c>
      <c r="V24" s="1414">
        <v>41.097000000000001</v>
      </c>
      <c r="W24" s="1412">
        <v>0</v>
      </c>
      <c r="X24" s="1412">
        <f>+Y24+Z24</f>
        <v>0</v>
      </c>
      <c r="Y24" s="1412">
        <v>0</v>
      </c>
      <c r="Z24" s="1412">
        <v>0</v>
      </c>
      <c r="AA24" s="1412">
        <f t="shared" si="13"/>
        <v>0</v>
      </c>
      <c r="AB24" s="1412">
        <f t="shared" si="14"/>
        <v>0</v>
      </c>
      <c r="AC24" s="1412">
        <v>0</v>
      </c>
      <c r="AD24" s="1412">
        <v>0</v>
      </c>
      <c r="AE24" s="1412">
        <f t="shared" si="15"/>
        <v>0</v>
      </c>
      <c r="AF24" s="1412">
        <v>0</v>
      </c>
      <c r="AG24" s="1412">
        <v>0</v>
      </c>
      <c r="AH24" s="1414">
        <f t="shared" si="16"/>
        <v>0</v>
      </c>
      <c r="AI24" s="1414">
        <f t="shared" si="17"/>
        <v>0</v>
      </c>
      <c r="AJ24" s="1414">
        <v>0</v>
      </c>
      <c r="AK24" s="1405">
        <v>0</v>
      </c>
      <c r="AL24" s="1405">
        <f t="shared" si="18"/>
        <v>0</v>
      </c>
      <c r="AM24" s="1405">
        <v>0</v>
      </c>
      <c r="AN24" s="1405">
        <v>0</v>
      </c>
      <c r="AO24" s="1395">
        <f t="shared" si="19"/>
        <v>0</v>
      </c>
      <c r="AP24" s="981">
        <f t="shared" si="20"/>
        <v>0</v>
      </c>
      <c r="AQ24" s="981"/>
      <c r="AR24" s="981"/>
      <c r="AS24" s="981">
        <f t="shared" si="21"/>
        <v>0</v>
      </c>
      <c r="AT24" s="981"/>
      <c r="AU24" s="981"/>
      <c r="AV24" s="981">
        <f t="shared" si="22"/>
        <v>0</v>
      </c>
      <c r="AW24" s="981">
        <f t="shared" si="23"/>
        <v>0</v>
      </c>
      <c r="AX24" s="981"/>
      <c r="AY24" s="981"/>
      <c r="AZ24" s="981">
        <f t="shared" si="24"/>
        <v>0</v>
      </c>
      <c r="BA24" s="981"/>
      <c r="BB24" s="981"/>
      <c r="BC24" s="981"/>
      <c r="BD24" s="981"/>
      <c r="BE24" s="981"/>
      <c r="BF24" s="981"/>
      <c r="BG24" s="981"/>
      <c r="BH24" s="981"/>
      <c r="BI24" s="981"/>
      <c r="BJ24" s="981"/>
      <c r="BK24" s="981"/>
      <c r="BL24" s="981"/>
      <c r="BM24" s="981"/>
      <c r="BN24" s="981"/>
      <c r="BO24" s="981"/>
      <c r="BP24" s="981"/>
    </row>
    <row r="25" spans="1:68" ht="14.1" customHeight="1">
      <c r="A25" s="1409">
        <v>11</v>
      </c>
      <c r="B25" s="1410" t="s">
        <v>2739</v>
      </c>
      <c r="C25" s="1412">
        <f t="shared" si="2"/>
        <v>0</v>
      </c>
      <c r="D25" s="1405">
        <f t="shared" si="3"/>
        <v>0</v>
      </c>
      <c r="E25" s="1411">
        <f t="shared" si="4"/>
        <v>0</v>
      </c>
      <c r="F25" s="1411"/>
      <c r="G25" s="1411"/>
      <c r="H25" s="1411"/>
      <c r="I25" s="1411"/>
      <c r="J25" s="1411">
        <f t="shared" si="5"/>
        <v>20</v>
      </c>
      <c r="K25" s="1415">
        <f t="shared" si="6"/>
        <v>20</v>
      </c>
      <c r="L25" s="1412">
        <f t="shared" si="7"/>
        <v>0</v>
      </c>
      <c r="M25" s="1412">
        <f t="shared" si="8"/>
        <v>0</v>
      </c>
      <c r="N25" s="1405">
        <f t="shared" si="9"/>
        <v>0</v>
      </c>
      <c r="O25" s="1405">
        <v>0</v>
      </c>
      <c r="P25" s="1405">
        <v>0</v>
      </c>
      <c r="Q25" s="1412">
        <f t="shared" si="25"/>
        <v>0</v>
      </c>
      <c r="R25" s="1412">
        <v>0</v>
      </c>
      <c r="S25" s="1412">
        <v>0</v>
      </c>
      <c r="T25" s="1414">
        <f t="shared" si="10"/>
        <v>0</v>
      </c>
      <c r="U25" s="1414">
        <f t="shared" si="11"/>
        <v>0</v>
      </c>
      <c r="V25" s="1414">
        <v>0</v>
      </c>
      <c r="W25" s="1412">
        <v>0</v>
      </c>
      <c r="X25" s="1412">
        <f t="shared" si="12"/>
        <v>0</v>
      </c>
      <c r="Y25" s="1412">
        <v>0</v>
      </c>
      <c r="Z25" s="1412">
        <v>0</v>
      </c>
      <c r="AA25" s="1412">
        <f t="shared" si="13"/>
        <v>0</v>
      </c>
      <c r="AB25" s="1412">
        <f t="shared" si="14"/>
        <v>0</v>
      </c>
      <c r="AC25" s="1412">
        <v>0</v>
      </c>
      <c r="AD25" s="1412">
        <v>0</v>
      </c>
      <c r="AE25" s="1412">
        <f t="shared" si="15"/>
        <v>0</v>
      </c>
      <c r="AF25" s="1412">
        <v>0</v>
      </c>
      <c r="AG25" s="1412">
        <v>0</v>
      </c>
      <c r="AH25" s="1414">
        <f t="shared" si="16"/>
        <v>20</v>
      </c>
      <c r="AI25" s="1414">
        <f t="shared" si="17"/>
        <v>20</v>
      </c>
      <c r="AJ25" s="1414">
        <v>20</v>
      </c>
      <c r="AK25" s="1405">
        <v>0</v>
      </c>
      <c r="AL25" s="1405">
        <f t="shared" si="18"/>
        <v>0</v>
      </c>
      <c r="AM25" s="1405">
        <v>0</v>
      </c>
      <c r="AN25" s="1405">
        <v>0</v>
      </c>
      <c r="AO25" s="1395">
        <f t="shared" si="19"/>
        <v>0</v>
      </c>
      <c r="AP25" s="981">
        <f t="shared" si="20"/>
        <v>0</v>
      </c>
      <c r="AQ25" s="981"/>
      <c r="AR25" s="981"/>
      <c r="AS25" s="981">
        <f t="shared" si="21"/>
        <v>0</v>
      </c>
      <c r="AT25" s="981"/>
      <c r="AU25" s="981"/>
      <c r="AV25" s="981">
        <f t="shared" si="22"/>
        <v>0</v>
      </c>
      <c r="AW25" s="981">
        <f t="shared" si="23"/>
        <v>0</v>
      </c>
      <c r="AX25" s="981"/>
      <c r="AY25" s="981"/>
      <c r="AZ25" s="981">
        <f t="shared" si="24"/>
        <v>0</v>
      </c>
      <c r="BA25" s="981"/>
      <c r="BB25" s="981"/>
      <c r="BC25" s="981"/>
      <c r="BD25" s="981"/>
      <c r="BE25" s="981"/>
      <c r="BF25" s="981"/>
      <c r="BG25" s="981"/>
      <c r="BH25" s="981"/>
      <c r="BI25" s="981"/>
      <c r="BJ25" s="981"/>
      <c r="BK25" s="981"/>
      <c r="BL25" s="981"/>
      <c r="BM25" s="981"/>
      <c r="BN25" s="981"/>
      <c r="BO25" s="981"/>
      <c r="BP25" s="981"/>
    </row>
    <row r="26" spans="1:68" ht="14.1" customHeight="1">
      <c r="A26" s="1409">
        <v>12</v>
      </c>
      <c r="B26" s="1410" t="s">
        <v>2971</v>
      </c>
      <c r="C26" s="1411">
        <f t="shared" si="2"/>
        <v>200</v>
      </c>
      <c r="D26" s="1405">
        <f t="shared" si="3"/>
        <v>0</v>
      </c>
      <c r="E26" s="1411">
        <f t="shared" si="4"/>
        <v>200</v>
      </c>
      <c r="F26" s="1411"/>
      <c r="G26" s="1411"/>
      <c r="H26" s="1411"/>
      <c r="I26" s="1411">
        <v>200</v>
      </c>
      <c r="J26" s="1411">
        <f t="shared" si="5"/>
        <v>198.27</v>
      </c>
      <c r="K26" s="1415">
        <f t="shared" si="6"/>
        <v>0</v>
      </c>
      <c r="L26" s="1413">
        <f t="shared" si="7"/>
        <v>198.27</v>
      </c>
      <c r="M26" s="1412">
        <f t="shared" si="8"/>
        <v>0</v>
      </c>
      <c r="N26" s="1405">
        <f t="shared" si="9"/>
        <v>0</v>
      </c>
      <c r="O26" s="1405">
        <v>0</v>
      </c>
      <c r="P26" s="1405">
        <v>0</v>
      </c>
      <c r="Q26" s="1412">
        <f t="shared" si="25"/>
        <v>0</v>
      </c>
      <c r="R26" s="1412">
        <v>0</v>
      </c>
      <c r="S26" s="1412">
        <v>0</v>
      </c>
      <c r="T26" s="1414">
        <f t="shared" si="10"/>
        <v>198.27</v>
      </c>
      <c r="U26" s="1414">
        <f t="shared" si="11"/>
        <v>0</v>
      </c>
      <c r="V26" s="1414">
        <v>0</v>
      </c>
      <c r="W26" s="1414">
        <v>0</v>
      </c>
      <c r="X26" s="1414">
        <f t="shared" si="12"/>
        <v>198.27</v>
      </c>
      <c r="Y26" s="1414">
        <v>198.27</v>
      </c>
      <c r="Z26" s="1412">
        <v>0</v>
      </c>
      <c r="AA26" s="1412">
        <f t="shared" si="13"/>
        <v>0</v>
      </c>
      <c r="AB26" s="1412">
        <f t="shared" si="14"/>
        <v>0</v>
      </c>
      <c r="AC26" s="1412">
        <v>0</v>
      </c>
      <c r="AD26" s="1412">
        <v>0</v>
      </c>
      <c r="AE26" s="1412">
        <f t="shared" si="15"/>
        <v>0</v>
      </c>
      <c r="AF26" s="1412">
        <v>0</v>
      </c>
      <c r="AG26" s="1412">
        <v>0</v>
      </c>
      <c r="AH26" s="1412">
        <f t="shared" si="16"/>
        <v>0</v>
      </c>
      <c r="AI26" s="1412">
        <f t="shared" si="17"/>
        <v>0</v>
      </c>
      <c r="AJ26" s="1412">
        <v>0</v>
      </c>
      <c r="AK26" s="1405">
        <v>0</v>
      </c>
      <c r="AL26" s="1405">
        <f t="shared" si="18"/>
        <v>0</v>
      </c>
      <c r="AM26" s="1405">
        <v>0</v>
      </c>
      <c r="AN26" s="1405">
        <v>0</v>
      </c>
      <c r="AO26" s="1395">
        <f t="shared" si="19"/>
        <v>0</v>
      </c>
      <c r="AP26" s="981">
        <f t="shared" si="20"/>
        <v>0</v>
      </c>
      <c r="AQ26" s="981"/>
      <c r="AR26" s="981"/>
      <c r="AS26" s="981">
        <f t="shared" si="21"/>
        <v>0</v>
      </c>
      <c r="AT26" s="981"/>
      <c r="AU26" s="981"/>
      <c r="AV26" s="981">
        <f t="shared" si="22"/>
        <v>0</v>
      </c>
      <c r="AW26" s="981">
        <f t="shared" si="23"/>
        <v>0</v>
      </c>
      <c r="AX26" s="981"/>
      <c r="AY26" s="981"/>
      <c r="AZ26" s="981">
        <f t="shared" si="24"/>
        <v>0</v>
      </c>
      <c r="BA26" s="981"/>
      <c r="BB26" s="981"/>
      <c r="BC26" s="981"/>
      <c r="BD26" s="981"/>
      <c r="BE26" s="981"/>
      <c r="BF26" s="981"/>
      <c r="BG26" s="981"/>
      <c r="BH26" s="981"/>
      <c r="BI26" s="981"/>
      <c r="BJ26" s="981"/>
      <c r="BK26" s="981"/>
      <c r="BL26" s="981"/>
      <c r="BM26" s="981"/>
      <c r="BN26" s="981"/>
      <c r="BO26" s="981"/>
      <c r="BP26" s="981"/>
    </row>
    <row r="27" spans="1:68" ht="14.1" customHeight="1">
      <c r="A27" s="1409">
        <v>13</v>
      </c>
      <c r="B27" s="1410" t="s">
        <v>2961</v>
      </c>
      <c r="C27" s="1411">
        <f t="shared" si="2"/>
        <v>0</v>
      </c>
      <c r="D27" s="1405">
        <f t="shared" si="3"/>
        <v>0</v>
      </c>
      <c r="E27" s="1411">
        <f t="shared" si="4"/>
        <v>0</v>
      </c>
      <c r="F27" s="1411"/>
      <c r="G27" s="1411"/>
      <c r="H27" s="1411"/>
      <c r="I27" s="1411"/>
      <c r="J27" s="1411">
        <f t="shared" si="5"/>
        <v>748.77549999999997</v>
      </c>
      <c r="K27" s="1405">
        <f t="shared" si="6"/>
        <v>0</v>
      </c>
      <c r="L27" s="1413">
        <f t="shared" si="7"/>
        <v>748.77549999999997</v>
      </c>
      <c r="M27" s="1412">
        <f t="shared" si="8"/>
        <v>0</v>
      </c>
      <c r="N27" s="1405">
        <f t="shared" si="9"/>
        <v>0</v>
      </c>
      <c r="O27" s="1405">
        <v>0</v>
      </c>
      <c r="P27" s="1405">
        <v>0</v>
      </c>
      <c r="Q27" s="1412">
        <f t="shared" si="25"/>
        <v>0</v>
      </c>
      <c r="R27" s="1412">
        <v>0</v>
      </c>
      <c r="S27" s="1412">
        <v>0</v>
      </c>
      <c r="T27" s="1414">
        <f t="shared" si="10"/>
        <v>748.77549999999997</v>
      </c>
      <c r="U27" s="1414">
        <f t="shared" si="11"/>
        <v>0</v>
      </c>
      <c r="V27" s="1414">
        <v>0</v>
      </c>
      <c r="W27" s="1414">
        <v>0</v>
      </c>
      <c r="X27" s="1414">
        <f>+Y27+Z27</f>
        <v>748.77549999999997</v>
      </c>
      <c r="Y27" s="1414">
        <v>748.77549999999997</v>
      </c>
      <c r="Z27" s="1412">
        <v>0</v>
      </c>
      <c r="AA27" s="1412">
        <f t="shared" si="13"/>
        <v>0</v>
      </c>
      <c r="AB27" s="1412">
        <f t="shared" si="14"/>
        <v>0</v>
      </c>
      <c r="AC27" s="1412">
        <v>0</v>
      </c>
      <c r="AD27" s="1412">
        <v>0</v>
      </c>
      <c r="AE27" s="1412">
        <f t="shared" si="15"/>
        <v>0</v>
      </c>
      <c r="AF27" s="1412">
        <v>0</v>
      </c>
      <c r="AG27" s="1412">
        <v>0</v>
      </c>
      <c r="AH27" s="1412">
        <f t="shared" si="16"/>
        <v>0</v>
      </c>
      <c r="AI27" s="1412">
        <f t="shared" si="17"/>
        <v>0</v>
      </c>
      <c r="AJ27" s="1412">
        <v>0</v>
      </c>
      <c r="AK27" s="1405">
        <v>0</v>
      </c>
      <c r="AL27" s="1405">
        <f t="shared" si="18"/>
        <v>0</v>
      </c>
      <c r="AM27" s="1405">
        <v>0</v>
      </c>
      <c r="AN27" s="1405">
        <v>0</v>
      </c>
      <c r="AO27" s="1395">
        <f t="shared" si="19"/>
        <v>0</v>
      </c>
      <c r="AP27" s="981">
        <f t="shared" si="20"/>
        <v>0</v>
      </c>
      <c r="AQ27" s="981"/>
      <c r="AR27" s="981"/>
      <c r="AS27" s="981">
        <f t="shared" si="21"/>
        <v>0</v>
      </c>
      <c r="AT27" s="981"/>
      <c r="AU27" s="981"/>
      <c r="AV27" s="981">
        <f t="shared" si="22"/>
        <v>0</v>
      </c>
      <c r="AW27" s="981">
        <f t="shared" si="23"/>
        <v>0</v>
      </c>
      <c r="AX27" s="981"/>
      <c r="AY27" s="981"/>
      <c r="AZ27" s="981">
        <f t="shared" si="24"/>
        <v>0</v>
      </c>
      <c r="BA27" s="981"/>
      <c r="BB27" s="981"/>
      <c r="BC27" s="981"/>
      <c r="BD27" s="981"/>
      <c r="BE27" s="981"/>
      <c r="BF27" s="981"/>
      <c r="BG27" s="981"/>
      <c r="BH27" s="981"/>
      <c r="BI27" s="981"/>
      <c r="BJ27" s="981"/>
      <c r="BK27" s="981"/>
      <c r="BL27" s="981"/>
      <c r="BM27" s="981"/>
      <c r="BN27" s="981"/>
      <c r="BO27" s="981"/>
      <c r="BP27" s="981"/>
    </row>
    <row r="28" spans="1:68" ht="14.1" customHeight="1">
      <c r="A28" s="1409">
        <v>14</v>
      </c>
      <c r="B28" s="1410" t="s">
        <v>2962</v>
      </c>
      <c r="C28" s="1411">
        <f t="shared" si="2"/>
        <v>900</v>
      </c>
      <c r="D28" s="1405">
        <f t="shared" si="3"/>
        <v>0</v>
      </c>
      <c r="E28" s="1411">
        <f t="shared" si="4"/>
        <v>900</v>
      </c>
      <c r="F28" s="1411"/>
      <c r="G28" s="1411"/>
      <c r="H28" s="1411"/>
      <c r="I28" s="1411">
        <v>900</v>
      </c>
      <c r="J28" s="1411">
        <f t="shared" si="5"/>
        <v>1093.0840000000001</v>
      </c>
      <c r="K28" s="1405">
        <f t="shared" si="6"/>
        <v>0</v>
      </c>
      <c r="L28" s="1413">
        <f>+Q28+X28+AE28+AL28+AS28+AZ28+BG28+BN28</f>
        <v>1093.0840000000001</v>
      </c>
      <c r="M28" s="1412">
        <f t="shared" si="8"/>
        <v>0</v>
      </c>
      <c r="N28" s="1405">
        <f t="shared" si="9"/>
        <v>0</v>
      </c>
      <c r="O28" s="1405">
        <v>0</v>
      </c>
      <c r="P28" s="1405">
        <v>0</v>
      </c>
      <c r="Q28" s="1412">
        <f t="shared" si="25"/>
        <v>0</v>
      </c>
      <c r="R28" s="1412">
        <v>0</v>
      </c>
      <c r="S28" s="1412">
        <v>0</v>
      </c>
      <c r="T28" s="1414">
        <f t="shared" si="10"/>
        <v>1093.0840000000001</v>
      </c>
      <c r="U28" s="1412">
        <f t="shared" si="11"/>
        <v>0</v>
      </c>
      <c r="V28" s="1412">
        <v>0</v>
      </c>
      <c r="W28" s="1412">
        <v>0</v>
      </c>
      <c r="X28" s="1414">
        <f t="shared" si="12"/>
        <v>1093.0840000000001</v>
      </c>
      <c r="Y28" s="1414">
        <v>1093.0840000000001</v>
      </c>
      <c r="Z28" s="1412">
        <v>0</v>
      </c>
      <c r="AA28" s="1412">
        <f t="shared" si="13"/>
        <v>0</v>
      </c>
      <c r="AB28" s="1412">
        <f>+AC28+AD28</f>
        <v>0</v>
      </c>
      <c r="AC28" s="1412">
        <v>0</v>
      </c>
      <c r="AD28" s="1412">
        <v>0</v>
      </c>
      <c r="AE28" s="1412">
        <f t="shared" si="15"/>
        <v>0</v>
      </c>
      <c r="AF28" s="1412">
        <v>0</v>
      </c>
      <c r="AG28" s="1412">
        <v>0</v>
      </c>
      <c r="AH28" s="1412">
        <f t="shared" si="16"/>
        <v>0</v>
      </c>
      <c r="AI28" s="1412">
        <f t="shared" si="17"/>
        <v>0</v>
      </c>
      <c r="AJ28" s="1412">
        <v>0</v>
      </c>
      <c r="AK28" s="1405">
        <v>0</v>
      </c>
      <c r="AL28" s="1405">
        <f t="shared" si="18"/>
        <v>0</v>
      </c>
      <c r="AM28" s="1405">
        <v>0</v>
      </c>
      <c r="AN28" s="1405">
        <v>0</v>
      </c>
      <c r="AO28" s="1395">
        <f t="shared" si="19"/>
        <v>0</v>
      </c>
      <c r="AP28" s="981">
        <f t="shared" si="20"/>
        <v>0</v>
      </c>
      <c r="AQ28" s="981"/>
      <c r="AR28" s="981"/>
      <c r="AS28" s="981">
        <f t="shared" si="21"/>
        <v>0</v>
      </c>
      <c r="AT28" s="981"/>
      <c r="AU28" s="981"/>
      <c r="AV28" s="981">
        <f t="shared" si="22"/>
        <v>0</v>
      </c>
      <c r="AW28" s="981">
        <f t="shared" si="23"/>
        <v>0</v>
      </c>
      <c r="AX28" s="981"/>
      <c r="AY28" s="981"/>
      <c r="AZ28" s="981">
        <f t="shared" si="24"/>
        <v>0</v>
      </c>
      <c r="BA28" s="981"/>
      <c r="BB28" s="981"/>
      <c r="BC28" s="981"/>
      <c r="BD28" s="981"/>
      <c r="BE28" s="981"/>
      <c r="BF28" s="981"/>
      <c r="BG28" s="981"/>
      <c r="BH28" s="981"/>
      <c r="BI28" s="981"/>
      <c r="BJ28" s="981"/>
      <c r="BK28" s="981"/>
      <c r="BL28" s="981"/>
      <c r="BM28" s="981"/>
      <c r="BN28" s="981"/>
      <c r="BO28" s="981"/>
      <c r="BP28" s="981"/>
    </row>
    <row r="29" spans="1:68" ht="14.1" customHeight="1">
      <c r="A29" s="1409">
        <v>15</v>
      </c>
      <c r="B29" s="1410" t="s">
        <v>2963</v>
      </c>
      <c r="C29" s="1411">
        <f t="shared" si="2"/>
        <v>250</v>
      </c>
      <c r="D29" s="1405">
        <f t="shared" si="3"/>
        <v>0</v>
      </c>
      <c r="E29" s="1411">
        <f t="shared" si="4"/>
        <v>250</v>
      </c>
      <c r="F29" s="1411"/>
      <c r="G29" s="1411"/>
      <c r="H29" s="1411"/>
      <c r="I29" s="1411">
        <v>250</v>
      </c>
      <c r="J29" s="1411">
        <f t="shared" si="5"/>
        <v>250</v>
      </c>
      <c r="K29" s="1405">
        <f t="shared" si="6"/>
        <v>0</v>
      </c>
      <c r="L29" s="1413">
        <f t="shared" si="7"/>
        <v>250</v>
      </c>
      <c r="M29" s="1412">
        <f t="shared" si="8"/>
        <v>0</v>
      </c>
      <c r="N29" s="1405">
        <f t="shared" si="9"/>
        <v>0</v>
      </c>
      <c r="O29" s="1405">
        <v>0</v>
      </c>
      <c r="P29" s="1405">
        <v>0</v>
      </c>
      <c r="Q29" s="1412">
        <f t="shared" si="25"/>
        <v>0</v>
      </c>
      <c r="R29" s="1412">
        <v>0</v>
      </c>
      <c r="S29" s="1412">
        <v>0</v>
      </c>
      <c r="T29" s="1414">
        <f t="shared" si="10"/>
        <v>250</v>
      </c>
      <c r="U29" s="1412">
        <f t="shared" si="11"/>
        <v>0</v>
      </c>
      <c r="V29" s="1412">
        <v>0</v>
      </c>
      <c r="W29" s="1412">
        <v>0</v>
      </c>
      <c r="X29" s="1414">
        <f t="shared" si="12"/>
        <v>250</v>
      </c>
      <c r="Y29" s="1414">
        <v>250</v>
      </c>
      <c r="Z29" s="1412">
        <v>0</v>
      </c>
      <c r="AA29" s="1412">
        <f>+AB29+AE29</f>
        <v>0</v>
      </c>
      <c r="AB29" s="1412">
        <f t="shared" si="14"/>
        <v>0</v>
      </c>
      <c r="AC29" s="1412">
        <v>0</v>
      </c>
      <c r="AD29" s="1412">
        <v>0</v>
      </c>
      <c r="AE29" s="1412">
        <f t="shared" si="15"/>
        <v>0</v>
      </c>
      <c r="AF29" s="1412">
        <v>0</v>
      </c>
      <c r="AG29" s="1412">
        <v>0</v>
      </c>
      <c r="AH29" s="1412">
        <f t="shared" si="16"/>
        <v>0</v>
      </c>
      <c r="AI29" s="1412">
        <f t="shared" si="17"/>
        <v>0</v>
      </c>
      <c r="AJ29" s="1412">
        <v>0</v>
      </c>
      <c r="AK29" s="1405">
        <v>0</v>
      </c>
      <c r="AL29" s="1405">
        <f t="shared" si="18"/>
        <v>0</v>
      </c>
      <c r="AM29" s="1405">
        <v>0</v>
      </c>
      <c r="AN29" s="1405">
        <v>0</v>
      </c>
      <c r="AO29" s="1395">
        <f t="shared" si="19"/>
        <v>0</v>
      </c>
      <c r="AP29" s="981">
        <f t="shared" si="20"/>
        <v>0</v>
      </c>
      <c r="AQ29" s="981"/>
      <c r="AR29" s="981"/>
      <c r="AS29" s="981">
        <f t="shared" si="21"/>
        <v>0</v>
      </c>
      <c r="AT29" s="981"/>
      <c r="AU29" s="981"/>
      <c r="AV29" s="981">
        <f t="shared" si="22"/>
        <v>0</v>
      </c>
      <c r="AW29" s="981">
        <f t="shared" si="23"/>
        <v>0</v>
      </c>
      <c r="AX29" s="981"/>
      <c r="AY29" s="981"/>
      <c r="AZ29" s="981">
        <f t="shared" si="24"/>
        <v>0</v>
      </c>
      <c r="BA29" s="981"/>
      <c r="BB29" s="981"/>
      <c r="BC29" s="981"/>
      <c r="BD29" s="981"/>
      <c r="BE29" s="981"/>
      <c r="BF29" s="981"/>
      <c r="BG29" s="981"/>
      <c r="BH29" s="981"/>
      <c r="BI29" s="981"/>
      <c r="BJ29" s="981"/>
      <c r="BK29" s="981"/>
      <c r="BL29" s="981"/>
      <c r="BM29" s="981"/>
      <c r="BN29" s="981"/>
      <c r="BO29" s="981"/>
      <c r="BP29" s="981"/>
    </row>
    <row r="30" spans="1:68" ht="14.1" customHeight="1">
      <c r="A30" s="1409">
        <v>16</v>
      </c>
      <c r="B30" s="1410" t="s">
        <v>2964</v>
      </c>
      <c r="C30" s="1411">
        <f t="shared" si="2"/>
        <v>250</v>
      </c>
      <c r="D30" s="1405">
        <f t="shared" si="3"/>
        <v>0</v>
      </c>
      <c r="E30" s="1411">
        <f t="shared" si="4"/>
        <v>250</v>
      </c>
      <c r="F30" s="1411"/>
      <c r="G30" s="1411"/>
      <c r="H30" s="1411"/>
      <c r="I30" s="1411">
        <v>250</v>
      </c>
      <c r="J30" s="1411">
        <f t="shared" si="5"/>
        <v>249.1</v>
      </c>
      <c r="K30" s="1405">
        <f t="shared" si="6"/>
        <v>0</v>
      </c>
      <c r="L30" s="1413">
        <f t="shared" si="7"/>
        <v>249.1</v>
      </c>
      <c r="M30" s="1412">
        <f t="shared" si="8"/>
        <v>0</v>
      </c>
      <c r="N30" s="1405">
        <f t="shared" si="9"/>
        <v>0</v>
      </c>
      <c r="O30" s="1405">
        <v>0</v>
      </c>
      <c r="P30" s="1405">
        <v>0</v>
      </c>
      <c r="Q30" s="1412">
        <f t="shared" si="25"/>
        <v>0</v>
      </c>
      <c r="R30" s="1412">
        <v>0</v>
      </c>
      <c r="S30" s="1412">
        <v>0</v>
      </c>
      <c r="T30" s="1414">
        <f t="shared" si="10"/>
        <v>249.1</v>
      </c>
      <c r="U30" s="1412">
        <f t="shared" si="11"/>
        <v>0</v>
      </c>
      <c r="V30" s="1412">
        <v>0</v>
      </c>
      <c r="W30" s="1412">
        <v>0</v>
      </c>
      <c r="X30" s="1414">
        <f t="shared" si="12"/>
        <v>249.1</v>
      </c>
      <c r="Y30" s="1414">
        <v>249.1</v>
      </c>
      <c r="Z30" s="1412">
        <v>0</v>
      </c>
      <c r="AA30" s="1412">
        <f t="shared" si="13"/>
        <v>0</v>
      </c>
      <c r="AB30" s="1412">
        <f t="shared" si="14"/>
        <v>0</v>
      </c>
      <c r="AC30" s="1412">
        <v>0</v>
      </c>
      <c r="AD30" s="1412">
        <v>0</v>
      </c>
      <c r="AE30" s="1412">
        <f>+AF30+AG30</f>
        <v>0</v>
      </c>
      <c r="AF30" s="1412">
        <v>0</v>
      </c>
      <c r="AG30" s="1412">
        <v>0</v>
      </c>
      <c r="AH30" s="1412">
        <f t="shared" si="16"/>
        <v>0</v>
      </c>
      <c r="AI30" s="1412">
        <f t="shared" si="17"/>
        <v>0</v>
      </c>
      <c r="AJ30" s="1412">
        <v>0</v>
      </c>
      <c r="AK30" s="1405">
        <v>0</v>
      </c>
      <c r="AL30" s="1405">
        <f t="shared" si="18"/>
        <v>0</v>
      </c>
      <c r="AM30" s="1405">
        <v>0</v>
      </c>
      <c r="AN30" s="1405">
        <v>0</v>
      </c>
      <c r="AO30" s="1395">
        <f t="shared" si="19"/>
        <v>0</v>
      </c>
      <c r="AP30" s="981">
        <f t="shared" si="20"/>
        <v>0</v>
      </c>
      <c r="AQ30" s="981"/>
      <c r="AR30" s="981"/>
      <c r="AS30" s="981">
        <f t="shared" si="21"/>
        <v>0</v>
      </c>
      <c r="AT30" s="981"/>
      <c r="AU30" s="981"/>
      <c r="AV30" s="981">
        <f t="shared" si="22"/>
        <v>0</v>
      </c>
      <c r="AW30" s="981">
        <f t="shared" si="23"/>
        <v>0</v>
      </c>
      <c r="AX30" s="981"/>
      <c r="AY30" s="981"/>
      <c r="AZ30" s="981">
        <f t="shared" si="24"/>
        <v>0</v>
      </c>
      <c r="BA30" s="981"/>
      <c r="BB30" s="981"/>
      <c r="BC30" s="981"/>
      <c r="BD30" s="981"/>
      <c r="BE30" s="981"/>
      <c r="BF30" s="981"/>
      <c r="BG30" s="981"/>
      <c r="BH30" s="981"/>
      <c r="BI30" s="981"/>
      <c r="BJ30" s="981"/>
      <c r="BK30" s="981"/>
      <c r="BL30" s="981"/>
      <c r="BM30" s="981"/>
      <c r="BN30" s="981"/>
      <c r="BO30" s="981"/>
      <c r="BP30" s="981"/>
    </row>
    <row r="31" spans="1:68" ht="19.5" customHeight="1">
      <c r="A31" s="1409">
        <v>17</v>
      </c>
      <c r="B31" s="1410" t="s">
        <v>3109</v>
      </c>
      <c r="C31" s="1411">
        <f t="shared" si="2"/>
        <v>2775</v>
      </c>
      <c r="D31" s="1405">
        <f t="shared" si="3"/>
        <v>0</v>
      </c>
      <c r="E31" s="1411">
        <f t="shared" si="4"/>
        <v>2775</v>
      </c>
      <c r="F31" s="1411"/>
      <c r="G31" s="1411"/>
      <c r="H31" s="1411"/>
      <c r="I31" s="1411">
        <v>2775</v>
      </c>
      <c r="J31" s="1411">
        <f t="shared" si="5"/>
        <v>2249.6064500000002</v>
      </c>
      <c r="K31" s="1405">
        <f t="shared" si="6"/>
        <v>0</v>
      </c>
      <c r="L31" s="1413">
        <f t="shared" si="7"/>
        <v>2249.6064500000002</v>
      </c>
      <c r="M31" s="1412">
        <f t="shared" si="8"/>
        <v>0</v>
      </c>
      <c r="N31" s="1405">
        <f t="shared" si="9"/>
        <v>0</v>
      </c>
      <c r="O31" s="1405">
        <v>0</v>
      </c>
      <c r="P31" s="1405">
        <v>0</v>
      </c>
      <c r="Q31" s="1412">
        <f t="shared" si="25"/>
        <v>0</v>
      </c>
      <c r="R31" s="1412">
        <v>0</v>
      </c>
      <c r="S31" s="1412">
        <v>0</v>
      </c>
      <c r="T31" s="1414">
        <f t="shared" si="10"/>
        <v>2249.6064500000002</v>
      </c>
      <c r="U31" s="1412">
        <f t="shared" si="11"/>
        <v>0</v>
      </c>
      <c r="V31" s="1412">
        <v>0</v>
      </c>
      <c r="W31" s="1412">
        <v>0</v>
      </c>
      <c r="X31" s="1414">
        <f t="shared" si="12"/>
        <v>2249.6064500000002</v>
      </c>
      <c r="Y31" s="1414">
        <v>2249.6064500000002</v>
      </c>
      <c r="Z31" s="1412">
        <v>0</v>
      </c>
      <c r="AA31" s="1412">
        <f t="shared" si="13"/>
        <v>0</v>
      </c>
      <c r="AB31" s="1412">
        <f t="shared" si="14"/>
        <v>0</v>
      </c>
      <c r="AC31" s="1412">
        <v>0</v>
      </c>
      <c r="AD31" s="1412">
        <v>0</v>
      </c>
      <c r="AE31" s="1412">
        <f t="shared" si="15"/>
        <v>0</v>
      </c>
      <c r="AF31" s="1412">
        <v>0</v>
      </c>
      <c r="AG31" s="1412">
        <v>0</v>
      </c>
      <c r="AH31" s="1412">
        <f t="shared" si="16"/>
        <v>0</v>
      </c>
      <c r="AI31" s="1412">
        <f t="shared" si="17"/>
        <v>0</v>
      </c>
      <c r="AJ31" s="1412">
        <v>0</v>
      </c>
      <c r="AK31" s="1405">
        <v>0</v>
      </c>
      <c r="AL31" s="1405">
        <f t="shared" si="18"/>
        <v>0</v>
      </c>
      <c r="AM31" s="1405">
        <v>0</v>
      </c>
      <c r="AN31" s="1405">
        <v>0</v>
      </c>
      <c r="AO31" s="1395">
        <f t="shared" si="19"/>
        <v>0</v>
      </c>
      <c r="AP31" s="981">
        <f t="shared" si="20"/>
        <v>0</v>
      </c>
      <c r="AQ31" s="981"/>
      <c r="AR31" s="981"/>
      <c r="AS31" s="981">
        <f t="shared" si="21"/>
        <v>0</v>
      </c>
      <c r="AT31" s="981"/>
      <c r="AU31" s="981"/>
      <c r="AV31" s="981">
        <f t="shared" si="22"/>
        <v>0</v>
      </c>
      <c r="AW31" s="981">
        <f t="shared" si="23"/>
        <v>0</v>
      </c>
      <c r="AX31" s="981"/>
      <c r="AY31" s="981"/>
      <c r="AZ31" s="981">
        <f t="shared" si="24"/>
        <v>0</v>
      </c>
      <c r="BA31" s="981"/>
      <c r="BB31" s="981"/>
      <c r="BC31" s="981"/>
      <c r="BD31" s="981"/>
      <c r="BE31" s="981"/>
      <c r="BF31" s="981"/>
      <c r="BG31" s="981"/>
      <c r="BH31" s="981"/>
      <c r="BI31" s="981"/>
      <c r="BJ31" s="981"/>
      <c r="BK31" s="981"/>
      <c r="BL31" s="981"/>
      <c r="BM31" s="981"/>
      <c r="BN31" s="981"/>
      <c r="BO31" s="981"/>
      <c r="BP31" s="981"/>
    </row>
    <row r="32" spans="1:68" ht="14.1" customHeight="1">
      <c r="A32" s="1409">
        <v>18</v>
      </c>
      <c r="B32" s="1410" t="s">
        <v>22</v>
      </c>
      <c r="C32" s="1411">
        <f t="shared" si="2"/>
        <v>120</v>
      </c>
      <c r="D32" s="1405">
        <f t="shared" si="3"/>
        <v>0</v>
      </c>
      <c r="E32" s="1411">
        <f>+G32+I32</f>
        <v>120</v>
      </c>
      <c r="F32" s="1411"/>
      <c r="G32" s="1411"/>
      <c r="H32" s="1411"/>
      <c r="I32" s="1411">
        <v>120</v>
      </c>
      <c r="J32" s="1411">
        <f>+K32+L32</f>
        <v>320</v>
      </c>
      <c r="K32" s="1405">
        <f>+N32+U32+AB32+AI32+AP32+AW32+BD32+BK32</f>
        <v>0</v>
      </c>
      <c r="L32" s="1413">
        <f>+Q32+X32+AE32+AL32+AS32+AZ32+BG32+BN32</f>
        <v>320</v>
      </c>
      <c r="M32" s="1412">
        <f>+N32+Q32</f>
        <v>0</v>
      </c>
      <c r="N32" s="1405">
        <f>+O32+P32</f>
        <v>0</v>
      </c>
      <c r="O32" s="1405">
        <v>0</v>
      </c>
      <c r="P32" s="1405">
        <v>0</v>
      </c>
      <c r="Q32" s="1412">
        <f>+R32+S32</f>
        <v>0</v>
      </c>
      <c r="R32" s="1412">
        <v>0</v>
      </c>
      <c r="S32" s="1412">
        <v>0</v>
      </c>
      <c r="T32" s="1414">
        <f>+U32+X32</f>
        <v>320</v>
      </c>
      <c r="U32" s="1412">
        <f>+V32+W32</f>
        <v>0</v>
      </c>
      <c r="V32" s="1412">
        <v>0</v>
      </c>
      <c r="W32" s="1412">
        <v>0</v>
      </c>
      <c r="X32" s="1414">
        <f t="shared" si="12"/>
        <v>320</v>
      </c>
      <c r="Y32" s="1414">
        <v>320</v>
      </c>
      <c r="Z32" s="1412">
        <v>0</v>
      </c>
      <c r="AA32" s="1412">
        <f>+AB32+AE32</f>
        <v>0</v>
      </c>
      <c r="AB32" s="1412">
        <f>+AC32+AD32</f>
        <v>0</v>
      </c>
      <c r="AC32" s="1412">
        <v>0</v>
      </c>
      <c r="AD32" s="1412">
        <v>0</v>
      </c>
      <c r="AE32" s="1412">
        <f t="shared" si="15"/>
        <v>0</v>
      </c>
      <c r="AF32" s="1412">
        <v>0</v>
      </c>
      <c r="AG32" s="1412">
        <v>0</v>
      </c>
      <c r="AH32" s="1412">
        <f t="shared" si="16"/>
        <v>0</v>
      </c>
      <c r="AI32" s="1412">
        <f t="shared" si="17"/>
        <v>0</v>
      </c>
      <c r="AJ32" s="1412">
        <v>0</v>
      </c>
      <c r="AK32" s="1405">
        <v>0</v>
      </c>
      <c r="AL32" s="1405">
        <f t="shared" si="18"/>
        <v>0</v>
      </c>
      <c r="AM32" s="1405">
        <v>0</v>
      </c>
      <c r="AN32" s="1405">
        <v>0</v>
      </c>
      <c r="AO32" s="1395">
        <f t="shared" si="19"/>
        <v>0</v>
      </c>
      <c r="AP32" s="981">
        <f t="shared" si="20"/>
        <v>0</v>
      </c>
      <c r="AQ32" s="981"/>
      <c r="AR32" s="981"/>
      <c r="AS32" s="981">
        <f t="shared" si="21"/>
        <v>0</v>
      </c>
      <c r="AT32" s="981"/>
      <c r="AU32" s="981"/>
      <c r="AV32" s="981">
        <f t="shared" si="22"/>
        <v>0</v>
      </c>
      <c r="AW32" s="981">
        <f t="shared" si="23"/>
        <v>0</v>
      </c>
      <c r="AX32" s="981"/>
      <c r="AY32" s="981"/>
      <c r="AZ32" s="981">
        <f t="shared" si="24"/>
        <v>0</v>
      </c>
      <c r="BA32" s="981"/>
      <c r="BB32" s="981"/>
      <c r="BC32" s="981"/>
      <c r="BD32" s="981"/>
      <c r="BE32" s="981"/>
      <c r="BF32" s="981"/>
      <c r="BG32" s="981"/>
      <c r="BH32" s="981"/>
      <c r="BI32" s="981"/>
      <c r="BJ32" s="981"/>
      <c r="BK32" s="981"/>
      <c r="BL32" s="981"/>
      <c r="BM32" s="981"/>
      <c r="BN32" s="981"/>
      <c r="BO32" s="981"/>
      <c r="BP32" s="981"/>
    </row>
    <row r="33" spans="1:68" ht="14.1" customHeight="1">
      <c r="A33" s="1409">
        <v>19</v>
      </c>
      <c r="B33" s="1410" t="s">
        <v>2965</v>
      </c>
      <c r="C33" s="1411">
        <f t="shared" si="2"/>
        <v>300</v>
      </c>
      <c r="D33" s="1412">
        <v>0</v>
      </c>
      <c r="E33" s="1411">
        <f t="shared" ref="E33:E40" si="26">+G33+I33</f>
        <v>300</v>
      </c>
      <c r="F33" s="1411"/>
      <c r="G33" s="1411"/>
      <c r="H33" s="1411"/>
      <c r="I33" s="1411">
        <v>300</v>
      </c>
      <c r="J33" s="1411">
        <f t="shared" ref="J33:J35" si="27">+K33+L33</f>
        <v>282.56799999999998</v>
      </c>
      <c r="K33" s="1405">
        <f t="shared" ref="K33:K41" si="28">+N33+U33+AB33+AI33+AP33+AW33+BD33+BK33</f>
        <v>0</v>
      </c>
      <c r="L33" s="1413">
        <f t="shared" ref="L33:L35" si="29">+Q33+X33+AE33+AL33+AS33+AZ33+BG33+BN33</f>
        <v>282.56799999999998</v>
      </c>
      <c r="M33" s="1412">
        <f t="shared" ref="M33:M41" si="30">+N33+Q33</f>
        <v>0</v>
      </c>
      <c r="N33" s="1405">
        <f t="shared" ref="N33:N41" si="31">+O33+P33</f>
        <v>0</v>
      </c>
      <c r="O33" s="1412">
        <v>0</v>
      </c>
      <c r="P33" s="1412">
        <v>0</v>
      </c>
      <c r="Q33" s="1412">
        <f t="shared" ref="Q33:Q41" si="32">+R33+S33</f>
        <v>0</v>
      </c>
      <c r="R33" s="1412">
        <v>0</v>
      </c>
      <c r="S33" s="1412">
        <v>0</v>
      </c>
      <c r="T33" s="1414">
        <f t="shared" ref="T33:T35" si="33">+U33+X33</f>
        <v>282.56799999999998</v>
      </c>
      <c r="U33" s="1412">
        <v>0</v>
      </c>
      <c r="V33" s="1412">
        <v>0</v>
      </c>
      <c r="W33" s="1412">
        <v>0</v>
      </c>
      <c r="X33" s="1414">
        <f t="shared" si="12"/>
        <v>282.56799999999998</v>
      </c>
      <c r="Y33" s="1414">
        <v>282.56799999999998</v>
      </c>
      <c r="Z33" s="1412">
        <v>0</v>
      </c>
      <c r="AA33" s="1412">
        <f t="shared" ref="AA33:AA40" si="34">+AB33+AE33</f>
        <v>0</v>
      </c>
      <c r="AB33" s="1412">
        <f t="shared" ref="AB33:AB40" si="35">+AC33+AD33</f>
        <v>0</v>
      </c>
      <c r="AC33" s="1412">
        <v>0</v>
      </c>
      <c r="AD33" s="1412">
        <v>0</v>
      </c>
      <c r="AE33" s="1412">
        <v>0</v>
      </c>
      <c r="AF33" s="1412">
        <v>0</v>
      </c>
      <c r="AG33" s="1412">
        <v>0</v>
      </c>
      <c r="AH33" s="1412">
        <v>0</v>
      </c>
      <c r="AI33" s="1412">
        <v>0</v>
      </c>
      <c r="AJ33" s="1412">
        <v>0</v>
      </c>
      <c r="AK33" s="1405">
        <v>0</v>
      </c>
      <c r="AL33" s="1405">
        <v>0</v>
      </c>
      <c r="AM33" s="1405">
        <v>0</v>
      </c>
      <c r="AN33" s="1405">
        <v>0</v>
      </c>
      <c r="AO33" s="1395"/>
      <c r="AP33" s="981"/>
      <c r="AQ33" s="981"/>
      <c r="AR33" s="981"/>
      <c r="AS33" s="981"/>
      <c r="AT33" s="981"/>
      <c r="AU33" s="981"/>
      <c r="AV33" s="981"/>
      <c r="AW33" s="981"/>
      <c r="AX33" s="981"/>
      <c r="AY33" s="981"/>
      <c r="AZ33" s="981"/>
      <c r="BA33" s="981"/>
      <c r="BB33" s="981"/>
      <c r="BC33" s="981"/>
      <c r="BD33" s="981"/>
      <c r="BE33" s="981"/>
      <c r="BF33" s="981"/>
      <c r="BG33" s="981"/>
      <c r="BH33" s="981"/>
      <c r="BI33" s="981"/>
      <c r="BJ33" s="981"/>
      <c r="BK33" s="981"/>
      <c r="BL33" s="981"/>
      <c r="BM33" s="981"/>
      <c r="BN33" s="981"/>
      <c r="BO33" s="981"/>
      <c r="BP33" s="981"/>
    </row>
    <row r="34" spans="1:68" ht="14.1" customHeight="1">
      <c r="A34" s="1409">
        <v>20</v>
      </c>
      <c r="B34" s="1410" t="s">
        <v>2966</v>
      </c>
      <c r="C34" s="1411">
        <f t="shared" si="2"/>
        <v>2927.1</v>
      </c>
      <c r="D34" s="1412">
        <v>0</v>
      </c>
      <c r="E34" s="1411">
        <f t="shared" si="26"/>
        <v>2927.1</v>
      </c>
      <c r="F34" s="1411"/>
      <c r="G34" s="1411">
        <v>1714</v>
      </c>
      <c r="H34" s="1411"/>
      <c r="I34" s="1411">
        <v>1213.0999999999999</v>
      </c>
      <c r="J34" s="1411">
        <f t="shared" si="27"/>
        <v>1227.86744</v>
      </c>
      <c r="K34" s="1405">
        <f t="shared" si="28"/>
        <v>0</v>
      </c>
      <c r="L34" s="1413">
        <f t="shared" si="29"/>
        <v>1227.86744</v>
      </c>
      <c r="M34" s="1414">
        <f t="shared" si="30"/>
        <v>794.51243999999997</v>
      </c>
      <c r="N34" s="1405">
        <f t="shared" si="31"/>
        <v>0</v>
      </c>
      <c r="O34" s="1412">
        <v>0</v>
      </c>
      <c r="P34" s="1412">
        <v>0</v>
      </c>
      <c r="Q34" s="1414">
        <f t="shared" si="32"/>
        <v>794.51243999999997</v>
      </c>
      <c r="R34" s="1414">
        <v>794.51243999999997</v>
      </c>
      <c r="S34" s="1412">
        <v>0</v>
      </c>
      <c r="T34" s="1414">
        <f t="shared" si="33"/>
        <v>433.35500000000002</v>
      </c>
      <c r="U34" s="1412">
        <v>0</v>
      </c>
      <c r="V34" s="1412">
        <v>0</v>
      </c>
      <c r="W34" s="1412">
        <v>0</v>
      </c>
      <c r="X34" s="1414">
        <f t="shared" si="12"/>
        <v>433.35500000000002</v>
      </c>
      <c r="Y34" s="1414">
        <v>433.35500000000002</v>
      </c>
      <c r="Z34" s="1412">
        <v>0</v>
      </c>
      <c r="AA34" s="1412">
        <f t="shared" si="34"/>
        <v>0</v>
      </c>
      <c r="AB34" s="1412">
        <f t="shared" si="35"/>
        <v>0</v>
      </c>
      <c r="AC34" s="1412">
        <v>0</v>
      </c>
      <c r="AD34" s="1412">
        <v>0</v>
      </c>
      <c r="AE34" s="1412">
        <v>0</v>
      </c>
      <c r="AF34" s="1412">
        <v>0</v>
      </c>
      <c r="AG34" s="1412">
        <v>0</v>
      </c>
      <c r="AH34" s="1412">
        <v>0</v>
      </c>
      <c r="AI34" s="1412">
        <v>0</v>
      </c>
      <c r="AJ34" s="1412">
        <v>0</v>
      </c>
      <c r="AK34" s="1405">
        <v>0</v>
      </c>
      <c r="AL34" s="1405">
        <v>0</v>
      </c>
      <c r="AM34" s="1405">
        <v>0</v>
      </c>
      <c r="AN34" s="1405">
        <v>0</v>
      </c>
      <c r="AO34" s="1395"/>
      <c r="AP34" s="981"/>
      <c r="AQ34" s="981"/>
      <c r="AR34" s="981"/>
      <c r="AS34" s="981"/>
      <c r="AT34" s="981"/>
      <c r="AU34" s="981"/>
      <c r="AV34" s="981"/>
      <c r="AW34" s="981"/>
      <c r="AX34" s="981"/>
      <c r="AY34" s="981"/>
      <c r="AZ34" s="981"/>
      <c r="BA34" s="981"/>
      <c r="BB34" s="981"/>
      <c r="BC34" s="981"/>
      <c r="BD34" s="981"/>
      <c r="BE34" s="981"/>
      <c r="BF34" s="981"/>
      <c r="BG34" s="981"/>
      <c r="BH34" s="981"/>
      <c r="BI34" s="981"/>
      <c r="BJ34" s="981"/>
      <c r="BK34" s="981"/>
      <c r="BL34" s="981"/>
      <c r="BM34" s="981"/>
      <c r="BN34" s="981"/>
      <c r="BO34" s="981"/>
      <c r="BP34" s="981"/>
    </row>
    <row r="35" spans="1:68" ht="14.1" customHeight="1">
      <c r="A35" s="1409">
        <v>21</v>
      </c>
      <c r="B35" s="1410" t="s">
        <v>2967</v>
      </c>
      <c r="C35" s="1411">
        <f t="shared" si="2"/>
        <v>320</v>
      </c>
      <c r="D35" s="1412">
        <v>0</v>
      </c>
      <c r="E35" s="1411">
        <f t="shared" si="26"/>
        <v>320</v>
      </c>
      <c r="F35" s="1411"/>
      <c r="G35" s="1411"/>
      <c r="H35" s="1411"/>
      <c r="I35" s="1411">
        <v>320</v>
      </c>
      <c r="J35" s="1411">
        <f t="shared" si="27"/>
        <v>320</v>
      </c>
      <c r="K35" s="1405">
        <f t="shared" si="28"/>
        <v>0</v>
      </c>
      <c r="L35" s="1413">
        <f t="shared" si="29"/>
        <v>320</v>
      </c>
      <c r="M35" s="1414">
        <f t="shared" si="30"/>
        <v>0</v>
      </c>
      <c r="N35" s="1405">
        <f t="shared" si="31"/>
        <v>0</v>
      </c>
      <c r="O35" s="1412">
        <v>0</v>
      </c>
      <c r="P35" s="1412">
        <v>0</v>
      </c>
      <c r="Q35" s="1412">
        <f t="shared" si="32"/>
        <v>0</v>
      </c>
      <c r="R35" s="1412">
        <v>0</v>
      </c>
      <c r="S35" s="1412">
        <v>0</v>
      </c>
      <c r="T35" s="1414">
        <f t="shared" si="33"/>
        <v>320</v>
      </c>
      <c r="U35" s="1412">
        <v>0</v>
      </c>
      <c r="V35" s="1412">
        <v>0</v>
      </c>
      <c r="W35" s="1412">
        <v>0</v>
      </c>
      <c r="X35" s="1414">
        <f t="shared" si="12"/>
        <v>320</v>
      </c>
      <c r="Y35" s="1414">
        <v>320</v>
      </c>
      <c r="Z35" s="1412">
        <v>0</v>
      </c>
      <c r="AA35" s="1412">
        <f t="shared" si="34"/>
        <v>0</v>
      </c>
      <c r="AB35" s="1412">
        <f t="shared" si="35"/>
        <v>0</v>
      </c>
      <c r="AC35" s="1412">
        <v>0</v>
      </c>
      <c r="AD35" s="1412">
        <v>0</v>
      </c>
      <c r="AE35" s="1412">
        <v>0</v>
      </c>
      <c r="AF35" s="1412">
        <v>0</v>
      </c>
      <c r="AG35" s="1412">
        <v>0</v>
      </c>
      <c r="AH35" s="1412">
        <v>0</v>
      </c>
      <c r="AI35" s="1412">
        <v>0</v>
      </c>
      <c r="AJ35" s="1412">
        <v>0</v>
      </c>
      <c r="AK35" s="1405">
        <v>0</v>
      </c>
      <c r="AL35" s="1405">
        <v>0</v>
      </c>
      <c r="AM35" s="1405">
        <v>0</v>
      </c>
      <c r="AN35" s="1405">
        <v>0</v>
      </c>
      <c r="AO35" s="1395"/>
      <c r="AP35" s="981"/>
      <c r="AQ35" s="981"/>
      <c r="AR35" s="981"/>
      <c r="AS35" s="981"/>
      <c r="AT35" s="981"/>
      <c r="AU35" s="981"/>
      <c r="AV35" s="981"/>
      <c r="AW35" s="981"/>
      <c r="AX35" s="981"/>
      <c r="AY35" s="981"/>
      <c r="AZ35" s="981"/>
      <c r="BA35" s="981"/>
      <c r="BB35" s="981"/>
      <c r="BC35" s="981"/>
      <c r="BD35" s="981"/>
      <c r="BE35" s="981"/>
      <c r="BF35" s="981"/>
      <c r="BG35" s="981"/>
      <c r="BH35" s="981"/>
      <c r="BI35" s="981"/>
      <c r="BJ35" s="981"/>
      <c r="BK35" s="981"/>
      <c r="BL35" s="981"/>
      <c r="BM35" s="981"/>
      <c r="BN35" s="981"/>
      <c r="BO35" s="981"/>
      <c r="BP35" s="981"/>
    </row>
    <row r="36" spans="1:68" ht="14.1" customHeight="1">
      <c r="A36" s="1409">
        <v>22</v>
      </c>
      <c r="B36" s="1410" t="s">
        <v>2968</v>
      </c>
      <c r="C36" s="1411">
        <f t="shared" si="2"/>
        <v>100</v>
      </c>
      <c r="D36" s="1412">
        <v>0</v>
      </c>
      <c r="E36" s="1411">
        <f t="shared" si="26"/>
        <v>100</v>
      </c>
      <c r="F36" s="1411"/>
      <c r="G36" s="1411"/>
      <c r="H36" s="1411"/>
      <c r="I36" s="1411">
        <v>100</v>
      </c>
      <c r="J36" s="1411">
        <f>+K36+L36</f>
        <v>100</v>
      </c>
      <c r="K36" s="1405">
        <f t="shared" si="28"/>
        <v>0</v>
      </c>
      <c r="L36" s="1413">
        <f>+Q36+X36+AE36+AL36+AS36+AZ36+BG36+BN36</f>
        <v>100</v>
      </c>
      <c r="M36" s="1414">
        <f t="shared" si="30"/>
        <v>0</v>
      </c>
      <c r="N36" s="1405">
        <f t="shared" si="31"/>
        <v>0</v>
      </c>
      <c r="O36" s="1412">
        <v>0</v>
      </c>
      <c r="P36" s="1412">
        <v>0</v>
      </c>
      <c r="Q36" s="1412">
        <f t="shared" si="32"/>
        <v>0</v>
      </c>
      <c r="R36" s="1412">
        <v>0</v>
      </c>
      <c r="S36" s="1412">
        <v>0</v>
      </c>
      <c r="T36" s="1414">
        <f>+U36+X36</f>
        <v>100</v>
      </c>
      <c r="U36" s="1412">
        <v>0</v>
      </c>
      <c r="V36" s="1412">
        <v>0</v>
      </c>
      <c r="W36" s="1412">
        <v>0</v>
      </c>
      <c r="X36" s="1414">
        <f>+Y36+Z36</f>
        <v>100</v>
      </c>
      <c r="Y36" s="1414">
        <v>100</v>
      </c>
      <c r="Z36" s="1412">
        <v>0</v>
      </c>
      <c r="AA36" s="1412">
        <f t="shared" si="34"/>
        <v>0</v>
      </c>
      <c r="AB36" s="1412">
        <f t="shared" si="35"/>
        <v>0</v>
      </c>
      <c r="AC36" s="1412">
        <v>0</v>
      </c>
      <c r="AD36" s="1412">
        <v>0</v>
      </c>
      <c r="AE36" s="1412">
        <v>0</v>
      </c>
      <c r="AF36" s="1412">
        <v>0</v>
      </c>
      <c r="AG36" s="1412">
        <v>0</v>
      </c>
      <c r="AH36" s="1412">
        <v>0</v>
      </c>
      <c r="AI36" s="1412">
        <v>0</v>
      </c>
      <c r="AJ36" s="1412">
        <v>0</v>
      </c>
      <c r="AK36" s="1405">
        <v>0</v>
      </c>
      <c r="AL36" s="1405">
        <v>0</v>
      </c>
      <c r="AM36" s="1405">
        <v>0</v>
      </c>
      <c r="AN36" s="1405">
        <v>0</v>
      </c>
      <c r="AO36" s="1395"/>
      <c r="AP36" s="981"/>
      <c r="AQ36" s="981"/>
      <c r="AR36" s="981"/>
      <c r="AS36" s="981"/>
      <c r="AT36" s="981"/>
      <c r="AU36" s="981"/>
      <c r="AV36" s="981"/>
      <c r="AW36" s="981"/>
      <c r="AX36" s="981"/>
      <c r="AY36" s="981"/>
      <c r="AZ36" s="981"/>
      <c r="BA36" s="981"/>
      <c r="BB36" s="981"/>
      <c r="BC36" s="981"/>
      <c r="BD36" s="981"/>
      <c r="BE36" s="981"/>
      <c r="BF36" s="981"/>
      <c r="BG36" s="981"/>
      <c r="BH36" s="981"/>
      <c r="BI36" s="981"/>
      <c r="BJ36" s="981"/>
      <c r="BK36" s="981"/>
      <c r="BL36" s="981"/>
      <c r="BM36" s="981"/>
      <c r="BN36" s="981"/>
      <c r="BO36" s="981"/>
      <c r="BP36" s="981"/>
    </row>
    <row r="37" spans="1:68" ht="14.1" customHeight="1">
      <c r="A37" s="1409">
        <v>23</v>
      </c>
      <c r="B37" s="1410" t="s">
        <v>2969</v>
      </c>
      <c r="C37" s="1411">
        <f t="shared" si="2"/>
        <v>1198</v>
      </c>
      <c r="D37" s="1412">
        <v>0</v>
      </c>
      <c r="E37" s="1411">
        <f t="shared" si="26"/>
        <v>1198</v>
      </c>
      <c r="F37" s="1411"/>
      <c r="G37" s="1411">
        <v>1198</v>
      </c>
      <c r="H37" s="1411"/>
      <c r="I37" s="1411"/>
      <c r="J37" s="1411">
        <f t="shared" ref="J37:J41" si="36">+K37+L37</f>
        <v>1507.4376</v>
      </c>
      <c r="K37" s="1405">
        <f t="shared" si="28"/>
        <v>0</v>
      </c>
      <c r="L37" s="1413">
        <f t="shared" ref="L37:L41" si="37">+Q37+X37+AE37+AL37+AS37+AZ37+BG37+BN37</f>
        <v>1507.4376</v>
      </c>
      <c r="M37" s="1414">
        <f t="shared" si="30"/>
        <v>1507.4376</v>
      </c>
      <c r="N37" s="1405">
        <f t="shared" si="31"/>
        <v>0</v>
      </c>
      <c r="O37" s="1412">
        <v>0</v>
      </c>
      <c r="P37" s="1412">
        <v>0</v>
      </c>
      <c r="Q37" s="1414">
        <f t="shared" si="32"/>
        <v>1507.4376</v>
      </c>
      <c r="R37" s="1414">
        <v>1507.4376</v>
      </c>
      <c r="S37" s="1412">
        <v>0</v>
      </c>
      <c r="T37" s="1412">
        <f t="shared" ref="T37:T40" si="38">+U37+X37</f>
        <v>0</v>
      </c>
      <c r="U37" s="1412">
        <v>0</v>
      </c>
      <c r="V37" s="1412">
        <v>0</v>
      </c>
      <c r="W37" s="1412">
        <v>0</v>
      </c>
      <c r="X37" s="1412">
        <v>0</v>
      </c>
      <c r="Y37" s="1412">
        <v>0</v>
      </c>
      <c r="Z37" s="1412">
        <v>0</v>
      </c>
      <c r="AA37" s="1412">
        <f t="shared" si="34"/>
        <v>0</v>
      </c>
      <c r="AB37" s="1412">
        <f t="shared" si="35"/>
        <v>0</v>
      </c>
      <c r="AC37" s="1412">
        <v>0</v>
      </c>
      <c r="AD37" s="1412">
        <v>0</v>
      </c>
      <c r="AE37" s="1412">
        <v>0</v>
      </c>
      <c r="AF37" s="1412">
        <v>0</v>
      </c>
      <c r="AG37" s="1412">
        <v>0</v>
      </c>
      <c r="AH37" s="1412">
        <v>0</v>
      </c>
      <c r="AI37" s="1412">
        <v>0</v>
      </c>
      <c r="AJ37" s="1412">
        <v>0</v>
      </c>
      <c r="AK37" s="1405">
        <v>0</v>
      </c>
      <c r="AL37" s="1405">
        <v>0</v>
      </c>
      <c r="AM37" s="1405">
        <v>0</v>
      </c>
      <c r="AN37" s="1405">
        <v>0</v>
      </c>
      <c r="AO37" s="1395"/>
      <c r="AP37" s="981"/>
      <c r="AQ37" s="981"/>
      <c r="AR37" s="981"/>
      <c r="AS37" s="981"/>
      <c r="AT37" s="981"/>
      <c r="AU37" s="981"/>
      <c r="AV37" s="981"/>
      <c r="AW37" s="981"/>
      <c r="AX37" s="981"/>
      <c r="AY37" s="981"/>
      <c r="AZ37" s="981"/>
      <c r="BA37" s="981"/>
      <c r="BB37" s="981"/>
      <c r="BC37" s="981"/>
      <c r="BD37" s="981"/>
      <c r="BE37" s="981"/>
      <c r="BF37" s="981"/>
      <c r="BG37" s="981"/>
      <c r="BH37" s="981"/>
      <c r="BI37" s="981"/>
      <c r="BJ37" s="981"/>
      <c r="BK37" s="981"/>
      <c r="BL37" s="981"/>
      <c r="BM37" s="981"/>
      <c r="BN37" s="981"/>
      <c r="BO37" s="981"/>
      <c r="BP37" s="981"/>
    </row>
    <row r="38" spans="1:68" ht="14.1" customHeight="1">
      <c r="A38" s="1409">
        <v>24</v>
      </c>
      <c r="B38" s="1410" t="s">
        <v>1445</v>
      </c>
      <c r="C38" s="1411">
        <f t="shared" si="2"/>
        <v>380</v>
      </c>
      <c r="D38" s="1412">
        <v>0</v>
      </c>
      <c r="E38" s="1411">
        <f t="shared" si="26"/>
        <v>380</v>
      </c>
      <c r="F38" s="1411"/>
      <c r="G38" s="1411">
        <v>380</v>
      </c>
      <c r="H38" s="1411"/>
      <c r="I38" s="1411"/>
      <c r="J38" s="1411">
        <f t="shared" si="36"/>
        <v>356.27</v>
      </c>
      <c r="K38" s="1405">
        <f t="shared" si="28"/>
        <v>0</v>
      </c>
      <c r="L38" s="1413">
        <f t="shared" si="37"/>
        <v>356.27</v>
      </c>
      <c r="M38" s="1414">
        <f t="shared" si="30"/>
        <v>356.27</v>
      </c>
      <c r="N38" s="1405">
        <f t="shared" si="31"/>
        <v>0</v>
      </c>
      <c r="O38" s="1412">
        <v>0</v>
      </c>
      <c r="P38" s="1412">
        <v>0</v>
      </c>
      <c r="Q38" s="1414">
        <f t="shared" si="32"/>
        <v>356.27</v>
      </c>
      <c r="R38" s="1414">
        <v>356.27</v>
      </c>
      <c r="S38" s="1412">
        <v>0</v>
      </c>
      <c r="T38" s="1412">
        <f t="shared" si="38"/>
        <v>0</v>
      </c>
      <c r="U38" s="1412">
        <v>0</v>
      </c>
      <c r="V38" s="1412">
        <v>0</v>
      </c>
      <c r="W38" s="1412">
        <v>0</v>
      </c>
      <c r="X38" s="1412">
        <v>0</v>
      </c>
      <c r="Y38" s="1412">
        <v>0</v>
      </c>
      <c r="Z38" s="1412">
        <v>0</v>
      </c>
      <c r="AA38" s="1412">
        <f t="shared" si="34"/>
        <v>0</v>
      </c>
      <c r="AB38" s="1412">
        <f t="shared" si="35"/>
        <v>0</v>
      </c>
      <c r="AC38" s="1412">
        <v>0</v>
      </c>
      <c r="AD38" s="1412">
        <v>0</v>
      </c>
      <c r="AE38" s="1412">
        <v>0</v>
      </c>
      <c r="AF38" s="1412">
        <v>0</v>
      </c>
      <c r="AG38" s="1412">
        <v>0</v>
      </c>
      <c r="AH38" s="1412">
        <v>0</v>
      </c>
      <c r="AI38" s="1412">
        <v>0</v>
      </c>
      <c r="AJ38" s="1412">
        <v>0</v>
      </c>
      <c r="AK38" s="1405">
        <v>0</v>
      </c>
      <c r="AL38" s="1405">
        <v>0</v>
      </c>
      <c r="AM38" s="1405">
        <v>0</v>
      </c>
      <c r="AN38" s="1405">
        <v>0</v>
      </c>
      <c r="AO38" s="1395"/>
      <c r="AP38" s="981"/>
      <c r="AQ38" s="981"/>
      <c r="AR38" s="981"/>
      <c r="AS38" s="981"/>
      <c r="AT38" s="981"/>
      <c r="AU38" s="981"/>
      <c r="AV38" s="981"/>
      <c r="AW38" s="981"/>
      <c r="AX38" s="981"/>
      <c r="AY38" s="981"/>
      <c r="AZ38" s="981"/>
      <c r="BA38" s="981"/>
      <c r="BB38" s="981"/>
      <c r="BC38" s="981"/>
      <c r="BD38" s="981"/>
      <c r="BE38" s="981"/>
      <c r="BF38" s="981"/>
      <c r="BG38" s="981"/>
      <c r="BH38" s="981"/>
      <c r="BI38" s="981"/>
      <c r="BJ38" s="981"/>
      <c r="BK38" s="981"/>
      <c r="BL38" s="981"/>
      <c r="BM38" s="981"/>
      <c r="BN38" s="981"/>
      <c r="BO38" s="981"/>
      <c r="BP38" s="981"/>
    </row>
    <row r="39" spans="1:68" ht="14.1" customHeight="1">
      <c r="A39" s="1409">
        <v>25</v>
      </c>
      <c r="B39" s="1410" t="s">
        <v>2821</v>
      </c>
      <c r="C39" s="1411">
        <f t="shared" si="2"/>
        <v>900</v>
      </c>
      <c r="D39" s="1412">
        <v>0</v>
      </c>
      <c r="E39" s="1411">
        <f t="shared" si="26"/>
        <v>900</v>
      </c>
      <c r="F39" s="1411"/>
      <c r="G39" s="1411"/>
      <c r="H39" s="1411"/>
      <c r="I39" s="1411">
        <v>900</v>
      </c>
      <c r="J39" s="1411">
        <f t="shared" si="36"/>
        <v>0</v>
      </c>
      <c r="K39" s="1405">
        <f t="shared" si="28"/>
        <v>0</v>
      </c>
      <c r="L39" s="1412">
        <f t="shared" si="37"/>
        <v>0</v>
      </c>
      <c r="M39" s="1412">
        <f t="shared" si="30"/>
        <v>0</v>
      </c>
      <c r="N39" s="1405">
        <f t="shared" si="31"/>
        <v>0</v>
      </c>
      <c r="O39" s="1412">
        <v>0</v>
      </c>
      <c r="P39" s="1412">
        <v>0</v>
      </c>
      <c r="Q39" s="1414">
        <f t="shared" si="32"/>
        <v>0</v>
      </c>
      <c r="R39" s="1414">
        <v>0</v>
      </c>
      <c r="S39" s="1412">
        <v>0</v>
      </c>
      <c r="T39" s="1412">
        <f t="shared" si="38"/>
        <v>0</v>
      </c>
      <c r="U39" s="1412">
        <v>0</v>
      </c>
      <c r="V39" s="1412">
        <v>0</v>
      </c>
      <c r="W39" s="1412">
        <v>0</v>
      </c>
      <c r="X39" s="1412">
        <v>0</v>
      </c>
      <c r="Y39" s="1412">
        <v>0</v>
      </c>
      <c r="Z39" s="1412">
        <v>0</v>
      </c>
      <c r="AA39" s="1412">
        <f t="shared" si="34"/>
        <v>0</v>
      </c>
      <c r="AB39" s="1412">
        <f t="shared" si="35"/>
        <v>0</v>
      </c>
      <c r="AC39" s="1412">
        <v>0</v>
      </c>
      <c r="AD39" s="1412">
        <v>0</v>
      </c>
      <c r="AE39" s="1412">
        <v>0</v>
      </c>
      <c r="AF39" s="1412">
        <v>0</v>
      </c>
      <c r="AG39" s="1412">
        <v>0</v>
      </c>
      <c r="AH39" s="1412">
        <v>0</v>
      </c>
      <c r="AI39" s="1412">
        <v>0</v>
      </c>
      <c r="AJ39" s="1412">
        <v>0</v>
      </c>
      <c r="AK39" s="1405">
        <v>0</v>
      </c>
      <c r="AL39" s="1405">
        <v>0</v>
      </c>
      <c r="AM39" s="1405">
        <v>0</v>
      </c>
      <c r="AN39" s="1405">
        <v>0</v>
      </c>
      <c r="AO39" s="1395"/>
      <c r="AP39" s="981"/>
      <c r="AQ39" s="981"/>
      <c r="AR39" s="981"/>
      <c r="AS39" s="981"/>
      <c r="AT39" s="981"/>
      <c r="AU39" s="981"/>
      <c r="AV39" s="981"/>
      <c r="AW39" s="981"/>
      <c r="AX39" s="981"/>
      <c r="AY39" s="981"/>
      <c r="AZ39" s="981"/>
      <c r="BA39" s="981"/>
      <c r="BB39" s="981"/>
      <c r="BC39" s="981"/>
      <c r="BD39" s="981"/>
      <c r="BE39" s="981"/>
      <c r="BF39" s="981"/>
      <c r="BG39" s="981"/>
      <c r="BH39" s="981"/>
      <c r="BI39" s="981"/>
      <c r="BJ39" s="981"/>
      <c r="BK39" s="981"/>
      <c r="BL39" s="981"/>
      <c r="BM39" s="981"/>
      <c r="BN39" s="981"/>
      <c r="BO39" s="981"/>
      <c r="BP39" s="981"/>
    </row>
    <row r="40" spans="1:68" ht="14.1" customHeight="1">
      <c r="A40" s="1409">
        <v>26</v>
      </c>
      <c r="B40" s="1410" t="s">
        <v>2970</v>
      </c>
      <c r="C40" s="1411">
        <f t="shared" si="2"/>
        <v>50</v>
      </c>
      <c r="D40" s="1412">
        <v>0</v>
      </c>
      <c r="E40" s="1411">
        <f t="shared" si="26"/>
        <v>50</v>
      </c>
      <c r="F40" s="1411"/>
      <c r="G40" s="1411"/>
      <c r="H40" s="1411"/>
      <c r="I40" s="1411">
        <v>50</v>
      </c>
      <c r="J40" s="1411">
        <f t="shared" si="36"/>
        <v>0</v>
      </c>
      <c r="K40" s="1405">
        <f t="shared" si="28"/>
        <v>0</v>
      </c>
      <c r="L40" s="1412">
        <f t="shared" si="37"/>
        <v>0</v>
      </c>
      <c r="M40" s="1412">
        <f t="shared" si="30"/>
        <v>0</v>
      </c>
      <c r="N40" s="1405">
        <f t="shared" si="31"/>
        <v>0</v>
      </c>
      <c r="O40" s="1412">
        <v>0</v>
      </c>
      <c r="P40" s="1412">
        <v>0</v>
      </c>
      <c r="Q40" s="1414">
        <f t="shared" si="32"/>
        <v>0</v>
      </c>
      <c r="R40" s="1414">
        <v>0</v>
      </c>
      <c r="S40" s="1412">
        <v>0</v>
      </c>
      <c r="T40" s="1412">
        <f t="shared" si="38"/>
        <v>0</v>
      </c>
      <c r="U40" s="1412">
        <v>0</v>
      </c>
      <c r="V40" s="1412">
        <v>0</v>
      </c>
      <c r="W40" s="1412">
        <v>0</v>
      </c>
      <c r="X40" s="1412">
        <v>0</v>
      </c>
      <c r="Y40" s="1412">
        <v>0</v>
      </c>
      <c r="Z40" s="1412">
        <v>0</v>
      </c>
      <c r="AA40" s="1412">
        <f t="shared" si="34"/>
        <v>0</v>
      </c>
      <c r="AB40" s="1412">
        <f t="shared" si="35"/>
        <v>0</v>
      </c>
      <c r="AC40" s="1412">
        <v>0</v>
      </c>
      <c r="AD40" s="1412">
        <v>0</v>
      </c>
      <c r="AE40" s="1412">
        <v>0</v>
      </c>
      <c r="AF40" s="1412">
        <v>0</v>
      </c>
      <c r="AG40" s="1412">
        <v>0</v>
      </c>
      <c r="AH40" s="1412">
        <v>0</v>
      </c>
      <c r="AI40" s="1412">
        <v>0</v>
      </c>
      <c r="AJ40" s="1412">
        <v>0</v>
      </c>
      <c r="AK40" s="1405">
        <v>0</v>
      </c>
      <c r="AL40" s="1405">
        <v>0</v>
      </c>
      <c r="AM40" s="1405">
        <v>0</v>
      </c>
      <c r="AN40" s="1405">
        <v>0</v>
      </c>
      <c r="AO40" s="1395"/>
      <c r="AP40" s="981"/>
      <c r="AQ40" s="981"/>
      <c r="AR40" s="981"/>
      <c r="AS40" s="981"/>
      <c r="AT40" s="981"/>
      <c r="AU40" s="981"/>
      <c r="AV40" s="981"/>
      <c r="AW40" s="981"/>
      <c r="AX40" s="981"/>
      <c r="AY40" s="981"/>
      <c r="AZ40" s="981"/>
      <c r="BA40" s="981"/>
      <c r="BB40" s="981"/>
      <c r="BC40" s="981"/>
      <c r="BD40" s="981"/>
      <c r="BE40" s="981"/>
      <c r="BF40" s="981"/>
      <c r="BG40" s="981"/>
      <c r="BH40" s="981"/>
      <c r="BI40" s="981"/>
      <c r="BJ40" s="981"/>
      <c r="BK40" s="981"/>
      <c r="BL40" s="981"/>
      <c r="BM40" s="981"/>
      <c r="BN40" s="981"/>
      <c r="BO40" s="981"/>
      <c r="BP40" s="981"/>
    </row>
    <row r="41" spans="1:68" hidden="1">
      <c r="A41" s="1409"/>
      <c r="B41" s="1410"/>
      <c r="C41" s="1411">
        <f t="shared" si="2"/>
        <v>0</v>
      </c>
      <c r="D41" s="1405">
        <f t="shared" si="3"/>
        <v>0</v>
      </c>
      <c r="E41" s="1411">
        <f t="shared" si="4"/>
        <v>0</v>
      </c>
      <c r="F41" s="1411"/>
      <c r="G41" s="1411"/>
      <c r="H41" s="1411"/>
      <c r="I41" s="1411"/>
      <c r="J41" s="1411">
        <f t="shared" si="36"/>
        <v>0</v>
      </c>
      <c r="K41" s="1405">
        <f t="shared" si="28"/>
        <v>0</v>
      </c>
      <c r="L41" s="1416">
        <f t="shared" si="37"/>
        <v>0</v>
      </c>
      <c r="M41" s="1414">
        <f t="shared" si="30"/>
        <v>0</v>
      </c>
      <c r="N41" s="1405">
        <f t="shared" si="31"/>
        <v>0</v>
      </c>
      <c r="O41" s="1405">
        <v>0</v>
      </c>
      <c r="P41" s="1405">
        <v>0</v>
      </c>
      <c r="Q41" s="1414">
        <f t="shared" si="32"/>
        <v>0</v>
      </c>
      <c r="R41" s="1414"/>
      <c r="S41" s="1414"/>
      <c r="T41" s="1414">
        <f t="shared" si="10"/>
        <v>0</v>
      </c>
      <c r="U41" s="1414">
        <f t="shared" si="11"/>
        <v>0</v>
      </c>
      <c r="V41" s="1414"/>
      <c r="W41" s="1414"/>
      <c r="X41" s="1414">
        <f t="shared" si="12"/>
        <v>0</v>
      </c>
      <c r="Y41" s="1414"/>
      <c r="Z41" s="1414"/>
      <c r="AA41" s="1414">
        <f t="shared" si="13"/>
        <v>0</v>
      </c>
      <c r="AB41" s="1414">
        <f t="shared" si="14"/>
        <v>0</v>
      </c>
      <c r="AC41" s="1414"/>
      <c r="AD41" s="1414"/>
      <c r="AE41" s="1414">
        <f t="shared" si="15"/>
        <v>0</v>
      </c>
      <c r="AF41" s="1414"/>
      <c r="AG41" s="1414"/>
      <c r="AH41" s="1414">
        <f t="shared" si="16"/>
        <v>0</v>
      </c>
      <c r="AI41" s="1414">
        <f t="shared" si="17"/>
        <v>0</v>
      </c>
      <c r="AJ41" s="1414"/>
      <c r="AK41" s="1414"/>
      <c r="AL41" s="1414">
        <f t="shared" si="18"/>
        <v>0</v>
      </c>
      <c r="AM41" s="1414"/>
      <c r="AN41" s="1414"/>
      <c r="AO41" s="1395">
        <f t="shared" si="19"/>
        <v>0</v>
      </c>
      <c r="AP41" s="981">
        <f t="shared" si="20"/>
        <v>0</v>
      </c>
      <c r="AQ41" s="981"/>
      <c r="AR41" s="981"/>
      <c r="AS41" s="981">
        <f t="shared" si="21"/>
        <v>0</v>
      </c>
      <c r="AT41" s="981"/>
      <c r="AU41" s="981"/>
      <c r="AV41" s="981">
        <f t="shared" si="22"/>
        <v>0</v>
      </c>
      <c r="AW41" s="981">
        <f t="shared" si="23"/>
        <v>0</v>
      </c>
      <c r="AX41" s="981"/>
      <c r="AY41" s="981"/>
      <c r="AZ41" s="981">
        <f t="shared" si="24"/>
        <v>0</v>
      </c>
      <c r="BA41" s="981"/>
      <c r="BB41" s="981"/>
      <c r="BC41" s="981"/>
      <c r="BD41" s="981"/>
      <c r="BE41" s="981"/>
      <c r="BF41" s="981"/>
      <c r="BG41" s="981"/>
      <c r="BH41" s="981"/>
      <c r="BI41" s="981"/>
      <c r="BJ41" s="981"/>
      <c r="BK41" s="981"/>
      <c r="BL41" s="981"/>
      <c r="BM41" s="981"/>
      <c r="BN41" s="981"/>
      <c r="BO41" s="981"/>
      <c r="BP41" s="981"/>
    </row>
    <row r="42" spans="1:68" s="177" customFormat="1" ht="14.1" customHeight="1">
      <c r="A42" s="1398" t="s">
        <v>109</v>
      </c>
      <c r="B42" s="1417" t="s">
        <v>485</v>
      </c>
      <c r="C42" s="1404">
        <f>SUM(C43:C51)</f>
        <v>114091.9</v>
      </c>
      <c r="D42" s="1404">
        <f>SUM(D43:D51)</f>
        <v>91549</v>
      </c>
      <c r="E42" s="1404">
        <f>SUM(E43:E51)</f>
        <v>22542.9</v>
      </c>
      <c r="F42" s="1404">
        <f t="shared" ref="F42:K42" si="39">SUM(F43:F51)</f>
        <v>32149</v>
      </c>
      <c r="G42" s="1404">
        <f t="shared" si="39"/>
        <v>11651</v>
      </c>
      <c r="H42" s="1404">
        <f t="shared" si="39"/>
        <v>59400</v>
      </c>
      <c r="I42" s="1404">
        <f t="shared" si="39"/>
        <v>10891.899999999998</v>
      </c>
      <c r="J42" s="1404">
        <f t="shared" si="39"/>
        <v>136667.627011</v>
      </c>
      <c r="K42" s="1404">
        <f t="shared" si="39"/>
        <v>109056.67176099999</v>
      </c>
      <c r="L42" s="1404">
        <f t="shared" ref="L42:BP42" si="40">SUM(L43:L51)</f>
        <v>27610.955250000003</v>
      </c>
      <c r="M42" s="1404">
        <f t="shared" si="40"/>
        <v>53400.206973999993</v>
      </c>
      <c r="N42" s="1404">
        <f t="shared" si="40"/>
        <v>38334.469483999994</v>
      </c>
      <c r="O42" s="1404">
        <f t="shared" si="40"/>
        <v>38334.469483999994</v>
      </c>
      <c r="P42" s="1407">
        <f t="shared" si="40"/>
        <v>0</v>
      </c>
      <c r="Q42" s="1404">
        <f t="shared" si="40"/>
        <v>15065.737490000001</v>
      </c>
      <c r="R42" s="1404">
        <f t="shared" si="40"/>
        <v>15065.737490000001</v>
      </c>
      <c r="S42" s="1412">
        <f t="shared" si="40"/>
        <v>0</v>
      </c>
      <c r="T42" s="1404">
        <f t="shared" si="40"/>
        <v>83015.248055999997</v>
      </c>
      <c r="U42" s="1404">
        <f t="shared" si="40"/>
        <v>70722.202277000004</v>
      </c>
      <c r="V42" s="1404">
        <f t="shared" si="40"/>
        <v>70722.202277000004</v>
      </c>
      <c r="W42" s="1407">
        <f t="shared" si="40"/>
        <v>0</v>
      </c>
      <c r="X42" s="1404">
        <f t="shared" si="40"/>
        <v>12293.045779</v>
      </c>
      <c r="Y42" s="1404">
        <f t="shared" si="40"/>
        <v>12293.045779</v>
      </c>
      <c r="Z42" s="1412">
        <f t="shared" si="40"/>
        <v>0</v>
      </c>
      <c r="AA42" s="1407">
        <f t="shared" si="40"/>
        <v>252.17198099999999</v>
      </c>
      <c r="AB42" s="1412">
        <f t="shared" si="40"/>
        <v>0</v>
      </c>
      <c r="AC42" s="1412">
        <f t="shared" si="40"/>
        <v>0</v>
      </c>
      <c r="AD42" s="1412">
        <f t="shared" si="40"/>
        <v>0</v>
      </c>
      <c r="AE42" s="1404">
        <f t="shared" si="40"/>
        <v>252.17198099999999</v>
      </c>
      <c r="AF42" s="1407">
        <f t="shared" si="40"/>
        <v>252.17198099999999</v>
      </c>
      <c r="AG42" s="1412">
        <f t="shared" si="40"/>
        <v>0</v>
      </c>
      <c r="AH42" s="1412">
        <f t="shared" si="40"/>
        <v>0</v>
      </c>
      <c r="AI42" s="1412">
        <f t="shared" si="40"/>
        <v>0</v>
      </c>
      <c r="AJ42" s="1412">
        <f t="shared" si="40"/>
        <v>0</v>
      </c>
      <c r="AK42" s="1412">
        <f t="shared" si="40"/>
        <v>0</v>
      </c>
      <c r="AL42" s="1412">
        <f t="shared" si="40"/>
        <v>0</v>
      </c>
      <c r="AM42" s="1412">
        <f t="shared" si="40"/>
        <v>0</v>
      </c>
      <c r="AN42" s="1412">
        <f t="shared" si="40"/>
        <v>0</v>
      </c>
      <c r="AO42" s="1396">
        <f t="shared" si="40"/>
        <v>0</v>
      </c>
      <c r="AP42" s="983">
        <f t="shared" si="40"/>
        <v>0</v>
      </c>
      <c r="AQ42" s="983">
        <f t="shared" si="40"/>
        <v>0</v>
      </c>
      <c r="AR42" s="983">
        <f t="shared" si="40"/>
        <v>0</v>
      </c>
      <c r="AS42" s="983">
        <f t="shared" si="40"/>
        <v>0</v>
      </c>
      <c r="AT42" s="983">
        <f t="shared" si="40"/>
        <v>0</v>
      </c>
      <c r="AU42" s="983">
        <f t="shared" si="40"/>
        <v>0</v>
      </c>
      <c r="AV42" s="983">
        <f t="shared" si="40"/>
        <v>0</v>
      </c>
      <c r="AW42" s="983">
        <f t="shared" si="40"/>
        <v>0</v>
      </c>
      <c r="AX42" s="983">
        <f t="shared" si="40"/>
        <v>0</v>
      </c>
      <c r="AY42" s="983">
        <f t="shared" si="40"/>
        <v>0</v>
      </c>
      <c r="AZ42" s="983">
        <f t="shared" si="40"/>
        <v>0</v>
      </c>
      <c r="BA42" s="983">
        <f t="shared" si="40"/>
        <v>0</v>
      </c>
      <c r="BB42" s="983">
        <f t="shared" si="40"/>
        <v>0</v>
      </c>
      <c r="BC42" s="983">
        <f t="shared" si="40"/>
        <v>0</v>
      </c>
      <c r="BD42" s="983">
        <f t="shared" si="40"/>
        <v>0</v>
      </c>
      <c r="BE42" s="983">
        <f t="shared" si="40"/>
        <v>0</v>
      </c>
      <c r="BF42" s="983">
        <f t="shared" si="40"/>
        <v>0</v>
      </c>
      <c r="BG42" s="983">
        <f t="shared" si="40"/>
        <v>0</v>
      </c>
      <c r="BH42" s="983">
        <f t="shared" si="40"/>
        <v>0</v>
      </c>
      <c r="BI42" s="983">
        <f t="shared" si="40"/>
        <v>0</v>
      </c>
      <c r="BJ42" s="983">
        <f t="shared" si="40"/>
        <v>0</v>
      </c>
      <c r="BK42" s="983">
        <f t="shared" si="40"/>
        <v>0</v>
      </c>
      <c r="BL42" s="983">
        <f t="shared" si="40"/>
        <v>0</v>
      </c>
      <c r="BM42" s="983">
        <f t="shared" si="40"/>
        <v>0</v>
      </c>
      <c r="BN42" s="983">
        <f t="shared" si="40"/>
        <v>0</v>
      </c>
      <c r="BO42" s="983">
        <f t="shared" si="40"/>
        <v>0</v>
      </c>
      <c r="BP42" s="983">
        <f t="shared" si="40"/>
        <v>0</v>
      </c>
    </row>
    <row r="43" spans="1:68" ht="14.1" customHeight="1">
      <c r="A43" s="1418">
        <v>1</v>
      </c>
      <c r="B43" s="1419" t="s">
        <v>344</v>
      </c>
      <c r="C43" s="1411">
        <f>+D43+E43</f>
        <v>3180.9</v>
      </c>
      <c r="D43" s="1411">
        <f t="shared" si="3"/>
        <v>2000</v>
      </c>
      <c r="E43" s="1411">
        <f t="shared" si="4"/>
        <v>1180.9000000000001</v>
      </c>
      <c r="F43" s="1411"/>
      <c r="G43" s="1411"/>
      <c r="H43" s="1411">
        <v>2000</v>
      </c>
      <c r="I43" s="1411">
        <v>1180.9000000000001</v>
      </c>
      <c r="J43" s="1411">
        <f>+K43+L43</f>
        <v>3864.9997990000002</v>
      </c>
      <c r="K43" s="1411">
        <f>+N43+U43+AB43+AI43+AP43+AW43+BD43+BK43</f>
        <v>2450.2168000000001</v>
      </c>
      <c r="L43" s="1411">
        <f>+Q43+X43+AE43+AL43+AS43+AZ43+BG43+BN43</f>
        <v>1414.782999</v>
      </c>
      <c r="M43" s="1411">
        <f>+N43+Q43</f>
        <v>0</v>
      </c>
      <c r="N43" s="1411">
        <f>+O43+P43</f>
        <v>0</v>
      </c>
      <c r="O43" s="1414">
        <v>0</v>
      </c>
      <c r="P43" s="1414">
        <v>0</v>
      </c>
      <c r="Q43" s="1411">
        <f>+R43+S43</f>
        <v>0</v>
      </c>
      <c r="R43" s="1414">
        <v>0</v>
      </c>
      <c r="S43" s="1412">
        <v>0</v>
      </c>
      <c r="T43" s="1411">
        <f>+U43+X43</f>
        <v>3864.9997990000002</v>
      </c>
      <c r="U43" s="1411">
        <f>+V43+W43</f>
        <v>2450.2168000000001</v>
      </c>
      <c r="V43" s="1411">
        <v>2450.2168000000001</v>
      </c>
      <c r="W43" s="1414">
        <v>0</v>
      </c>
      <c r="X43" s="1411">
        <f>+Y43+Z43</f>
        <v>1414.782999</v>
      </c>
      <c r="Y43" s="1411">
        <v>1414.782999</v>
      </c>
      <c r="Z43" s="1412">
        <v>0</v>
      </c>
      <c r="AA43" s="1414">
        <f>+AB43+AE43</f>
        <v>0</v>
      </c>
      <c r="AB43" s="1412">
        <f>+AC43+AD43</f>
        <v>0</v>
      </c>
      <c r="AC43" s="1412">
        <v>0</v>
      </c>
      <c r="AD43" s="1412">
        <v>0</v>
      </c>
      <c r="AE43" s="1411">
        <f>+AF43+AG43</f>
        <v>0</v>
      </c>
      <c r="AF43" s="1414"/>
      <c r="AG43" s="1412">
        <v>0</v>
      </c>
      <c r="AH43" s="1412">
        <f>+AI43+AL43</f>
        <v>0</v>
      </c>
      <c r="AI43" s="1412">
        <f>+AJ43+AK43</f>
        <v>0</v>
      </c>
      <c r="AJ43" s="1412">
        <v>0</v>
      </c>
      <c r="AK43" s="1412">
        <v>0</v>
      </c>
      <c r="AL43" s="1412">
        <f>+AM43+AN43</f>
        <v>0</v>
      </c>
      <c r="AM43" s="1412">
        <v>0</v>
      </c>
      <c r="AN43" s="1412">
        <v>0</v>
      </c>
      <c r="AO43" s="1395">
        <f>+AP43+AS43</f>
        <v>0</v>
      </c>
      <c r="AP43" s="981">
        <f>+AQ43+AR43</f>
        <v>0</v>
      </c>
      <c r="AQ43" s="981"/>
      <c r="AR43" s="981"/>
      <c r="AS43" s="981">
        <f>+AT43+AU43</f>
        <v>0</v>
      </c>
      <c r="AT43" s="981"/>
      <c r="AU43" s="981"/>
      <c r="AV43" s="981">
        <f>+AW43+AZ43</f>
        <v>0</v>
      </c>
      <c r="AW43" s="981">
        <f>+AX43+AY43</f>
        <v>0</v>
      </c>
      <c r="AX43" s="981"/>
      <c r="AY43" s="981"/>
      <c r="AZ43" s="981">
        <f>+BA43+BB43</f>
        <v>0</v>
      </c>
      <c r="BA43" s="981"/>
      <c r="BB43" s="981"/>
      <c r="BC43" s="981">
        <f>+BD43+BG43</f>
        <v>0</v>
      </c>
      <c r="BD43" s="981">
        <f>+BE43+BF43</f>
        <v>0</v>
      </c>
      <c r="BE43" s="981"/>
      <c r="BF43" s="981"/>
      <c r="BG43" s="981">
        <f>+BH43+BI43</f>
        <v>0</v>
      </c>
      <c r="BH43" s="981"/>
      <c r="BI43" s="981"/>
      <c r="BJ43" s="981">
        <f>+BK43+BN43</f>
        <v>0</v>
      </c>
      <c r="BK43" s="981">
        <f>+BL43+BM43</f>
        <v>0</v>
      </c>
      <c r="BL43" s="981"/>
      <c r="BM43" s="981"/>
      <c r="BN43" s="981">
        <f>+BO43+BP43</f>
        <v>0</v>
      </c>
      <c r="BO43" s="981"/>
      <c r="BP43" s="981"/>
    </row>
    <row r="44" spans="1:68" ht="14.1" customHeight="1">
      <c r="A44" s="1418">
        <v>2</v>
      </c>
      <c r="B44" s="1419" t="s">
        <v>346</v>
      </c>
      <c r="C44" s="1411">
        <f>+D44+E44</f>
        <v>14112.8</v>
      </c>
      <c r="D44" s="1411">
        <f t="shared" si="3"/>
        <v>12050</v>
      </c>
      <c r="E44" s="1411">
        <f t="shared" si="4"/>
        <v>2062.8000000000002</v>
      </c>
      <c r="F44" s="1411">
        <v>1050</v>
      </c>
      <c r="G44" s="1411">
        <v>350</v>
      </c>
      <c r="H44" s="1411">
        <v>11000</v>
      </c>
      <c r="I44" s="1411">
        <v>1712.8</v>
      </c>
      <c r="J44" s="1411">
        <f t="shared" ref="J44:J51" si="41">+K44+L44</f>
        <v>16403.819043000003</v>
      </c>
      <c r="K44" s="1411">
        <f>+N44+U44+AB44+AI44+AP44+AW44+BD44+BK44</f>
        <v>13614.619563000002</v>
      </c>
      <c r="L44" s="1411">
        <f>+Q44+X44+AE44+AL44+AS44+AZ44+BG44+BN44</f>
        <v>2789.1994800000002</v>
      </c>
      <c r="M44" s="1411">
        <f t="shared" ref="M44:M51" si="42">+N44+Q44</f>
        <v>1766.8135630000002</v>
      </c>
      <c r="N44" s="1411">
        <f t="shared" ref="N44:N51" si="43">+O44+P44</f>
        <v>1044.414563</v>
      </c>
      <c r="O44" s="1411">
        <v>1044.414563</v>
      </c>
      <c r="P44" s="1414">
        <v>0</v>
      </c>
      <c r="Q44" s="1411">
        <f t="shared" ref="Q44:Q51" si="44">+R44+S44</f>
        <v>722.399</v>
      </c>
      <c r="R44" s="1411">
        <v>722.399</v>
      </c>
      <c r="S44" s="1412">
        <v>0</v>
      </c>
      <c r="T44" s="1411">
        <f>+U44+X44</f>
        <v>14465.504480000001</v>
      </c>
      <c r="U44" s="1411">
        <f>+V44+W44</f>
        <v>12570.205000000002</v>
      </c>
      <c r="V44" s="1411">
        <f>2489.139+10081.066</f>
        <v>12570.205000000002</v>
      </c>
      <c r="W44" s="1414">
        <v>0</v>
      </c>
      <c r="X44" s="1411">
        <f>+Y44+Z44</f>
        <v>1895.2994799999999</v>
      </c>
      <c r="Y44" s="1411">
        <f>1282.32848+612.971</f>
        <v>1895.2994799999999</v>
      </c>
      <c r="Z44" s="1412">
        <v>0</v>
      </c>
      <c r="AA44" s="1414">
        <f>+AB44+AE44</f>
        <v>171.501</v>
      </c>
      <c r="AB44" s="1412">
        <f>+AC44+AD44</f>
        <v>0</v>
      </c>
      <c r="AC44" s="1412">
        <v>0</v>
      </c>
      <c r="AD44" s="1412">
        <v>0</v>
      </c>
      <c r="AE44" s="1411">
        <f>+AF44+AG44</f>
        <v>171.501</v>
      </c>
      <c r="AF44" s="1414">
        <v>171.501</v>
      </c>
      <c r="AG44" s="1412">
        <v>0</v>
      </c>
      <c r="AH44" s="1412">
        <f>+AI44+AL44</f>
        <v>0</v>
      </c>
      <c r="AI44" s="1412">
        <f>+AJ44+AK44</f>
        <v>0</v>
      </c>
      <c r="AJ44" s="1412">
        <v>0</v>
      </c>
      <c r="AK44" s="1412">
        <v>0</v>
      </c>
      <c r="AL44" s="1412">
        <f>+AM44+AN44</f>
        <v>0</v>
      </c>
      <c r="AM44" s="1412">
        <v>0</v>
      </c>
      <c r="AN44" s="1412">
        <v>0</v>
      </c>
      <c r="AO44" s="1395">
        <f>+AP44+AS44</f>
        <v>0</v>
      </c>
      <c r="AP44" s="981">
        <f>+AQ44+AR44</f>
        <v>0</v>
      </c>
      <c r="AQ44" s="981"/>
      <c r="AR44" s="981"/>
      <c r="AS44" s="981">
        <f>+AT44+AU44</f>
        <v>0</v>
      </c>
      <c r="AT44" s="981"/>
      <c r="AU44" s="981"/>
      <c r="AV44" s="981">
        <f>+AW44+AZ44</f>
        <v>0</v>
      </c>
      <c r="AW44" s="981">
        <f>+AX44+AY44</f>
        <v>0</v>
      </c>
      <c r="AX44" s="981"/>
      <c r="AY44" s="981"/>
      <c r="AZ44" s="981">
        <f>+BA44+BB44</f>
        <v>0</v>
      </c>
      <c r="BA44" s="981"/>
      <c r="BB44" s="981"/>
      <c r="BC44" s="981">
        <f>+BD44+BG44</f>
        <v>0</v>
      </c>
      <c r="BD44" s="981">
        <f>+BE44+BF44</f>
        <v>0</v>
      </c>
      <c r="BE44" s="981"/>
      <c r="BF44" s="981"/>
      <c r="BG44" s="981">
        <f>+BH44+BI44</f>
        <v>0</v>
      </c>
      <c r="BH44" s="981"/>
      <c r="BI44" s="981"/>
      <c r="BJ44" s="981">
        <f>+BK44+BN44</f>
        <v>0</v>
      </c>
      <c r="BK44" s="981">
        <f>+BL44+BM44</f>
        <v>0</v>
      </c>
      <c r="BL44" s="981"/>
      <c r="BM44" s="981"/>
      <c r="BN44" s="981">
        <f>+BO44+BP44</f>
        <v>0</v>
      </c>
      <c r="BO44" s="981"/>
      <c r="BP44" s="981"/>
    </row>
    <row r="45" spans="1:68" ht="14.1" customHeight="1">
      <c r="A45" s="1418">
        <v>3</v>
      </c>
      <c r="B45" s="1419" t="s">
        <v>345</v>
      </c>
      <c r="C45" s="1411">
        <f t="shared" ref="C45:C51" si="45">+D45+E45</f>
        <v>20414.7</v>
      </c>
      <c r="D45" s="1411">
        <f t="shared" si="3"/>
        <v>16562</v>
      </c>
      <c r="E45" s="1411">
        <f t="shared" si="4"/>
        <v>3852.7</v>
      </c>
      <c r="F45" s="1411">
        <v>6750</v>
      </c>
      <c r="G45" s="1411">
        <v>2700</v>
      </c>
      <c r="H45" s="1411">
        <v>9812</v>
      </c>
      <c r="I45" s="1411">
        <v>1152.7</v>
      </c>
      <c r="J45" s="1411">
        <f t="shared" si="41"/>
        <v>20973.763682000001</v>
      </c>
      <c r="K45" s="1411">
        <f t="shared" ref="K45:K50" si="46">+N45+U45+AB45+AI45+AP45+AW45+BD45+BK45</f>
        <v>17129.474792000001</v>
      </c>
      <c r="L45" s="1411">
        <f t="shared" ref="L45:L51" si="47">+Q45+X45+AE45+AL45+AS45+AZ45+BG45+BN45</f>
        <v>3844.2888899999998</v>
      </c>
      <c r="M45" s="1411">
        <f t="shared" si="42"/>
        <v>10348.247681999999</v>
      </c>
      <c r="N45" s="1411">
        <f t="shared" si="43"/>
        <v>7649.3977919999998</v>
      </c>
      <c r="O45" s="1411">
        <v>7649.3977919999998</v>
      </c>
      <c r="P45" s="1414">
        <v>0</v>
      </c>
      <c r="Q45" s="1411">
        <f t="shared" si="44"/>
        <v>2698.84989</v>
      </c>
      <c r="R45" s="1411">
        <v>2698.84989</v>
      </c>
      <c r="S45" s="1412">
        <v>0</v>
      </c>
      <c r="T45" s="1411">
        <f t="shared" ref="T45:T51" si="48">+U45+X45</f>
        <v>10625.516</v>
      </c>
      <c r="U45" s="1411">
        <f t="shared" ref="U45:U51" si="49">+V45+W45</f>
        <v>9480.0769999999993</v>
      </c>
      <c r="V45" s="1411">
        <v>9480.0769999999993</v>
      </c>
      <c r="W45" s="1414">
        <v>0</v>
      </c>
      <c r="X45" s="1411">
        <f>+Y45+Z45</f>
        <v>1145.4390000000001</v>
      </c>
      <c r="Y45" s="1411">
        <f>469.439+676</f>
        <v>1145.4390000000001</v>
      </c>
      <c r="Z45" s="1412">
        <v>0</v>
      </c>
      <c r="AA45" s="1414">
        <f t="shared" ref="AA45:AA51" si="50">+AB45+AE45</f>
        <v>0</v>
      </c>
      <c r="AB45" s="1412">
        <v>0</v>
      </c>
      <c r="AC45" s="1412">
        <v>0</v>
      </c>
      <c r="AD45" s="1412">
        <v>0</v>
      </c>
      <c r="AE45" s="1411">
        <f t="shared" ref="AE45:AE51" si="51">+AF45+AG45</f>
        <v>0</v>
      </c>
      <c r="AF45" s="1414">
        <v>0</v>
      </c>
      <c r="AG45" s="1412">
        <v>0</v>
      </c>
      <c r="AH45" s="1412">
        <f t="shared" ref="AH45:AH51" si="52">+AI45+AL45</f>
        <v>0</v>
      </c>
      <c r="AI45" s="1412">
        <f t="shared" ref="AI45:AI51" si="53">+AJ45+AK45</f>
        <v>0</v>
      </c>
      <c r="AJ45" s="1412">
        <v>0</v>
      </c>
      <c r="AK45" s="1412">
        <v>0</v>
      </c>
      <c r="AL45" s="1412">
        <f t="shared" ref="AL45:AL51" si="54">+AM45+AN45</f>
        <v>0</v>
      </c>
      <c r="AM45" s="1412">
        <v>0</v>
      </c>
      <c r="AN45" s="1412">
        <v>0</v>
      </c>
      <c r="AO45" s="1395">
        <f t="shared" ref="AO45:AO51" si="55">+AP45+AS45</f>
        <v>0</v>
      </c>
      <c r="AP45" s="981">
        <f t="shared" ref="AP45:AP51" si="56">+AQ45+AR45</f>
        <v>0</v>
      </c>
      <c r="AQ45" s="981"/>
      <c r="AR45" s="981"/>
      <c r="AS45" s="981">
        <f t="shared" ref="AS45:AS51" si="57">+AT45+AU45</f>
        <v>0</v>
      </c>
      <c r="AT45" s="981"/>
      <c r="AU45" s="981"/>
      <c r="AV45" s="981">
        <f t="shared" ref="AV45:AV51" si="58">+AW45+AZ45</f>
        <v>0</v>
      </c>
      <c r="AW45" s="981">
        <f t="shared" ref="AW45:AW51" si="59">+AX45+AY45</f>
        <v>0</v>
      </c>
      <c r="AX45" s="981"/>
      <c r="AY45" s="981"/>
      <c r="AZ45" s="981">
        <f t="shared" ref="AZ45:AZ51" si="60">+BA45+BB45</f>
        <v>0</v>
      </c>
      <c r="BA45" s="981"/>
      <c r="BB45" s="981"/>
      <c r="BC45" s="981">
        <f t="shared" ref="BC45:BC51" si="61">+BD45+BG45</f>
        <v>0</v>
      </c>
      <c r="BD45" s="981">
        <f t="shared" ref="BD45:BD51" si="62">+BE45+BF45</f>
        <v>0</v>
      </c>
      <c r="BE45" s="981"/>
      <c r="BF45" s="981"/>
      <c r="BG45" s="981">
        <f t="shared" ref="BG45:BG51" si="63">+BH45+BI45</f>
        <v>0</v>
      </c>
      <c r="BH45" s="981"/>
      <c r="BI45" s="981"/>
      <c r="BJ45" s="981">
        <f t="shared" ref="BJ45:BJ51" si="64">+BK45+BN45</f>
        <v>0</v>
      </c>
      <c r="BK45" s="981">
        <f t="shared" ref="BK45:BK51" si="65">+BL45+BM45</f>
        <v>0</v>
      </c>
      <c r="BL45" s="981"/>
      <c r="BM45" s="981"/>
      <c r="BN45" s="981">
        <f t="shared" ref="BN45:BN51" si="66">+BO45+BP45</f>
        <v>0</v>
      </c>
      <c r="BO45" s="981"/>
      <c r="BP45" s="981"/>
    </row>
    <row r="46" spans="1:68" ht="14.1" customHeight="1">
      <c r="A46" s="1418">
        <v>4</v>
      </c>
      <c r="B46" s="1419" t="s">
        <v>347</v>
      </c>
      <c r="C46" s="1411">
        <f t="shared" si="45"/>
        <v>16000.3</v>
      </c>
      <c r="D46" s="1411">
        <f t="shared" si="3"/>
        <v>12455</v>
      </c>
      <c r="E46" s="1411">
        <f t="shared" si="4"/>
        <v>3545.3</v>
      </c>
      <c r="F46" s="1411">
        <v>6550</v>
      </c>
      <c r="G46" s="1411">
        <v>2705</v>
      </c>
      <c r="H46" s="1411">
        <v>5905</v>
      </c>
      <c r="I46" s="1411">
        <v>840.3</v>
      </c>
      <c r="J46" s="1411">
        <f t="shared" si="41"/>
        <v>22056.834554000001</v>
      </c>
      <c r="K46" s="1411">
        <f t="shared" si="46"/>
        <v>16738.274254</v>
      </c>
      <c r="L46" s="1411">
        <f t="shared" si="47"/>
        <v>5318.5603000000001</v>
      </c>
      <c r="M46" s="1411">
        <f t="shared" si="42"/>
        <v>13717.454533999999</v>
      </c>
      <c r="N46" s="1411">
        <f t="shared" si="43"/>
        <v>10741.776733999999</v>
      </c>
      <c r="O46" s="1411">
        <v>10741.776733999999</v>
      </c>
      <c r="P46" s="1414">
        <v>0</v>
      </c>
      <c r="Q46" s="1411">
        <f t="shared" si="44"/>
        <v>2975.6777999999999</v>
      </c>
      <c r="R46" s="1411">
        <v>2975.6777999999999</v>
      </c>
      <c r="S46" s="1412">
        <v>0</v>
      </c>
      <c r="T46" s="1411">
        <f t="shared" si="48"/>
        <v>8339.3800200000005</v>
      </c>
      <c r="U46" s="1411">
        <f t="shared" si="49"/>
        <v>5996.4975199999999</v>
      </c>
      <c r="V46" s="1411">
        <v>5996.4975199999999</v>
      </c>
      <c r="W46" s="1414">
        <v>0</v>
      </c>
      <c r="X46" s="1411">
        <f t="shared" ref="X46:X51" si="67">+Y46+Z46</f>
        <v>2342.8825000000002</v>
      </c>
      <c r="Y46" s="1411">
        <f>1203.9055+1138.977</f>
        <v>2342.8825000000002</v>
      </c>
      <c r="Z46" s="1412">
        <v>0</v>
      </c>
      <c r="AA46" s="1414">
        <f t="shared" si="50"/>
        <v>0</v>
      </c>
      <c r="AB46" s="1412">
        <v>0</v>
      </c>
      <c r="AC46" s="1412">
        <v>0</v>
      </c>
      <c r="AD46" s="1412">
        <v>0</v>
      </c>
      <c r="AE46" s="1411">
        <f t="shared" si="51"/>
        <v>0</v>
      </c>
      <c r="AF46" s="1414">
        <v>0</v>
      </c>
      <c r="AG46" s="1412">
        <v>0</v>
      </c>
      <c r="AH46" s="1412">
        <f t="shared" si="52"/>
        <v>0</v>
      </c>
      <c r="AI46" s="1412">
        <f t="shared" si="53"/>
        <v>0</v>
      </c>
      <c r="AJ46" s="1412">
        <v>0</v>
      </c>
      <c r="AK46" s="1412">
        <v>0</v>
      </c>
      <c r="AL46" s="1412">
        <f t="shared" si="54"/>
        <v>0</v>
      </c>
      <c r="AM46" s="1412">
        <v>0</v>
      </c>
      <c r="AN46" s="1412">
        <v>0</v>
      </c>
      <c r="AO46" s="1395">
        <f t="shared" si="55"/>
        <v>0</v>
      </c>
      <c r="AP46" s="981">
        <f t="shared" si="56"/>
        <v>0</v>
      </c>
      <c r="AQ46" s="981"/>
      <c r="AR46" s="981"/>
      <c r="AS46" s="981">
        <f t="shared" si="57"/>
        <v>0</v>
      </c>
      <c r="AT46" s="981"/>
      <c r="AU46" s="981"/>
      <c r="AV46" s="981">
        <f t="shared" si="58"/>
        <v>0</v>
      </c>
      <c r="AW46" s="981">
        <f t="shared" si="59"/>
        <v>0</v>
      </c>
      <c r="AX46" s="981"/>
      <c r="AY46" s="981"/>
      <c r="AZ46" s="981">
        <f t="shared" si="60"/>
        <v>0</v>
      </c>
      <c r="BA46" s="981"/>
      <c r="BB46" s="981"/>
      <c r="BC46" s="981">
        <f t="shared" si="61"/>
        <v>0</v>
      </c>
      <c r="BD46" s="981">
        <f t="shared" si="62"/>
        <v>0</v>
      </c>
      <c r="BE46" s="981"/>
      <c r="BF46" s="981"/>
      <c r="BG46" s="981">
        <f t="shared" si="63"/>
        <v>0</v>
      </c>
      <c r="BH46" s="981"/>
      <c r="BI46" s="981"/>
      <c r="BJ46" s="981">
        <f t="shared" si="64"/>
        <v>0</v>
      </c>
      <c r="BK46" s="981">
        <f t="shared" si="65"/>
        <v>0</v>
      </c>
      <c r="BL46" s="981"/>
      <c r="BM46" s="981"/>
      <c r="BN46" s="981">
        <f t="shared" si="66"/>
        <v>0</v>
      </c>
      <c r="BO46" s="981"/>
      <c r="BP46" s="981"/>
    </row>
    <row r="47" spans="1:68" ht="14.1" customHeight="1">
      <c r="A47" s="1418">
        <v>5</v>
      </c>
      <c r="B47" s="1419" t="s">
        <v>348</v>
      </c>
      <c r="C47" s="1411">
        <f t="shared" si="45"/>
        <v>6111.2</v>
      </c>
      <c r="D47" s="1411">
        <f t="shared" si="3"/>
        <v>4350</v>
      </c>
      <c r="E47" s="1411">
        <f t="shared" si="4"/>
        <v>1761.2</v>
      </c>
      <c r="F47" s="1411">
        <v>150</v>
      </c>
      <c r="G47" s="1411">
        <v>299</v>
      </c>
      <c r="H47" s="1411">
        <v>4200</v>
      </c>
      <c r="I47" s="1411">
        <v>1462.2</v>
      </c>
      <c r="J47" s="1411">
        <f t="shared" si="41"/>
        <v>7111.3859999999995</v>
      </c>
      <c r="K47" s="1411">
        <f t="shared" si="46"/>
        <v>5323.3639999999996</v>
      </c>
      <c r="L47" s="1411">
        <f t="shared" si="47"/>
        <v>1788.0219999999999</v>
      </c>
      <c r="M47" s="1411">
        <f t="shared" si="42"/>
        <v>686.654</v>
      </c>
      <c r="N47" s="1411">
        <f t="shared" si="43"/>
        <v>137.654</v>
      </c>
      <c r="O47" s="1411">
        <v>137.654</v>
      </c>
      <c r="P47" s="1414">
        <v>0</v>
      </c>
      <c r="Q47" s="1411">
        <f t="shared" si="44"/>
        <v>549</v>
      </c>
      <c r="R47" s="1411">
        <v>549</v>
      </c>
      <c r="S47" s="1412">
        <v>0</v>
      </c>
      <c r="T47" s="1411">
        <f t="shared" si="48"/>
        <v>6424.732</v>
      </c>
      <c r="U47" s="1411">
        <f t="shared" si="49"/>
        <v>5185.71</v>
      </c>
      <c r="V47" s="1411">
        <v>5185.71</v>
      </c>
      <c r="W47" s="1414">
        <v>0</v>
      </c>
      <c r="X47" s="1411">
        <f t="shared" si="67"/>
        <v>1239.0219999999999</v>
      </c>
      <c r="Y47" s="1411">
        <f>1205.022+34</f>
        <v>1239.0219999999999</v>
      </c>
      <c r="Z47" s="1412">
        <v>0</v>
      </c>
      <c r="AA47" s="1414">
        <f t="shared" si="50"/>
        <v>0</v>
      </c>
      <c r="AB47" s="1412">
        <v>0</v>
      </c>
      <c r="AC47" s="1412">
        <v>0</v>
      </c>
      <c r="AD47" s="1412">
        <v>0</v>
      </c>
      <c r="AE47" s="1411">
        <f t="shared" si="51"/>
        <v>0</v>
      </c>
      <c r="AF47" s="1414">
        <v>0</v>
      </c>
      <c r="AG47" s="1412">
        <v>0</v>
      </c>
      <c r="AH47" s="1412">
        <f t="shared" si="52"/>
        <v>0</v>
      </c>
      <c r="AI47" s="1412">
        <f t="shared" si="53"/>
        <v>0</v>
      </c>
      <c r="AJ47" s="1412">
        <v>0</v>
      </c>
      <c r="AK47" s="1412">
        <v>0</v>
      </c>
      <c r="AL47" s="1412">
        <f t="shared" si="54"/>
        <v>0</v>
      </c>
      <c r="AM47" s="1412">
        <v>0</v>
      </c>
      <c r="AN47" s="1412">
        <v>0</v>
      </c>
      <c r="AO47" s="1395">
        <f t="shared" si="55"/>
        <v>0</v>
      </c>
      <c r="AP47" s="981">
        <f t="shared" si="56"/>
        <v>0</v>
      </c>
      <c r="AQ47" s="981"/>
      <c r="AR47" s="981"/>
      <c r="AS47" s="981">
        <f t="shared" si="57"/>
        <v>0</v>
      </c>
      <c r="AT47" s="981"/>
      <c r="AU47" s="981"/>
      <c r="AV47" s="981">
        <f t="shared" si="58"/>
        <v>0</v>
      </c>
      <c r="AW47" s="981">
        <f t="shared" si="59"/>
        <v>0</v>
      </c>
      <c r="AX47" s="981"/>
      <c r="AY47" s="981"/>
      <c r="AZ47" s="981">
        <f t="shared" si="60"/>
        <v>0</v>
      </c>
      <c r="BA47" s="981"/>
      <c r="BB47" s="981"/>
      <c r="BC47" s="981">
        <f t="shared" si="61"/>
        <v>0</v>
      </c>
      <c r="BD47" s="981">
        <f t="shared" si="62"/>
        <v>0</v>
      </c>
      <c r="BE47" s="981"/>
      <c r="BF47" s="981"/>
      <c r="BG47" s="981">
        <f t="shared" si="63"/>
        <v>0</v>
      </c>
      <c r="BH47" s="981"/>
      <c r="BI47" s="981"/>
      <c r="BJ47" s="981">
        <f t="shared" si="64"/>
        <v>0</v>
      </c>
      <c r="BK47" s="981">
        <f t="shared" si="65"/>
        <v>0</v>
      </c>
      <c r="BL47" s="981"/>
      <c r="BM47" s="981"/>
      <c r="BN47" s="981">
        <f t="shared" si="66"/>
        <v>0</v>
      </c>
      <c r="BO47" s="981"/>
      <c r="BP47" s="981"/>
    </row>
    <row r="48" spans="1:68" ht="14.1" customHeight="1">
      <c r="A48" s="1418">
        <v>6</v>
      </c>
      <c r="B48" s="1419" t="s">
        <v>351</v>
      </c>
      <c r="C48" s="1411">
        <f t="shared" si="45"/>
        <v>8083.7</v>
      </c>
      <c r="D48" s="1411">
        <f t="shared" si="3"/>
        <v>5768</v>
      </c>
      <c r="E48" s="1411">
        <f t="shared" si="4"/>
        <v>2315.6999999999998</v>
      </c>
      <c r="F48" s="1411">
        <v>2200</v>
      </c>
      <c r="G48" s="1411">
        <v>671</v>
      </c>
      <c r="H48" s="1411">
        <v>3568</v>
      </c>
      <c r="I48" s="1411">
        <v>1644.7</v>
      </c>
      <c r="J48" s="1411">
        <f t="shared" si="41"/>
        <v>13097.018881</v>
      </c>
      <c r="K48" s="1411">
        <f t="shared" si="46"/>
        <v>10736.627</v>
      </c>
      <c r="L48" s="1411">
        <f t="shared" si="47"/>
        <v>2360.391881</v>
      </c>
      <c r="M48" s="1411">
        <f t="shared" si="42"/>
        <v>2876.335</v>
      </c>
      <c r="N48" s="1411">
        <f t="shared" si="43"/>
        <v>2205.335</v>
      </c>
      <c r="O48" s="1411">
        <v>2205.335</v>
      </c>
      <c r="P48" s="1414">
        <v>0</v>
      </c>
      <c r="Q48" s="1411">
        <f t="shared" si="44"/>
        <v>671</v>
      </c>
      <c r="R48" s="1411">
        <v>671</v>
      </c>
      <c r="S48" s="1412">
        <v>0</v>
      </c>
      <c r="T48" s="1411">
        <f t="shared" si="48"/>
        <v>10153.617899999999</v>
      </c>
      <c r="U48" s="1411">
        <f t="shared" si="49"/>
        <v>8531.2919999999995</v>
      </c>
      <c r="V48" s="1411">
        <f>2714.887+5816.405</f>
        <v>8531.2919999999995</v>
      </c>
      <c r="W48" s="1414">
        <v>0</v>
      </c>
      <c r="X48" s="1411">
        <f t="shared" si="67"/>
        <v>1622.3258999999998</v>
      </c>
      <c r="Y48" s="1411">
        <f>1172.426+449.8999</f>
        <v>1622.3258999999998</v>
      </c>
      <c r="Z48" s="1412">
        <v>0</v>
      </c>
      <c r="AA48" s="1414">
        <f t="shared" si="50"/>
        <v>67.065980999999994</v>
      </c>
      <c r="AB48" s="1412">
        <v>0</v>
      </c>
      <c r="AC48" s="1412">
        <v>0</v>
      </c>
      <c r="AD48" s="1412">
        <v>0</v>
      </c>
      <c r="AE48" s="1411">
        <f t="shared" si="51"/>
        <v>67.065980999999994</v>
      </c>
      <c r="AF48" s="1414">
        <v>67.065980999999994</v>
      </c>
      <c r="AG48" s="1412">
        <v>0</v>
      </c>
      <c r="AH48" s="1412">
        <f t="shared" si="52"/>
        <v>0</v>
      </c>
      <c r="AI48" s="1412">
        <f t="shared" si="53"/>
        <v>0</v>
      </c>
      <c r="AJ48" s="1412">
        <v>0</v>
      </c>
      <c r="AK48" s="1412">
        <v>0</v>
      </c>
      <c r="AL48" s="1412">
        <f t="shared" si="54"/>
        <v>0</v>
      </c>
      <c r="AM48" s="1412">
        <v>0</v>
      </c>
      <c r="AN48" s="1412">
        <v>0</v>
      </c>
      <c r="AO48" s="1395">
        <f t="shared" si="55"/>
        <v>0</v>
      </c>
      <c r="AP48" s="981">
        <f t="shared" si="56"/>
        <v>0</v>
      </c>
      <c r="AQ48" s="981"/>
      <c r="AR48" s="981"/>
      <c r="AS48" s="981">
        <f t="shared" si="57"/>
        <v>0</v>
      </c>
      <c r="AT48" s="981"/>
      <c r="AU48" s="981"/>
      <c r="AV48" s="981">
        <f t="shared" si="58"/>
        <v>0</v>
      </c>
      <c r="AW48" s="981">
        <f t="shared" si="59"/>
        <v>0</v>
      </c>
      <c r="AX48" s="981"/>
      <c r="AY48" s="981"/>
      <c r="AZ48" s="981">
        <f t="shared" si="60"/>
        <v>0</v>
      </c>
      <c r="BA48" s="981"/>
      <c r="BB48" s="981"/>
      <c r="BC48" s="981">
        <f t="shared" si="61"/>
        <v>0</v>
      </c>
      <c r="BD48" s="981">
        <f t="shared" si="62"/>
        <v>0</v>
      </c>
      <c r="BE48" s="981"/>
      <c r="BF48" s="981"/>
      <c r="BG48" s="981">
        <f t="shared" si="63"/>
        <v>0</v>
      </c>
      <c r="BH48" s="981"/>
      <c r="BI48" s="981"/>
      <c r="BJ48" s="981">
        <f t="shared" si="64"/>
        <v>0</v>
      </c>
      <c r="BK48" s="981">
        <f t="shared" si="65"/>
        <v>0</v>
      </c>
      <c r="BL48" s="981"/>
      <c r="BM48" s="981"/>
      <c r="BN48" s="981">
        <f t="shared" si="66"/>
        <v>0</v>
      </c>
      <c r="BO48" s="981"/>
      <c r="BP48" s="981"/>
    </row>
    <row r="49" spans="1:68" ht="14.1" customHeight="1">
      <c r="A49" s="1418">
        <v>7</v>
      </c>
      <c r="B49" s="1419" t="s">
        <v>349</v>
      </c>
      <c r="C49" s="1411">
        <f t="shared" si="45"/>
        <v>26069</v>
      </c>
      <c r="D49" s="1411">
        <f t="shared" si="3"/>
        <v>21292</v>
      </c>
      <c r="E49" s="1411">
        <f t="shared" si="4"/>
        <v>4777</v>
      </c>
      <c r="F49" s="1411">
        <v>9249</v>
      </c>
      <c r="G49" s="1411">
        <v>3459</v>
      </c>
      <c r="H49" s="1411">
        <v>12043</v>
      </c>
      <c r="I49" s="1411">
        <v>1318</v>
      </c>
      <c r="J49" s="1411">
        <f t="shared" si="41"/>
        <v>27936.719700000001</v>
      </c>
      <c r="K49" s="1411">
        <f t="shared" si="46"/>
        <v>22749.807000000001</v>
      </c>
      <c r="L49" s="1411">
        <f t="shared" si="47"/>
        <v>5186.9127000000008</v>
      </c>
      <c r="M49" s="1411">
        <f t="shared" si="42"/>
        <v>13789.5838</v>
      </c>
      <c r="N49" s="1411">
        <f t="shared" si="43"/>
        <v>9943.9830000000002</v>
      </c>
      <c r="O49" s="1411">
        <v>9943.9830000000002</v>
      </c>
      <c r="P49" s="1414">
        <v>0</v>
      </c>
      <c r="Q49" s="1411">
        <f t="shared" si="44"/>
        <v>3845.6008000000002</v>
      </c>
      <c r="R49" s="1411">
        <v>3845.6008000000002</v>
      </c>
      <c r="S49" s="1412">
        <v>0</v>
      </c>
      <c r="T49" s="1411">
        <f t="shared" si="48"/>
        <v>14147.135900000001</v>
      </c>
      <c r="U49" s="1411">
        <f t="shared" si="49"/>
        <v>12805.824000000001</v>
      </c>
      <c r="V49" s="1411">
        <v>12805.824000000001</v>
      </c>
      <c r="W49" s="1414">
        <v>0</v>
      </c>
      <c r="X49" s="1411">
        <f t="shared" si="67"/>
        <v>1341.3119000000002</v>
      </c>
      <c r="Y49" s="1411">
        <f>385.2169+956.095</f>
        <v>1341.3119000000002</v>
      </c>
      <c r="Z49" s="1412">
        <v>0</v>
      </c>
      <c r="AA49" s="1414">
        <f t="shared" si="50"/>
        <v>0</v>
      </c>
      <c r="AB49" s="1412">
        <v>0</v>
      </c>
      <c r="AC49" s="1412">
        <v>0</v>
      </c>
      <c r="AD49" s="1412">
        <v>0</v>
      </c>
      <c r="AE49" s="1411">
        <f t="shared" si="51"/>
        <v>0</v>
      </c>
      <c r="AF49" s="1414">
        <v>0</v>
      </c>
      <c r="AG49" s="1412">
        <v>0</v>
      </c>
      <c r="AH49" s="1412">
        <f t="shared" si="52"/>
        <v>0</v>
      </c>
      <c r="AI49" s="1412">
        <f t="shared" si="53"/>
        <v>0</v>
      </c>
      <c r="AJ49" s="1412">
        <v>0</v>
      </c>
      <c r="AK49" s="1412">
        <v>0</v>
      </c>
      <c r="AL49" s="1412">
        <f t="shared" si="54"/>
        <v>0</v>
      </c>
      <c r="AM49" s="1412">
        <v>0</v>
      </c>
      <c r="AN49" s="1412">
        <v>0</v>
      </c>
      <c r="AO49" s="1395">
        <f t="shared" si="55"/>
        <v>0</v>
      </c>
      <c r="AP49" s="981">
        <f t="shared" si="56"/>
        <v>0</v>
      </c>
      <c r="AQ49" s="981"/>
      <c r="AR49" s="981"/>
      <c r="AS49" s="981">
        <f t="shared" si="57"/>
        <v>0</v>
      </c>
      <c r="AT49" s="981"/>
      <c r="AU49" s="981"/>
      <c r="AV49" s="981">
        <f t="shared" si="58"/>
        <v>0</v>
      </c>
      <c r="AW49" s="981">
        <f t="shared" si="59"/>
        <v>0</v>
      </c>
      <c r="AX49" s="981"/>
      <c r="AY49" s="981"/>
      <c r="AZ49" s="981">
        <f t="shared" si="60"/>
        <v>0</v>
      </c>
      <c r="BA49" s="981"/>
      <c r="BB49" s="981"/>
      <c r="BC49" s="981">
        <f t="shared" si="61"/>
        <v>0</v>
      </c>
      <c r="BD49" s="981">
        <f t="shared" si="62"/>
        <v>0</v>
      </c>
      <c r="BE49" s="981"/>
      <c r="BF49" s="981"/>
      <c r="BG49" s="981">
        <f t="shared" si="63"/>
        <v>0</v>
      </c>
      <c r="BH49" s="981"/>
      <c r="BI49" s="981"/>
      <c r="BJ49" s="981">
        <f t="shared" si="64"/>
        <v>0</v>
      </c>
      <c r="BK49" s="981">
        <f t="shared" si="65"/>
        <v>0</v>
      </c>
      <c r="BL49" s="981"/>
      <c r="BM49" s="981"/>
      <c r="BN49" s="981">
        <f t="shared" si="66"/>
        <v>0</v>
      </c>
      <c r="BO49" s="981"/>
      <c r="BP49" s="981"/>
    </row>
    <row r="50" spans="1:68" ht="14.1" customHeight="1">
      <c r="A50" s="1418">
        <v>8</v>
      </c>
      <c r="B50" s="1419" t="s">
        <v>350</v>
      </c>
      <c r="C50" s="1411">
        <f t="shared" si="45"/>
        <v>4945</v>
      </c>
      <c r="D50" s="1411">
        <f t="shared" si="3"/>
        <v>3918</v>
      </c>
      <c r="E50" s="1411">
        <f t="shared" si="4"/>
        <v>1027</v>
      </c>
      <c r="F50" s="1411">
        <v>1150</v>
      </c>
      <c r="G50" s="1411">
        <v>316</v>
      </c>
      <c r="H50" s="1411">
        <v>2768</v>
      </c>
      <c r="I50" s="1411">
        <v>711</v>
      </c>
      <c r="J50" s="1411">
        <f t="shared" si="41"/>
        <v>6334.7357039999997</v>
      </c>
      <c r="K50" s="1411">
        <f t="shared" si="46"/>
        <v>5249.2857039999999</v>
      </c>
      <c r="L50" s="1411">
        <f t="shared" si="47"/>
        <v>1085.45</v>
      </c>
      <c r="M50" s="1411">
        <f t="shared" si="42"/>
        <v>1677.0068740000002</v>
      </c>
      <c r="N50" s="1411">
        <f t="shared" si="43"/>
        <v>1148.406874</v>
      </c>
      <c r="O50" s="1411">
        <v>1148.406874</v>
      </c>
      <c r="P50" s="1414">
        <v>0</v>
      </c>
      <c r="Q50" s="1411">
        <f t="shared" si="44"/>
        <v>528.6</v>
      </c>
      <c r="R50" s="1411">
        <v>528.6</v>
      </c>
      <c r="S50" s="1412">
        <v>0</v>
      </c>
      <c r="T50" s="1411">
        <f t="shared" si="48"/>
        <v>4657.72883</v>
      </c>
      <c r="U50" s="1411">
        <f t="shared" si="49"/>
        <v>4100.8788299999997</v>
      </c>
      <c r="V50" s="1411">
        <v>4100.8788299999997</v>
      </c>
      <c r="W50" s="1414">
        <v>0</v>
      </c>
      <c r="X50" s="1411">
        <f t="shared" si="67"/>
        <v>556.85</v>
      </c>
      <c r="Y50" s="1411">
        <f>411+145.85</f>
        <v>556.85</v>
      </c>
      <c r="Z50" s="1412">
        <v>0</v>
      </c>
      <c r="AA50" s="1414">
        <f t="shared" si="50"/>
        <v>0</v>
      </c>
      <c r="AB50" s="1412">
        <v>0</v>
      </c>
      <c r="AC50" s="1412">
        <v>0</v>
      </c>
      <c r="AD50" s="1412">
        <v>0</v>
      </c>
      <c r="AE50" s="1411">
        <f t="shared" si="51"/>
        <v>0</v>
      </c>
      <c r="AF50" s="1414">
        <v>0</v>
      </c>
      <c r="AG50" s="1412">
        <v>0</v>
      </c>
      <c r="AH50" s="1412">
        <f t="shared" si="52"/>
        <v>0</v>
      </c>
      <c r="AI50" s="1412">
        <f t="shared" si="53"/>
        <v>0</v>
      </c>
      <c r="AJ50" s="1412">
        <v>0</v>
      </c>
      <c r="AK50" s="1412">
        <v>0</v>
      </c>
      <c r="AL50" s="1412">
        <f t="shared" si="54"/>
        <v>0</v>
      </c>
      <c r="AM50" s="1412">
        <v>0</v>
      </c>
      <c r="AN50" s="1412">
        <v>0</v>
      </c>
      <c r="AO50" s="1395">
        <f t="shared" si="55"/>
        <v>0</v>
      </c>
      <c r="AP50" s="981">
        <f t="shared" si="56"/>
        <v>0</v>
      </c>
      <c r="AQ50" s="981"/>
      <c r="AR50" s="981"/>
      <c r="AS50" s="981">
        <f t="shared" si="57"/>
        <v>0</v>
      </c>
      <c r="AT50" s="981"/>
      <c r="AU50" s="981"/>
      <c r="AV50" s="981">
        <f t="shared" si="58"/>
        <v>0</v>
      </c>
      <c r="AW50" s="981">
        <f t="shared" si="59"/>
        <v>0</v>
      </c>
      <c r="AX50" s="981"/>
      <c r="AY50" s="981"/>
      <c r="AZ50" s="981">
        <f t="shared" si="60"/>
        <v>0</v>
      </c>
      <c r="BA50" s="981"/>
      <c r="BB50" s="981"/>
      <c r="BC50" s="981">
        <f t="shared" si="61"/>
        <v>0</v>
      </c>
      <c r="BD50" s="981">
        <f t="shared" si="62"/>
        <v>0</v>
      </c>
      <c r="BE50" s="981"/>
      <c r="BF50" s="981"/>
      <c r="BG50" s="981">
        <f t="shared" si="63"/>
        <v>0</v>
      </c>
      <c r="BH50" s="981"/>
      <c r="BI50" s="981"/>
      <c r="BJ50" s="981">
        <f t="shared" si="64"/>
        <v>0</v>
      </c>
      <c r="BK50" s="981">
        <f t="shared" si="65"/>
        <v>0</v>
      </c>
      <c r="BL50" s="981"/>
      <c r="BM50" s="981"/>
      <c r="BN50" s="981">
        <f t="shared" si="66"/>
        <v>0</v>
      </c>
      <c r="BO50" s="981"/>
      <c r="BP50" s="981"/>
    </row>
    <row r="51" spans="1:68" ht="14.1" customHeight="1">
      <c r="A51" s="1418">
        <v>9</v>
      </c>
      <c r="B51" s="1419" t="s">
        <v>352</v>
      </c>
      <c r="C51" s="1411">
        <f t="shared" si="45"/>
        <v>15174.3</v>
      </c>
      <c r="D51" s="1411">
        <f t="shared" si="3"/>
        <v>13154</v>
      </c>
      <c r="E51" s="1411">
        <f t="shared" si="4"/>
        <v>2020.3</v>
      </c>
      <c r="F51" s="1411">
        <v>5050</v>
      </c>
      <c r="G51" s="1411">
        <v>1151</v>
      </c>
      <c r="H51" s="1411">
        <v>8104</v>
      </c>
      <c r="I51" s="1411">
        <v>869.3</v>
      </c>
      <c r="J51" s="1411">
        <f t="shared" si="41"/>
        <v>18888.349647999999</v>
      </c>
      <c r="K51" s="1411">
        <f>+N51+U51+AB51+AI51+AP51+AW51+BD51+BK51</f>
        <v>15065.002648</v>
      </c>
      <c r="L51" s="1411">
        <f t="shared" si="47"/>
        <v>3823.3470000000002</v>
      </c>
      <c r="M51" s="1411">
        <f t="shared" si="42"/>
        <v>8538.1115210000007</v>
      </c>
      <c r="N51" s="1411">
        <f t="shared" si="43"/>
        <v>5463.5015210000001</v>
      </c>
      <c r="O51" s="1411">
        <v>5463.5015210000001</v>
      </c>
      <c r="P51" s="1414">
        <v>0</v>
      </c>
      <c r="Q51" s="1411">
        <f t="shared" si="44"/>
        <v>3074.61</v>
      </c>
      <c r="R51" s="1411">
        <v>3074.61</v>
      </c>
      <c r="S51" s="1412">
        <v>0</v>
      </c>
      <c r="T51" s="1411">
        <f t="shared" si="48"/>
        <v>10336.633126999999</v>
      </c>
      <c r="U51" s="1411">
        <f t="shared" si="49"/>
        <v>9601.5011269999995</v>
      </c>
      <c r="V51" s="1411">
        <v>9601.5011269999995</v>
      </c>
      <c r="W51" s="1414">
        <v>0</v>
      </c>
      <c r="X51" s="1411">
        <f t="shared" si="67"/>
        <v>735.13200000000006</v>
      </c>
      <c r="Y51" s="1411">
        <f>420.579+314.553</f>
        <v>735.13200000000006</v>
      </c>
      <c r="Z51" s="1412">
        <v>0</v>
      </c>
      <c r="AA51" s="1414">
        <f t="shared" si="50"/>
        <v>13.605</v>
      </c>
      <c r="AB51" s="1412">
        <v>0</v>
      </c>
      <c r="AC51" s="1412">
        <v>0</v>
      </c>
      <c r="AD51" s="1412">
        <v>0</v>
      </c>
      <c r="AE51" s="1411">
        <f t="shared" si="51"/>
        <v>13.605</v>
      </c>
      <c r="AF51" s="1414">
        <v>13.605</v>
      </c>
      <c r="AG51" s="1412">
        <v>0</v>
      </c>
      <c r="AH51" s="1412">
        <f t="shared" si="52"/>
        <v>0</v>
      </c>
      <c r="AI51" s="1412">
        <f t="shared" si="53"/>
        <v>0</v>
      </c>
      <c r="AJ51" s="1412">
        <v>0</v>
      </c>
      <c r="AK51" s="1412">
        <v>0</v>
      </c>
      <c r="AL51" s="1412">
        <f t="shared" si="54"/>
        <v>0</v>
      </c>
      <c r="AM51" s="1412">
        <v>0</v>
      </c>
      <c r="AN51" s="1412">
        <v>0</v>
      </c>
      <c r="AO51" s="1397">
        <f t="shared" si="55"/>
        <v>0</v>
      </c>
      <c r="AP51" s="984">
        <f t="shared" si="56"/>
        <v>0</v>
      </c>
      <c r="AQ51" s="984"/>
      <c r="AR51" s="984"/>
      <c r="AS51" s="984">
        <f t="shared" si="57"/>
        <v>0</v>
      </c>
      <c r="AT51" s="984"/>
      <c r="AU51" s="984"/>
      <c r="AV51" s="984">
        <f t="shared" si="58"/>
        <v>0</v>
      </c>
      <c r="AW51" s="984">
        <f t="shared" si="59"/>
        <v>0</v>
      </c>
      <c r="AX51" s="984"/>
      <c r="AY51" s="984"/>
      <c r="AZ51" s="984">
        <f t="shared" si="60"/>
        <v>0</v>
      </c>
      <c r="BA51" s="984"/>
      <c r="BB51" s="984"/>
      <c r="BC51" s="984">
        <f t="shared" si="61"/>
        <v>0</v>
      </c>
      <c r="BD51" s="984">
        <f t="shared" si="62"/>
        <v>0</v>
      </c>
      <c r="BE51" s="984"/>
      <c r="BF51" s="984"/>
      <c r="BG51" s="984">
        <f t="shared" si="63"/>
        <v>0</v>
      </c>
      <c r="BH51" s="984"/>
      <c r="BI51" s="984"/>
      <c r="BJ51" s="984">
        <f t="shared" si="64"/>
        <v>0</v>
      </c>
      <c r="BK51" s="984">
        <f t="shared" si="65"/>
        <v>0</v>
      </c>
      <c r="BL51" s="984"/>
      <c r="BM51" s="984"/>
      <c r="BN51" s="984">
        <f t="shared" si="66"/>
        <v>0</v>
      </c>
      <c r="BO51" s="984"/>
      <c r="BP51" s="984"/>
    </row>
    <row r="52" spans="1:68" hidden="1">
      <c r="A52" s="87"/>
      <c r="B52" s="529"/>
      <c r="C52" s="975"/>
      <c r="D52" s="975"/>
      <c r="E52" s="975"/>
      <c r="F52" s="975"/>
      <c r="G52" s="975"/>
      <c r="H52" s="975"/>
      <c r="I52" s="975"/>
      <c r="J52" s="976"/>
      <c r="K52" s="976"/>
      <c r="L52" s="976"/>
      <c r="M52" s="976"/>
      <c r="N52" s="976"/>
      <c r="O52" s="976"/>
      <c r="P52" s="976"/>
      <c r="Q52" s="976"/>
      <c r="R52" s="976"/>
      <c r="S52" s="976"/>
      <c r="T52" s="976"/>
      <c r="U52" s="976"/>
      <c r="V52" s="976"/>
      <c r="W52" s="976"/>
      <c r="X52" s="976"/>
      <c r="Y52" s="976"/>
      <c r="Z52" s="976"/>
      <c r="AA52" s="976"/>
      <c r="AB52" s="976"/>
      <c r="AC52" s="976"/>
      <c r="AD52" s="976"/>
      <c r="AE52" s="976"/>
      <c r="AF52" s="976"/>
      <c r="AG52" s="976"/>
      <c r="AH52" s="976"/>
      <c r="AI52" s="976"/>
      <c r="AJ52" s="976"/>
      <c r="AK52" s="976"/>
      <c r="AL52" s="976"/>
      <c r="AM52" s="976"/>
      <c r="AN52" s="976"/>
      <c r="AO52" s="976"/>
      <c r="AP52" s="976"/>
      <c r="AQ52" s="976"/>
      <c r="AR52" s="976"/>
      <c r="AS52" s="976"/>
      <c r="AT52" s="976"/>
      <c r="AU52" s="976"/>
      <c r="AV52" s="976"/>
      <c r="AW52" s="976"/>
      <c r="AX52" s="976"/>
      <c r="AY52" s="976"/>
      <c r="AZ52" s="976"/>
      <c r="BA52" s="976"/>
      <c r="BB52" s="976"/>
      <c r="BC52" s="976"/>
      <c r="BD52" s="976"/>
      <c r="BE52" s="976"/>
      <c r="BF52" s="976"/>
      <c r="BG52" s="976"/>
      <c r="BH52" s="976"/>
      <c r="BI52" s="976"/>
      <c r="BJ52" s="976"/>
      <c r="BK52" s="976"/>
      <c r="BL52" s="976"/>
      <c r="BM52" s="976"/>
      <c r="BN52" s="976"/>
      <c r="BO52" s="976"/>
      <c r="BP52" s="976"/>
    </row>
    <row r="53" spans="1:68">
      <c r="A53" s="87"/>
      <c r="B53" s="529"/>
      <c r="C53" s="977"/>
      <c r="D53" s="975"/>
      <c r="E53" s="975"/>
      <c r="F53" s="975">
        <f>+F42+G42+G14+F14</f>
        <v>47092</v>
      </c>
      <c r="G53" s="975"/>
      <c r="H53" s="975">
        <f>+H42+H14</f>
        <v>59400</v>
      </c>
      <c r="I53" s="975">
        <f>+I42+I14</f>
        <v>23400</v>
      </c>
      <c r="J53" s="976"/>
      <c r="K53" s="976"/>
      <c r="L53" s="976"/>
      <c r="M53" s="976"/>
      <c r="N53" s="976"/>
      <c r="O53" s="976"/>
      <c r="P53" s="976"/>
      <c r="Q53" s="976"/>
      <c r="R53" s="976"/>
      <c r="S53" s="976"/>
      <c r="T53" s="976"/>
      <c r="U53" s="976"/>
      <c r="V53" s="976"/>
      <c r="W53" s="976"/>
      <c r="X53" s="976"/>
      <c r="Y53" s="976"/>
      <c r="Z53" s="976"/>
      <c r="AA53" s="976"/>
      <c r="AB53" s="976"/>
      <c r="AC53" s="976"/>
      <c r="AD53" s="976"/>
      <c r="AE53" s="976"/>
      <c r="AF53" s="976"/>
      <c r="AG53" s="976"/>
      <c r="AH53" s="976"/>
      <c r="AI53" s="976"/>
      <c r="AJ53" s="976"/>
      <c r="AK53" s="976"/>
      <c r="AL53" s="976"/>
      <c r="AM53" s="976"/>
      <c r="AN53" s="976"/>
      <c r="AO53" s="976"/>
      <c r="AP53" s="976"/>
      <c r="AQ53" s="976"/>
      <c r="AR53" s="976"/>
      <c r="AS53" s="976"/>
      <c r="AT53" s="976"/>
      <c r="AU53" s="976"/>
      <c r="AV53" s="976"/>
      <c r="AW53" s="976"/>
      <c r="AX53" s="976"/>
      <c r="AY53" s="976"/>
      <c r="AZ53" s="976"/>
      <c r="BA53" s="976"/>
      <c r="BB53" s="976"/>
      <c r="BC53" s="976"/>
      <c r="BD53" s="976"/>
      <c r="BE53" s="976"/>
      <c r="BF53" s="976"/>
      <c r="BG53" s="1778" t="s">
        <v>856</v>
      </c>
      <c r="BH53" s="1778"/>
      <c r="BI53" s="1778"/>
      <c r="BJ53" s="1778"/>
      <c r="BK53" s="1778"/>
      <c r="BL53" s="1778"/>
      <c r="BM53" s="1778"/>
      <c r="BN53" s="1778"/>
      <c r="BO53" s="1778"/>
      <c r="BP53" s="1778"/>
    </row>
    <row r="54" spans="1:68">
      <c r="A54" s="87"/>
      <c r="B54" s="976"/>
      <c r="C54" s="977"/>
      <c r="D54" s="975"/>
      <c r="E54" s="975"/>
      <c r="F54" s="975">
        <v>27763</v>
      </c>
      <c r="G54" s="975">
        <v>14379</v>
      </c>
      <c r="H54" s="975">
        <f>+H53+I53</f>
        <v>82800</v>
      </c>
      <c r="I54" s="975"/>
      <c r="J54" s="976"/>
      <c r="K54" s="976"/>
      <c r="L54" s="976"/>
      <c r="M54" s="976"/>
      <c r="N54" s="976"/>
      <c r="O54" s="976"/>
      <c r="P54" s="976"/>
      <c r="Q54" s="976"/>
      <c r="R54" s="976"/>
      <c r="S54" s="976"/>
      <c r="T54" s="976"/>
      <c r="U54" s="976"/>
      <c r="V54" s="976"/>
      <c r="W54" s="976"/>
      <c r="X54" s="976"/>
      <c r="Y54" s="976"/>
      <c r="Z54" s="976"/>
      <c r="AA54" s="976"/>
      <c r="AB54" s="976"/>
      <c r="AC54" s="976"/>
      <c r="AD54" s="976"/>
      <c r="AE54" s="976"/>
      <c r="AF54" s="976"/>
      <c r="AG54" s="976"/>
      <c r="AH54" s="976"/>
      <c r="AI54" s="976"/>
      <c r="AJ54" s="976"/>
      <c r="AK54" s="976"/>
      <c r="AL54" s="976"/>
      <c r="AM54" s="976"/>
      <c r="AN54" s="976"/>
      <c r="AO54" s="976"/>
      <c r="AP54" s="976"/>
      <c r="AQ54" s="976"/>
      <c r="AR54" s="976"/>
      <c r="AS54" s="976"/>
      <c r="AT54" s="976"/>
      <c r="AU54" s="976"/>
      <c r="AV54" s="976"/>
      <c r="AW54" s="976"/>
      <c r="AX54" s="976"/>
      <c r="AY54" s="976"/>
      <c r="AZ54" s="976"/>
      <c r="BA54" s="976"/>
      <c r="BB54" s="976"/>
      <c r="BC54" s="976"/>
      <c r="BD54" s="976"/>
      <c r="BE54" s="976"/>
      <c r="BF54" s="976"/>
      <c r="BG54" s="1770" t="s">
        <v>85</v>
      </c>
      <c r="BH54" s="1770"/>
      <c r="BI54" s="1770"/>
      <c r="BJ54" s="1770"/>
      <c r="BK54" s="1770"/>
      <c r="BL54" s="1770"/>
      <c r="BM54" s="1770"/>
      <c r="BN54" s="1770"/>
      <c r="BO54" s="1770"/>
      <c r="BP54" s="1770"/>
    </row>
    <row r="55" spans="1:68" ht="14.25" customHeight="1">
      <c r="A55" s="87"/>
      <c r="B55" s="529"/>
      <c r="C55" s="975"/>
      <c r="D55" s="975"/>
      <c r="E55" s="975"/>
      <c r="F55" s="975">
        <f>+F54-F42-F14</f>
        <v>-4386</v>
      </c>
      <c r="G55" s="975">
        <f>+G54-G42-G14</f>
        <v>-564</v>
      </c>
      <c r="H55" s="975">
        <f>+H56-H54</f>
        <v>100</v>
      </c>
      <c r="I55" s="975">
        <v>293.31900000000297</v>
      </c>
      <c r="J55" s="976"/>
      <c r="K55" s="976"/>
      <c r="L55" s="976"/>
      <c r="M55" s="976"/>
      <c r="N55" s="976"/>
      <c r="O55" s="976"/>
      <c r="P55" s="976"/>
      <c r="Q55" s="976"/>
      <c r="R55" s="976"/>
      <c r="S55" s="976"/>
      <c r="T55" s="976"/>
      <c r="U55" s="976"/>
      <c r="V55" s="976"/>
      <c r="W55" s="976"/>
      <c r="X55" s="976"/>
      <c r="Y55" s="976"/>
      <c r="Z55" s="976"/>
      <c r="AA55" s="976"/>
      <c r="AB55" s="976"/>
      <c r="AC55" s="976"/>
      <c r="AD55" s="976"/>
      <c r="AE55" s="976"/>
      <c r="AF55" s="976"/>
      <c r="AG55" s="976"/>
      <c r="AH55" s="976"/>
      <c r="AI55" s="976"/>
      <c r="AJ55" s="976"/>
      <c r="AK55" s="976"/>
      <c r="AL55" s="976"/>
      <c r="AM55" s="976"/>
      <c r="AN55" s="976"/>
      <c r="AO55" s="976"/>
      <c r="AP55" s="976"/>
      <c r="AQ55" s="976"/>
      <c r="AR55" s="976"/>
      <c r="AS55" s="976"/>
      <c r="AT55" s="976"/>
      <c r="AU55" s="976"/>
      <c r="AV55" s="976"/>
      <c r="AW55" s="976"/>
      <c r="AX55" s="976"/>
      <c r="AY55" s="976"/>
      <c r="AZ55" s="976"/>
      <c r="BA55" s="976"/>
      <c r="BB55" s="976"/>
      <c r="BC55" s="976"/>
      <c r="BD55" s="976"/>
      <c r="BE55" s="976"/>
      <c r="BF55" s="976"/>
      <c r="BG55" s="1770" t="s">
        <v>86</v>
      </c>
      <c r="BH55" s="1770"/>
      <c r="BI55" s="1770"/>
      <c r="BJ55" s="1770"/>
      <c r="BK55" s="1770"/>
      <c r="BL55" s="1770"/>
      <c r="BM55" s="1770"/>
      <c r="BN55" s="1770"/>
      <c r="BO55" s="1770"/>
      <c r="BP55" s="1770"/>
    </row>
    <row r="56" spans="1:68">
      <c r="A56" s="87"/>
      <c r="B56" s="529"/>
      <c r="C56" s="975"/>
      <c r="D56" s="975"/>
      <c r="E56" s="975"/>
      <c r="F56" s="975"/>
      <c r="G56" s="975"/>
      <c r="H56" s="975">
        <v>82900</v>
      </c>
      <c r="I56" s="975"/>
      <c r="J56" s="976"/>
      <c r="K56" s="976"/>
      <c r="L56" s="976"/>
      <c r="M56" s="976"/>
      <c r="N56" s="976"/>
      <c r="O56" s="976"/>
      <c r="P56" s="976"/>
      <c r="Q56" s="976"/>
      <c r="R56" s="976"/>
      <c r="S56" s="976"/>
      <c r="T56" s="976"/>
      <c r="U56" s="976"/>
      <c r="V56" s="976"/>
      <c r="W56" s="976"/>
      <c r="X56" s="976"/>
      <c r="Y56" s="976"/>
      <c r="Z56" s="976"/>
      <c r="AA56" s="976"/>
      <c r="AB56" s="976"/>
      <c r="AC56" s="976"/>
      <c r="AD56" s="976"/>
      <c r="AE56" s="976"/>
      <c r="AF56" s="976"/>
      <c r="AG56" s="976"/>
      <c r="AH56" s="976"/>
      <c r="AI56" s="976"/>
      <c r="AJ56" s="976"/>
      <c r="AK56" s="976"/>
      <c r="AL56" s="976"/>
      <c r="AM56" s="976"/>
      <c r="AN56" s="976"/>
      <c r="AO56" s="976"/>
      <c r="AP56" s="976"/>
      <c r="AQ56" s="976"/>
      <c r="AR56" s="976"/>
      <c r="AS56" s="976"/>
      <c r="AT56" s="976"/>
      <c r="AU56" s="976"/>
      <c r="AV56" s="976"/>
      <c r="AW56" s="976"/>
      <c r="AX56" s="976"/>
      <c r="AY56" s="976"/>
      <c r="AZ56" s="976"/>
      <c r="BA56" s="976"/>
      <c r="BB56" s="976"/>
      <c r="BC56" s="976"/>
      <c r="BD56" s="976"/>
      <c r="BE56" s="976"/>
      <c r="BF56" s="976"/>
      <c r="BG56" s="976"/>
      <c r="BH56" s="976"/>
      <c r="BI56" s="976"/>
      <c r="BJ56" s="976"/>
      <c r="BK56" s="976"/>
      <c r="BL56" s="976"/>
      <c r="BM56" s="976"/>
      <c r="BN56" s="976"/>
      <c r="BO56" s="976"/>
      <c r="BP56" s="976"/>
    </row>
    <row r="57" spans="1:68">
      <c r="A57" s="87"/>
      <c r="B57" s="529"/>
      <c r="C57" s="975"/>
      <c r="D57" s="975"/>
      <c r="E57" s="975"/>
      <c r="F57" s="975">
        <f>+F54+G54-F53</f>
        <v>-4950</v>
      </c>
      <c r="G57" s="975"/>
      <c r="H57" s="975"/>
      <c r="I57" s="975"/>
      <c r="J57" s="976"/>
      <c r="K57" s="976"/>
      <c r="L57" s="976"/>
      <c r="M57" s="976"/>
      <c r="N57" s="976"/>
      <c r="O57" s="976"/>
      <c r="P57" s="976"/>
      <c r="Q57" s="976"/>
      <c r="R57" s="976"/>
      <c r="S57" s="976"/>
      <c r="T57" s="976"/>
      <c r="U57" s="976"/>
      <c r="V57" s="976"/>
      <c r="W57" s="976"/>
      <c r="X57" s="976"/>
      <c r="Y57" s="976"/>
      <c r="Z57" s="976"/>
      <c r="AA57" s="976"/>
      <c r="AB57" s="976"/>
      <c r="AC57" s="976"/>
      <c r="AD57" s="976"/>
      <c r="AE57" s="976"/>
      <c r="AF57" s="976"/>
      <c r="AG57" s="976"/>
      <c r="AH57" s="976"/>
      <c r="AI57" s="976"/>
      <c r="AJ57" s="976"/>
      <c r="AK57" s="976"/>
      <c r="AL57" s="976"/>
      <c r="AM57" s="976"/>
      <c r="AN57" s="976"/>
      <c r="AO57" s="976"/>
      <c r="AP57" s="976"/>
      <c r="AQ57" s="976"/>
      <c r="AR57" s="976"/>
      <c r="AS57" s="976"/>
      <c r="AT57" s="976"/>
      <c r="AU57" s="976"/>
      <c r="AV57" s="976"/>
      <c r="AW57" s="976"/>
      <c r="AX57" s="976"/>
      <c r="AY57" s="976"/>
      <c r="AZ57" s="976"/>
      <c r="BA57" s="976"/>
      <c r="BB57" s="976"/>
      <c r="BC57" s="976"/>
      <c r="BD57" s="976"/>
      <c r="BE57" s="976"/>
      <c r="BF57" s="976"/>
      <c r="BG57" s="976"/>
      <c r="BH57" s="976"/>
      <c r="BI57" s="976"/>
      <c r="BJ57" s="976"/>
      <c r="BK57" s="976"/>
      <c r="BL57" s="976"/>
      <c r="BM57" s="976"/>
      <c r="BN57" s="976"/>
      <c r="BO57" s="976"/>
      <c r="BP57" s="976"/>
    </row>
    <row r="58" spans="1:68" hidden="1">
      <c r="A58" s="87"/>
      <c r="B58" s="529"/>
      <c r="C58" s="975"/>
      <c r="D58" s="975"/>
      <c r="E58" s="975"/>
      <c r="F58" s="975"/>
      <c r="G58" s="975"/>
      <c r="H58" s="975"/>
      <c r="I58" s="975"/>
      <c r="J58" s="976"/>
      <c r="K58" s="976"/>
      <c r="L58" s="976"/>
      <c r="M58" s="976"/>
      <c r="N58" s="976"/>
      <c r="O58" s="976"/>
      <c r="P58" s="976"/>
      <c r="Q58" s="976"/>
      <c r="R58" s="976"/>
      <c r="S58" s="976"/>
      <c r="T58" s="976"/>
      <c r="U58" s="976"/>
      <c r="V58" s="976"/>
      <c r="W58" s="976"/>
      <c r="X58" s="976"/>
      <c r="Y58" s="976"/>
      <c r="Z58" s="976"/>
      <c r="AA58" s="976"/>
      <c r="AB58" s="976"/>
      <c r="AC58" s="976"/>
      <c r="AD58" s="976"/>
      <c r="AE58" s="976"/>
      <c r="AF58" s="976"/>
      <c r="AG58" s="976"/>
      <c r="AH58" s="976"/>
      <c r="AI58" s="976"/>
      <c r="AJ58" s="976"/>
      <c r="AK58" s="976"/>
      <c r="AL58" s="976"/>
      <c r="AM58" s="976"/>
      <c r="AN58" s="976"/>
      <c r="AO58" s="976"/>
      <c r="AP58" s="976"/>
      <c r="AQ58" s="976"/>
      <c r="AR58" s="976"/>
      <c r="AS58" s="976"/>
      <c r="AT58" s="976"/>
      <c r="AU58" s="976"/>
      <c r="AV58" s="976"/>
      <c r="AW58" s="976"/>
      <c r="AX58" s="976"/>
      <c r="AY58" s="976"/>
      <c r="AZ58" s="976"/>
      <c r="BA58" s="976"/>
      <c r="BB58" s="976"/>
      <c r="BC58" s="976"/>
      <c r="BD58" s="976"/>
      <c r="BE58" s="976"/>
      <c r="BF58" s="976"/>
      <c r="BG58" s="976"/>
      <c r="BH58" s="976"/>
      <c r="BI58" s="976"/>
      <c r="BJ58" s="976"/>
      <c r="BK58" s="976"/>
      <c r="BL58" s="976"/>
      <c r="BM58" s="976"/>
      <c r="BN58" s="976"/>
      <c r="BO58" s="976"/>
      <c r="BP58" s="976"/>
    </row>
    <row r="59" spans="1:68" hidden="1">
      <c r="J59" s="985" t="s">
        <v>140</v>
      </c>
      <c r="K59" s="985" t="s">
        <v>141</v>
      </c>
      <c r="L59" s="985" t="s">
        <v>47</v>
      </c>
      <c r="O59" s="986" t="s">
        <v>15</v>
      </c>
      <c r="P59" s="155" t="s">
        <v>16</v>
      </c>
    </row>
    <row r="60" spans="1:68" hidden="1">
      <c r="B60" s="987" t="s">
        <v>380</v>
      </c>
      <c r="J60" s="988">
        <v>1058.5369000000001</v>
      </c>
      <c r="K60" s="988">
        <f t="shared" ref="K60:K68" si="68">J43-J60</f>
        <v>2806.4628990000001</v>
      </c>
      <c r="L60" s="988">
        <f>J60+K60</f>
        <v>3864.9997990000002</v>
      </c>
      <c r="N60" s="986">
        <f>O60+P60</f>
        <v>1058.5369000000001</v>
      </c>
      <c r="O60" s="988">
        <v>1058.5369000000001</v>
      </c>
    </row>
    <row r="61" spans="1:68" hidden="1">
      <c r="B61" s="987" t="s">
        <v>381</v>
      </c>
      <c r="J61" s="988">
        <v>1110.6859999999999</v>
      </c>
      <c r="K61" s="988">
        <f t="shared" si="68"/>
        <v>15293.133043000003</v>
      </c>
      <c r="L61" s="988">
        <f t="shared" ref="L61:L68" si="69">J61+K61</f>
        <v>16403.819043000003</v>
      </c>
      <c r="N61" s="986">
        <f t="shared" ref="N61:N68" si="70">O61+P61</f>
        <v>1110.6859999999999</v>
      </c>
      <c r="O61" s="988">
        <v>1110.6859999999999</v>
      </c>
    </row>
    <row r="62" spans="1:68" hidden="1">
      <c r="B62" s="987" t="s">
        <v>382</v>
      </c>
      <c r="J62" s="988">
        <v>6079.2272970000004</v>
      </c>
      <c r="K62" s="988">
        <f t="shared" si="68"/>
        <v>14894.536384999999</v>
      </c>
      <c r="L62" s="988">
        <f t="shared" si="69"/>
        <v>20973.763682000001</v>
      </c>
      <c r="N62" s="986">
        <f t="shared" si="70"/>
        <v>6079.2272970000004</v>
      </c>
      <c r="O62" s="988">
        <f>6079.227297-70</f>
        <v>6009.2272970000004</v>
      </c>
      <c r="P62" s="155">
        <v>70</v>
      </c>
    </row>
    <row r="63" spans="1:68" hidden="1">
      <c r="B63" s="987" t="s">
        <v>383</v>
      </c>
      <c r="J63" s="988">
        <v>1360.758</v>
      </c>
      <c r="K63" s="988">
        <f t="shared" si="68"/>
        <v>20696.076553999999</v>
      </c>
      <c r="L63" s="988">
        <f t="shared" si="69"/>
        <v>22056.834554000001</v>
      </c>
      <c r="N63" s="986">
        <f t="shared" si="70"/>
        <v>1360.758</v>
      </c>
      <c r="O63" s="988">
        <v>1215.23</v>
      </c>
      <c r="P63" s="155">
        <v>145.52799999999999</v>
      </c>
      <c r="Q63" s="986"/>
    </row>
    <row r="64" spans="1:68" hidden="1">
      <c r="B64" s="987" t="s">
        <v>385</v>
      </c>
      <c r="J64" s="988">
        <v>1537.5153</v>
      </c>
      <c r="K64" s="988">
        <f t="shared" si="68"/>
        <v>5573.8706999999995</v>
      </c>
      <c r="L64" s="988">
        <f>J64+K64</f>
        <v>7111.3859999999995</v>
      </c>
      <c r="N64" s="986">
        <f t="shared" si="70"/>
        <v>1537.5153</v>
      </c>
      <c r="O64" s="155">
        <v>937.51530000000002</v>
      </c>
      <c r="P64" s="155">
        <v>600</v>
      </c>
      <c r="Q64" s="986"/>
    </row>
    <row r="65" spans="2:17" hidden="1">
      <c r="B65" s="987" t="s">
        <v>384</v>
      </c>
      <c r="J65" s="988">
        <v>4265.32</v>
      </c>
      <c r="K65" s="988">
        <f t="shared" si="68"/>
        <v>8831.6988810000003</v>
      </c>
      <c r="L65" s="988">
        <f t="shared" si="69"/>
        <v>13097.018881</v>
      </c>
      <c r="N65" s="986">
        <f t="shared" si="70"/>
        <v>4265.32</v>
      </c>
      <c r="O65" s="988">
        <v>469.185</v>
      </c>
      <c r="P65" s="988">
        <v>3796.1349999999998</v>
      </c>
      <c r="Q65" s="986"/>
    </row>
    <row r="66" spans="2:17" hidden="1">
      <c r="B66" s="987" t="s">
        <v>386</v>
      </c>
      <c r="J66" s="988">
        <v>526.33360000000005</v>
      </c>
      <c r="K66" s="988">
        <f t="shared" si="68"/>
        <v>27410.3861</v>
      </c>
      <c r="L66" s="988">
        <f t="shared" si="69"/>
        <v>27936.719700000001</v>
      </c>
      <c r="N66" s="986">
        <f t="shared" si="70"/>
        <v>526.33360000000005</v>
      </c>
      <c r="O66" s="988">
        <v>526.33360000000005</v>
      </c>
    </row>
    <row r="67" spans="2:17" hidden="1">
      <c r="B67" s="987" t="s">
        <v>486</v>
      </c>
      <c r="J67" s="988">
        <v>40</v>
      </c>
      <c r="K67" s="988">
        <f t="shared" si="68"/>
        <v>6294.7357039999997</v>
      </c>
      <c r="L67" s="988">
        <f t="shared" si="69"/>
        <v>6334.7357039999997</v>
      </c>
      <c r="N67" s="986">
        <f t="shared" si="70"/>
        <v>40</v>
      </c>
      <c r="O67" s="988">
        <v>40</v>
      </c>
    </row>
    <row r="68" spans="2:17" hidden="1">
      <c r="B68" s="987" t="s">
        <v>487</v>
      </c>
      <c r="J68" s="988">
        <v>2794.2236339999999</v>
      </c>
      <c r="K68" s="988">
        <f t="shared" si="68"/>
        <v>16094.126013999999</v>
      </c>
      <c r="L68" s="988">
        <f t="shared" si="69"/>
        <v>18888.349647999999</v>
      </c>
      <c r="N68" s="986">
        <f t="shared" si="70"/>
        <v>2794.2236339999999</v>
      </c>
      <c r="O68" s="155">
        <v>757.46600000000001</v>
      </c>
      <c r="P68" s="986">
        <v>2036.7576340000001</v>
      </c>
    </row>
    <row r="69" spans="2:17" s="177" customFormat="1" hidden="1">
      <c r="J69" s="989">
        <f>SUM(J60:J68)</f>
        <v>18772.600730999999</v>
      </c>
      <c r="K69" s="989">
        <f>SUM(K60:K68)</f>
        <v>117895.02628000001</v>
      </c>
      <c r="L69" s="989">
        <f>SUM(L60:L68)</f>
        <v>136667.627011</v>
      </c>
      <c r="N69" s="989">
        <f>SUM(N60:N68)</f>
        <v>18772.600730999999</v>
      </c>
      <c r="O69" s="989">
        <f>SUM(O60:O68)</f>
        <v>12124.180097</v>
      </c>
      <c r="P69" s="989">
        <f>SUM(P60:P68)</f>
        <v>6648.4206340000001</v>
      </c>
    </row>
    <row r="70" spans="2:17" hidden="1">
      <c r="K70" s="989"/>
    </row>
  </sheetData>
  <sheetProtection selectLockedCells="1" selectUnlockedCells="1"/>
  <mergeCells count="87">
    <mergeCell ref="AO9:AU9"/>
    <mergeCell ref="AV9:BB9"/>
    <mergeCell ref="BJ9:BP9"/>
    <mergeCell ref="J9:J12"/>
    <mergeCell ref="K9:L9"/>
    <mergeCell ref="M9:S9"/>
    <mergeCell ref="T9:Z9"/>
    <mergeCell ref="N10:P10"/>
    <mergeCell ref="N11:N12"/>
    <mergeCell ref="K10:K12"/>
    <mergeCell ref="L10:L12"/>
    <mergeCell ref="M10:M12"/>
    <mergeCell ref="Q10:S10"/>
    <mergeCell ref="T10:T12"/>
    <mergeCell ref="Q11:Q12"/>
    <mergeCell ref="R11:S11"/>
    <mergeCell ref="F8:G8"/>
    <mergeCell ref="A8:A12"/>
    <mergeCell ref="B8:B12"/>
    <mergeCell ref="C8:E8"/>
    <mergeCell ref="C9:C12"/>
    <mergeCell ref="D9:E9"/>
    <mergeCell ref="D10:D12"/>
    <mergeCell ref="E10:E12"/>
    <mergeCell ref="O11:P11"/>
    <mergeCell ref="H8:I8"/>
    <mergeCell ref="U10:W10"/>
    <mergeCell ref="X10:Z10"/>
    <mergeCell ref="AA10:AA12"/>
    <mergeCell ref="U11:U12"/>
    <mergeCell ref="V11:W11"/>
    <mergeCell ref="X11:X12"/>
    <mergeCell ref="Y11:Z11"/>
    <mergeCell ref="AA7:AG7"/>
    <mergeCell ref="AH7:AN7"/>
    <mergeCell ref="AM11:AN11"/>
    <mergeCell ref="AI10:AK10"/>
    <mergeCell ref="AB10:AD10"/>
    <mergeCell ref="AL10:AN10"/>
    <mergeCell ref="AE11:AE12"/>
    <mergeCell ref="AA9:AG9"/>
    <mergeCell ref="AH9:AN9"/>
    <mergeCell ref="AI11:AI12"/>
    <mergeCell ref="AJ11:AK11"/>
    <mergeCell ref="AL11:AL12"/>
    <mergeCell ref="AB11:AB12"/>
    <mergeCell ref="AC11:AD11"/>
    <mergeCell ref="AE10:AG10"/>
    <mergeCell ref="AH10:AH12"/>
    <mergeCell ref="AO10:AO12"/>
    <mergeCell ref="AF11:AG11"/>
    <mergeCell ref="BG53:BP53"/>
    <mergeCell ref="AP10:AR10"/>
    <mergeCell ref="AW11:AW12"/>
    <mergeCell ref="AX11:AY11"/>
    <mergeCell ref="AW10:AY10"/>
    <mergeCell ref="AS10:AU10"/>
    <mergeCell ref="AV10:AV12"/>
    <mergeCell ref="AP11:AP12"/>
    <mergeCell ref="AQ11:AR11"/>
    <mergeCell ref="AS11:AS12"/>
    <mergeCell ref="AT11:AU11"/>
    <mergeCell ref="BG54:BP54"/>
    <mergeCell ref="BC9:BI9"/>
    <mergeCell ref="BE11:BF11"/>
    <mergeCell ref="AZ10:BB10"/>
    <mergeCell ref="BD10:BF10"/>
    <mergeCell ref="BD11:BD12"/>
    <mergeCell ref="BC10:BC12"/>
    <mergeCell ref="AZ11:AZ12"/>
    <mergeCell ref="BA11:BB11"/>
    <mergeCell ref="AE1:AS1"/>
    <mergeCell ref="A4:AN4"/>
    <mergeCell ref="A5:AN5"/>
    <mergeCell ref="J8:AN8"/>
    <mergeCell ref="BG55:BP55"/>
    <mergeCell ref="BL7:BP7"/>
    <mergeCell ref="BG10:BI10"/>
    <mergeCell ref="BJ10:BJ12"/>
    <mergeCell ref="BK10:BM10"/>
    <mergeCell ref="BN10:BP10"/>
    <mergeCell ref="BG11:BG12"/>
    <mergeCell ref="BH11:BI11"/>
    <mergeCell ref="BK11:BK12"/>
    <mergeCell ref="BL11:BM11"/>
    <mergeCell ref="BN11:BN12"/>
    <mergeCell ref="BO11:BP11"/>
  </mergeCells>
  <phoneticPr fontId="160" type="noConversion"/>
  <printOptions horizontalCentered="1"/>
  <pageMargins left="0" right="0" top="0.5" bottom="0.5" header="0" footer="0"/>
  <pageSetup paperSize="9" firstPageNumber="0" pageOrder="overThenDown" orientation="landscape" r:id="rId1"/>
  <headerFooter differentFirst="1" alignWithMargins="0">
    <oddFooter>&amp;C&amp;"Times New Roman,Regular"&amp;12&amp;P</oddFoot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T137"/>
  <sheetViews>
    <sheetView zoomScale="130" zoomScaleNormal="130" workbookViewId="0">
      <selection activeCell="A4" sqref="A4:P4"/>
    </sheetView>
  </sheetViews>
  <sheetFormatPr defaultColWidth="46.7109375" defaultRowHeight="15.75"/>
  <cols>
    <col min="1" max="1" width="4.5703125" style="102" customWidth="1"/>
    <col min="2" max="2" width="62.140625" style="102" customWidth="1"/>
    <col min="3" max="3" width="14.140625" style="117" hidden="1" customWidth="1"/>
    <col min="4" max="4" width="11.42578125" style="134" customWidth="1"/>
    <col min="5" max="5" width="12.140625" style="102" customWidth="1"/>
    <col min="6" max="6" width="15" style="117" hidden="1" customWidth="1"/>
    <col min="7" max="7" width="11.7109375" style="117" hidden="1" customWidth="1"/>
    <col min="8" max="8" width="15.5703125" style="117" hidden="1" customWidth="1"/>
    <col min="9" max="9" width="14.85546875" style="102" hidden="1" customWidth="1"/>
    <col min="10" max="10" width="10.7109375" style="102" hidden="1" customWidth="1"/>
    <col min="11" max="11" width="12.42578125" style="117" hidden="1" customWidth="1"/>
    <col min="12" max="12" width="14.28515625" style="102" hidden="1" customWidth="1"/>
    <col min="13" max="13" width="10" style="102" hidden="1" customWidth="1"/>
    <col min="14" max="14" width="12.85546875" style="117" hidden="1" customWidth="1"/>
    <col min="15" max="15" width="10.42578125" style="102" hidden="1" customWidth="1"/>
    <col min="16" max="16" width="7.5703125" style="102" customWidth="1"/>
    <col min="17" max="17" width="0" style="102" hidden="1" customWidth="1"/>
    <col min="18" max="18" width="17.5703125" style="102" hidden="1" customWidth="1"/>
    <col min="19" max="19" width="12.42578125" style="102" hidden="1" customWidth="1"/>
    <col min="20" max="20" width="16.140625" style="102" customWidth="1"/>
    <col min="21" max="254" width="9.140625" style="102" customWidth="1"/>
    <col min="255" max="255" width="5.42578125" style="102" customWidth="1"/>
    <col min="256" max="16384" width="46.7109375" style="102"/>
  </cols>
  <sheetData>
    <row r="1" spans="1:20" ht="17.100000000000001" customHeight="1">
      <c r="A1" s="1207" t="s">
        <v>2876</v>
      </c>
      <c r="C1" s="102"/>
      <c r="E1" s="1721" t="s">
        <v>2858</v>
      </c>
      <c r="F1" s="1721"/>
      <c r="G1" s="1721"/>
      <c r="H1" s="1721"/>
      <c r="I1" s="1721"/>
      <c r="J1" s="1721"/>
      <c r="K1" s="1721"/>
      <c r="L1" s="1721"/>
      <c r="M1" s="1721"/>
      <c r="N1" s="1721"/>
      <c r="O1" s="1721"/>
      <c r="P1" s="1721"/>
    </row>
    <row r="2" spans="1:20" ht="17.100000000000001" customHeight="1">
      <c r="A2" s="1207" t="s">
        <v>2878</v>
      </c>
      <c r="C2" s="102"/>
    </row>
    <row r="3" spans="1:20" ht="38.25" customHeight="1">
      <c r="C3" s="102"/>
      <c r="L3" s="104"/>
      <c r="M3" s="104"/>
      <c r="N3" s="253"/>
      <c r="Q3" s="104"/>
    </row>
    <row r="4" spans="1:20" ht="20.25" customHeight="1">
      <c r="A4" s="1685" t="s">
        <v>2855</v>
      </c>
      <c r="B4" s="1685"/>
      <c r="C4" s="1685"/>
      <c r="D4" s="1685"/>
      <c r="E4" s="1685"/>
      <c r="F4" s="1685"/>
      <c r="G4" s="1685"/>
      <c r="H4" s="1685"/>
      <c r="I4" s="1685"/>
      <c r="J4" s="1685"/>
      <c r="K4" s="1685"/>
      <c r="L4" s="1685"/>
      <c r="M4" s="1685"/>
      <c r="N4" s="1685"/>
      <c r="O4" s="1685"/>
      <c r="P4" s="1685"/>
      <c r="Q4" s="254"/>
    </row>
    <row r="5" spans="1:20" ht="21.75" customHeight="1">
      <c r="A5" s="1694" t="s">
        <v>2881</v>
      </c>
      <c r="B5" s="1694"/>
      <c r="C5" s="1694"/>
      <c r="D5" s="1694"/>
      <c r="E5" s="1694"/>
      <c r="F5" s="1694"/>
      <c r="G5" s="1694"/>
      <c r="H5" s="1694"/>
      <c r="I5" s="1694"/>
      <c r="J5" s="1694"/>
      <c r="K5" s="1694"/>
      <c r="L5" s="1694"/>
      <c r="M5" s="1694"/>
      <c r="N5" s="1694"/>
      <c r="O5" s="1694"/>
      <c r="P5" s="1694"/>
      <c r="Q5" s="254"/>
    </row>
    <row r="6" spans="1:20" ht="27.75" customHeight="1">
      <c r="A6" s="1137"/>
      <c r="B6" s="1137"/>
      <c r="C6" s="1137"/>
      <c r="D6" s="1137"/>
      <c r="E6" s="1137"/>
      <c r="F6" s="1137"/>
      <c r="G6" s="1137"/>
      <c r="H6" s="1137"/>
      <c r="I6" s="1137"/>
      <c r="J6" s="1137"/>
      <c r="K6" s="1137"/>
      <c r="L6" s="1137"/>
      <c r="M6" s="1137"/>
      <c r="N6" s="1137"/>
      <c r="O6" s="1137"/>
      <c r="P6" s="1137"/>
      <c r="Q6" s="254"/>
    </row>
    <row r="7" spans="1:20" s="117" customFormat="1" ht="22.5" customHeight="1">
      <c r="B7" s="105"/>
      <c r="C7" s="516"/>
      <c r="D7" s="255"/>
      <c r="E7" s="1722" t="s">
        <v>44</v>
      </c>
      <c r="F7" s="1722"/>
      <c r="G7" s="1722"/>
      <c r="H7" s="1722"/>
      <c r="I7" s="1722"/>
      <c r="J7" s="1722"/>
      <c r="K7" s="1722"/>
      <c r="L7" s="1722"/>
      <c r="M7" s="1722"/>
      <c r="N7" s="1722"/>
      <c r="O7" s="1722"/>
      <c r="P7" s="1722"/>
      <c r="Q7" s="258"/>
    </row>
    <row r="8" spans="1:20" ht="39.75" customHeight="1">
      <c r="A8" s="1266" t="s">
        <v>45</v>
      </c>
      <c r="B8" s="1138" t="s">
        <v>98</v>
      </c>
      <c r="C8" s="1138" t="s">
        <v>939</v>
      </c>
      <c r="D8" s="1138" t="s">
        <v>1011</v>
      </c>
      <c r="E8" s="1138" t="s">
        <v>2854</v>
      </c>
      <c r="F8" s="1138"/>
      <c r="G8" s="1138"/>
      <c r="H8" s="1138"/>
      <c r="I8" s="1138"/>
      <c r="J8" s="1138"/>
      <c r="K8" s="1138"/>
      <c r="L8" s="1138"/>
      <c r="M8" s="1138"/>
      <c r="N8" s="1138"/>
      <c r="O8" s="1138"/>
      <c r="P8" s="1138" t="s">
        <v>2857</v>
      </c>
      <c r="Q8" s="1055"/>
      <c r="R8" s="116"/>
    </row>
    <row r="9" spans="1:20" ht="21.95" customHeight="1">
      <c r="A9" s="1294" t="s">
        <v>57</v>
      </c>
      <c r="B9" s="1295" t="s">
        <v>80</v>
      </c>
      <c r="C9" s="1295" t="s">
        <v>104</v>
      </c>
      <c r="D9" s="1296">
        <v>1</v>
      </c>
      <c r="E9" s="1295" t="s">
        <v>105</v>
      </c>
      <c r="F9" s="1295" t="s">
        <v>248</v>
      </c>
      <c r="G9" s="1295"/>
      <c r="H9" s="1295"/>
      <c r="I9" s="1295" t="s">
        <v>249</v>
      </c>
      <c r="J9" s="1295"/>
      <c r="K9" s="1295"/>
      <c r="L9" s="1295" t="s">
        <v>250</v>
      </c>
      <c r="M9" s="1295"/>
      <c r="N9" s="1295"/>
      <c r="O9" s="1295" t="s">
        <v>251</v>
      </c>
      <c r="P9" s="1295" t="s">
        <v>2856</v>
      </c>
      <c r="Q9" s="1281"/>
      <c r="R9" s="103"/>
      <c r="T9" s="103"/>
    </row>
    <row r="10" spans="1:20" ht="21.95" customHeight="1">
      <c r="A10" s="1297"/>
      <c r="B10" s="1298" t="s">
        <v>2853</v>
      </c>
      <c r="C10" s="1299">
        <f>+C11+C86+C109</f>
        <v>9160828</v>
      </c>
      <c r="D10" s="1300">
        <f>+D11+D86+D109</f>
        <v>9418496</v>
      </c>
      <c r="E10" s="1300">
        <f>+E11+E86+E109+E110</f>
        <v>11329078.47421</v>
      </c>
      <c r="F10" s="1301"/>
      <c r="G10" s="1301"/>
      <c r="H10" s="1301"/>
      <c r="I10" s="1301"/>
      <c r="J10" s="1301"/>
      <c r="K10" s="1301"/>
      <c r="L10" s="1301"/>
      <c r="M10" s="1301"/>
      <c r="N10" s="1301"/>
      <c r="O10" s="1301"/>
      <c r="P10" s="1275">
        <f>+E10/D10*100</f>
        <v>120.28543064848145</v>
      </c>
      <c r="Q10" s="1282"/>
      <c r="R10" s="103"/>
      <c r="T10" s="103"/>
    </row>
    <row r="11" spans="1:20" ht="21.95" customHeight="1">
      <c r="A11" s="1267" t="s">
        <v>57</v>
      </c>
      <c r="B11" s="1279" t="s">
        <v>2852</v>
      </c>
      <c r="C11" s="1053">
        <f>C12+C38+C79+C80+C81+C82+C110</f>
        <v>7211277</v>
      </c>
      <c r="D11" s="1275">
        <f>D12+D38+D79+D80+D81+D82+D110</f>
        <v>7614235</v>
      </c>
      <c r="E11" s="1275">
        <f>+E12+E38+E79+E80+E81+E82</f>
        <v>8515965.8033209983</v>
      </c>
      <c r="F11" s="1271">
        <f>F12+F79+F38+F80+F109+F86</f>
        <v>6218684.7938589994</v>
      </c>
      <c r="G11" s="1271"/>
      <c r="H11" s="1271"/>
      <c r="I11" s="1271">
        <f>+I12+I79+I38+I80+I109+I86</f>
        <v>3952060.8910559993</v>
      </c>
      <c r="J11" s="1271"/>
      <c r="K11" s="1271"/>
      <c r="L11" s="1271">
        <f>+L12+L79+L38+L80+L109+L86</f>
        <v>1158332.789295</v>
      </c>
      <c r="M11" s="1275"/>
      <c r="N11" s="1271"/>
      <c r="O11" s="1275">
        <f>E11/C11*100</f>
        <v>118.09234069528875</v>
      </c>
      <c r="P11" s="1275">
        <f>E11/D11*100</f>
        <v>111.84269730735916</v>
      </c>
      <c r="Q11" s="1283" t="e">
        <f>+E11/"#REF!*100"</f>
        <v>#VALUE!</v>
      </c>
      <c r="R11" s="103"/>
      <c r="T11" s="103"/>
    </row>
    <row r="12" spans="1:20" ht="21.95" customHeight="1">
      <c r="A12" s="1267" t="s">
        <v>108</v>
      </c>
      <c r="B12" s="1279" t="s">
        <v>59</v>
      </c>
      <c r="C12" s="1046">
        <f>+C13+C27+C28</f>
        <v>1656790</v>
      </c>
      <c r="D12" s="1274">
        <v>1785790</v>
      </c>
      <c r="E12" s="1271">
        <f>+E13+E27+E28</f>
        <v>2273828.1467739996</v>
      </c>
      <c r="F12" s="1271">
        <f>+F13+F27+F28</f>
        <v>1703453.2417049999</v>
      </c>
      <c r="G12" s="1271"/>
      <c r="H12" s="1271"/>
      <c r="I12" s="1271">
        <f>+I13+I27+I28</f>
        <v>398738.66041099996</v>
      </c>
      <c r="J12" s="1275"/>
      <c r="K12" s="1271"/>
      <c r="L12" s="1271">
        <f>+L13+L27+L28</f>
        <v>171636.24465800001</v>
      </c>
      <c r="M12" s="1275"/>
      <c r="N12" s="1271"/>
      <c r="O12" s="1275">
        <f>E12/C12*100</f>
        <v>137.24299076974148</v>
      </c>
      <c r="P12" s="1275">
        <f>E12/D12*100</f>
        <v>127.32897747069923</v>
      </c>
      <c r="Q12" s="1284" t="e">
        <f>+E12/"#REF!*100"</f>
        <v>#VALUE!</v>
      </c>
      <c r="R12" s="103"/>
    </row>
    <row r="13" spans="1:20" ht="21.95" customHeight="1">
      <c r="A13" s="1267">
        <v>1</v>
      </c>
      <c r="B13" s="1279" t="s">
        <v>2952</v>
      </c>
      <c r="C13" s="1048">
        <v>1656790</v>
      </c>
      <c r="D13" s="1270">
        <v>1785790</v>
      </c>
      <c r="E13" s="1275">
        <f>F13+I13+L13</f>
        <v>2171696.2130899997</v>
      </c>
      <c r="F13" s="1271">
        <f>+F14+F15+F16+F17+F18+F19+F20+F21+F22+F23+F24+F25+F26</f>
        <v>1602044.563021</v>
      </c>
      <c r="G13" s="1271">
        <f>+G14+G15+G16+G17+G18+G19+G20+G21+G22+G23+G24+G25+G26</f>
        <v>633340.47815500002</v>
      </c>
      <c r="H13" s="1271">
        <f>+H14+H15+H16+H17+H18+H19+H20+H21+H22+H23+H24+H25+H26</f>
        <v>0</v>
      </c>
      <c r="I13" s="1271">
        <f>+I14+I15+I16+I17+I18+I19+I20+I21+I22+I23+I24+I25+I26</f>
        <v>398015.40541099996</v>
      </c>
      <c r="J13" s="1271">
        <f>+SUM(J14:J26)</f>
        <v>12853.423792</v>
      </c>
      <c r="K13" s="1271">
        <f>+SUM(K14:K26)</f>
        <v>0</v>
      </c>
      <c r="L13" s="1271">
        <f>+L14+L15+L16+L17+L18+L19+L20+L21+L22+L23+L24+L25+L26</f>
        <v>171636.24465800001</v>
      </c>
      <c r="M13" s="1271">
        <f>+M14+M15+M16+M17+M18+M19+M20+M21+M22+M23+M24+M25+M26</f>
        <v>96203.247968999989</v>
      </c>
      <c r="N13" s="1271">
        <f>+N14+N15+N16+N17+N18+N19+N20+N21+N22+N23+N24+N25+N26</f>
        <v>0</v>
      </c>
      <c r="O13" s="1275">
        <f>E13/C13*100</f>
        <v>131.07854423855767</v>
      </c>
      <c r="P13" s="1275">
        <f>E13/D13*100</f>
        <v>121.60983167617691</v>
      </c>
      <c r="Q13" s="1284"/>
      <c r="R13" s="103">
        <f>+(E13-E26)/C13*100</f>
        <v>122.43506823067496</v>
      </c>
      <c r="S13" s="931">
        <f>(E13-E26)/D13*100</f>
        <v>113.59073390146656</v>
      </c>
    </row>
    <row r="14" spans="1:20" ht="21.95" customHeight="1">
      <c r="A14" s="1302" t="s">
        <v>254</v>
      </c>
      <c r="B14" s="1303" t="s">
        <v>255</v>
      </c>
      <c r="C14" s="1048">
        <v>0</v>
      </c>
      <c r="D14" s="1273">
        <v>0</v>
      </c>
      <c r="E14" s="1304">
        <f>+F14+I14+L14</f>
        <v>29253.509900000001</v>
      </c>
      <c r="F14" s="1304">
        <v>29114.277900000001</v>
      </c>
      <c r="G14" s="1304"/>
      <c r="H14" s="1304"/>
      <c r="I14" s="1305">
        <v>139.232</v>
      </c>
      <c r="J14" s="1306"/>
      <c r="K14" s="1304"/>
      <c r="L14" s="1273">
        <v>0</v>
      </c>
      <c r="M14" s="1306"/>
      <c r="N14" s="1304"/>
      <c r="O14" s="1273">
        <v>0</v>
      </c>
      <c r="P14" s="1273">
        <v>0</v>
      </c>
      <c r="Q14" s="1040"/>
      <c r="R14" s="103">
        <f>+E13-E26</f>
        <v>2028491.9669389997</v>
      </c>
    </row>
    <row r="15" spans="1:20" ht="21.95" customHeight="1">
      <c r="A15" s="1302" t="s">
        <v>256</v>
      </c>
      <c r="B15" s="1303" t="s">
        <v>257</v>
      </c>
      <c r="C15" s="1048">
        <v>0</v>
      </c>
      <c r="D15" s="1273">
        <v>0</v>
      </c>
      <c r="E15" s="1304">
        <f t="shared" ref="E15:E25" si="0">+F15+I15+L15</f>
        <v>11565.008900000001</v>
      </c>
      <c r="F15" s="1304">
        <v>11511.0542</v>
      </c>
      <c r="G15" s="1304"/>
      <c r="H15" s="1304"/>
      <c r="I15" s="1305">
        <v>53.954700000000003</v>
      </c>
      <c r="J15" s="1306"/>
      <c r="K15" s="1304"/>
      <c r="L15" s="1273">
        <v>0</v>
      </c>
      <c r="M15" s="1306"/>
      <c r="N15" s="1304"/>
      <c r="O15" s="1273">
        <v>0</v>
      </c>
      <c r="P15" s="1273">
        <v>0</v>
      </c>
      <c r="Q15" s="1040"/>
      <c r="R15" s="103">
        <f>+R14/C13*100</f>
        <v>122.43506823067496</v>
      </c>
    </row>
    <row r="16" spans="1:20" s="117" customFormat="1" ht="21.95" customHeight="1">
      <c r="A16" s="1265" t="s">
        <v>258</v>
      </c>
      <c r="B16" s="1307" t="s">
        <v>259</v>
      </c>
      <c r="C16" s="1048">
        <v>0</v>
      </c>
      <c r="D16" s="1270">
        <v>0</v>
      </c>
      <c r="E16" s="1304">
        <f t="shared" si="0"/>
        <v>235167.633508</v>
      </c>
      <c r="F16" s="1308">
        <f>112619.79232-G16</f>
        <v>71693.375520000001</v>
      </c>
      <c r="G16" s="1304">
        <v>40926.416799999999</v>
      </c>
      <c r="H16" s="1304"/>
      <c r="I16" s="1304">
        <f>164617.396988-J16</f>
        <v>163474.257988</v>
      </c>
      <c r="J16" s="1304">
        <v>1143.1389999999999</v>
      </c>
      <c r="K16" s="1304"/>
      <c r="L16" s="1270">
        <f>120-M16</f>
        <v>0</v>
      </c>
      <c r="M16" s="1304">
        <v>120</v>
      </c>
      <c r="N16" s="1304"/>
      <c r="O16" s="1270">
        <v>0</v>
      </c>
      <c r="P16" s="1270">
        <v>0</v>
      </c>
      <c r="Q16" s="1040"/>
      <c r="R16" s="330"/>
    </row>
    <row r="17" spans="1:20" s="117" customFormat="1" ht="21.95" customHeight="1">
      <c r="A17" s="1265" t="s">
        <v>260</v>
      </c>
      <c r="B17" s="1307" t="s">
        <v>261</v>
      </c>
      <c r="C17" s="1048">
        <v>0</v>
      </c>
      <c r="D17" s="1270">
        <v>0</v>
      </c>
      <c r="E17" s="1304">
        <f t="shared" si="0"/>
        <v>643.31500000000005</v>
      </c>
      <c r="F17" s="1304">
        <v>643.31500000000005</v>
      </c>
      <c r="G17" s="1304"/>
      <c r="H17" s="1304"/>
      <c r="I17" s="1270">
        <v>0</v>
      </c>
      <c r="J17" s="1304"/>
      <c r="K17" s="1304"/>
      <c r="L17" s="1270">
        <v>0</v>
      </c>
      <c r="M17" s="1304"/>
      <c r="N17" s="1304"/>
      <c r="O17" s="1270">
        <v>0</v>
      </c>
      <c r="P17" s="1270">
        <v>0</v>
      </c>
      <c r="Q17" s="1040"/>
      <c r="R17" s="330"/>
    </row>
    <row r="18" spans="1:20" ht="21.95" customHeight="1">
      <c r="A18" s="1302" t="s">
        <v>262</v>
      </c>
      <c r="B18" s="1303" t="s">
        <v>263</v>
      </c>
      <c r="C18" s="1048">
        <v>0</v>
      </c>
      <c r="D18" s="1273">
        <v>0</v>
      </c>
      <c r="E18" s="1304">
        <f t="shared" si="0"/>
        <v>128430.53434100001</v>
      </c>
      <c r="F18" s="1304">
        <v>127927.791341</v>
      </c>
      <c r="G18" s="1304"/>
      <c r="H18" s="1304"/>
      <c r="I18" s="1306">
        <v>228.64699999999999</v>
      </c>
      <c r="J18" s="1306"/>
      <c r="K18" s="1304"/>
      <c r="L18" s="1305">
        <v>274.096</v>
      </c>
      <c r="M18" s="1306"/>
      <c r="N18" s="1304"/>
      <c r="O18" s="1273">
        <v>0</v>
      </c>
      <c r="P18" s="1273">
        <v>0</v>
      </c>
      <c r="Q18" s="1040"/>
      <c r="R18" s="103"/>
    </row>
    <row r="19" spans="1:20" ht="21.95" customHeight="1">
      <c r="A19" s="1302" t="s">
        <v>264</v>
      </c>
      <c r="B19" s="1303" t="s">
        <v>265</v>
      </c>
      <c r="C19" s="1048">
        <v>0</v>
      </c>
      <c r="D19" s="1273">
        <v>0</v>
      </c>
      <c r="E19" s="1304">
        <f t="shared" si="0"/>
        <v>62204.969066999998</v>
      </c>
      <c r="F19" s="1304">
        <v>45495.248045</v>
      </c>
      <c r="G19" s="1304"/>
      <c r="H19" s="1304"/>
      <c r="I19" s="1306">
        <f>15630.437022-J19</f>
        <v>14704.780022000001</v>
      </c>
      <c r="J19" s="1306">
        <v>925.65700000000004</v>
      </c>
      <c r="K19" s="1304"/>
      <c r="L19" s="1305">
        <f>3100.861-M19</f>
        <v>2004.9409999999998</v>
      </c>
      <c r="M19" s="1306">
        <v>1095.92</v>
      </c>
      <c r="N19" s="1304"/>
      <c r="O19" s="1273">
        <v>0</v>
      </c>
      <c r="P19" s="1273">
        <v>0</v>
      </c>
      <c r="Q19" s="1040"/>
      <c r="R19" s="103"/>
    </row>
    <row r="20" spans="1:20" ht="21.95" customHeight="1">
      <c r="A20" s="1302" t="s">
        <v>266</v>
      </c>
      <c r="B20" s="1303" t="s">
        <v>267</v>
      </c>
      <c r="C20" s="1048">
        <v>0</v>
      </c>
      <c r="D20" s="1273">
        <v>0</v>
      </c>
      <c r="E20" s="1304">
        <f t="shared" si="0"/>
        <v>21659.773572999999</v>
      </c>
      <c r="F20" s="1304">
        <v>21659.773572999999</v>
      </c>
      <c r="G20" s="1304"/>
      <c r="H20" s="1304"/>
      <c r="I20" s="1273">
        <v>0</v>
      </c>
      <c r="J20" s="1306"/>
      <c r="K20" s="1304"/>
      <c r="L20" s="1273">
        <v>0</v>
      </c>
      <c r="M20" s="1306"/>
      <c r="N20" s="1304"/>
      <c r="O20" s="1273">
        <v>0</v>
      </c>
      <c r="P20" s="1273">
        <v>0</v>
      </c>
      <c r="Q20" s="1040"/>
      <c r="R20" s="103"/>
    </row>
    <row r="21" spans="1:20" ht="21.95" customHeight="1">
      <c r="A21" s="1302" t="s">
        <v>268</v>
      </c>
      <c r="B21" s="1303" t="s">
        <v>269</v>
      </c>
      <c r="C21" s="1048">
        <v>0</v>
      </c>
      <c r="D21" s="1273">
        <v>0</v>
      </c>
      <c r="E21" s="1304">
        <f>+F21+I21+L21</f>
        <v>833.39199999999994</v>
      </c>
      <c r="F21" s="1309">
        <v>239.852</v>
      </c>
      <c r="G21" s="1304"/>
      <c r="H21" s="1304"/>
      <c r="I21" s="1306">
        <v>593.54</v>
      </c>
      <c r="J21" s="1306"/>
      <c r="K21" s="1304"/>
      <c r="L21" s="1273">
        <v>0</v>
      </c>
      <c r="M21" s="1306"/>
      <c r="N21" s="1304"/>
      <c r="O21" s="1273">
        <v>0</v>
      </c>
      <c r="P21" s="1273">
        <v>0</v>
      </c>
      <c r="Q21" s="1040"/>
      <c r="R21" s="297"/>
    </row>
    <row r="22" spans="1:20" ht="21.95" customHeight="1">
      <c r="A22" s="1302" t="s">
        <v>270</v>
      </c>
      <c r="B22" s="1303" t="s">
        <v>271</v>
      </c>
      <c r="C22" s="1048">
        <v>0</v>
      </c>
      <c r="D22" s="1273">
        <v>0</v>
      </c>
      <c r="E22" s="1304">
        <f t="shared" si="0"/>
        <v>357.36599999999999</v>
      </c>
      <c r="F22" s="1304">
        <f>459.89-G22</f>
        <v>319.89</v>
      </c>
      <c r="G22" s="1304">
        <v>140</v>
      </c>
      <c r="H22" s="1304"/>
      <c r="I22" s="1305">
        <v>37.475999999999999</v>
      </c>
      <c r="J22" s="1306"/>
      <c r="K22" s="1304"/>
      <c r="L22" s="1273">
        <v>0</v>
      </c>
      <c r="M22" s="1306"/>
      <c r="N22" s="1304"/>
      <c r="O22" s="1273">
        <v>0</v>
      </c>
      <c r="P22" s="1273">
        <v>0</v>
      </c>
      <c r="Q22" s="1040"/>
      <c r="R22" s="103"/>
    </row>
    <row r="23" spans="1:20" ht="21.95" customHeight="1">
      <c r="A23" s="1302" t="s">
        <v>272</v>
      </c>
      <c r="B23" s="1303" t="s">
        <v>273</v>
      </c>
      <c r="C23" s="1048">
        <v>0</v>
      </c>
      <c r="D23" s="1273">
        <v>0</v>
      </c>
      <c r="E23" s="1304">
        <f t="shared" si="0"/>
        <v>1112998.1705</v>
      </c>
      <c r="F23" s="1304">
        <f>1392979.695074-G23</f>
        <v>825713.9312189999</v>
      </c>
      <c r="G23" s="1304">
        <f>442844.620482+124421.143373</f>
        <v>567265.76385500003</v>
      </c>
      <c r="H23" s="1304"/>
      <c r="I23" s="1306">
        <f>208938.321045-J23</f>
        <v>199853.69325299998</v>
      </c>
      <c r="J23" s="1306">
        <v>9084.6277919999993</v>
      </c>
      <c r="K23" s="1304"/>
      <c r="L23" s="1306">
        <f>179967.657197-M23</f>
        <v>87430.546027999997</v>
      </c>
      <c r="M23" s="1306">
        <v>92537.111168999996</v>
      </c>
      <c r="N23" s="1304"/>
      <c r="O23" s="1273">
        <v>0</v>
      </c>
      <c r="P23" s="1273">
        <v>0</v>
      </c>
      <c r="Q23" s="1040"/>
      <c r="R23" s="103"/>
    </row>
    <row r="24" spans="1:20" ht="21.95" customHeight="1">
      <c r="A24" s="1302" t="s">
        <v>274</v>
      </c>
      <c r="B24" s="1303" t="s">
        <v>275</v>
      </c>
      <c r="C24" s="1048">
        <v>0</v>
      </c>
      <c r="D24" s="1273">
        <v>0</v>
      </c>
      <c r="E24" s="1304">
        <f t="shared" si="0"/>
        <v>337132.88014999998</v>
      </c>
      <c r="F24" s="1304">
        <f>326102.309572-G24</f>
        <v>306008.59007199999</v>
      </c>
      <c r="G24" s="1304">
        <v>20093.719499999999</v>
      </c>
      <c r="H24" s="1304"/>
      <c r="I24" s="1306">
        <f>18927.628448-J24</f>
        <v>17227.628447999999</v>
      </c>
      <c r="J24" s="1306">
        <v>1700</v>
      </c>
      <c r="K24" s="1304"/>
      <c r="L24" s="1306">
        <f>16346.87843-M24</f>
        <v>13896.661630000001</v>
      </c>
      <c r="M24" s="1306">
        <v>2450.2168000000001</v>
      </c>
      <c r="N24" s="1304"/>
      <c r="O24" s="1273">
        <v>0</v>
      </c>
      <c r="P24" s="1273">
        <v>0</v>
      </c>
      <c r="Q24" s="1040"/>
      <c r="R24" s="103"/>
    </row>
    <row r="25" spans="1:20" ht="21.95" customHeight="1">
      <c r="A25" s="1302" t="s">
        <v>276</v>
      </c>
      <c r="B25" s="1303" t="s">
        <v>277</v>
      </c>
      <c r="C25" s="1048">
        <v>0</v>
      </c>
      <c r="D25" s="1273">
        <v>0</v>
      </c>
      <c r="E25" s="1304">
        <f t="shared" si="0"/>
        <v>88245.41399999999</v>
      </c>
      <c r="F25" s="1304">
        <f>23427.796-G25</f>
        <v>18513.217999999997</v>
      </c>
      <c r="G25" s="1304">
        <v>4914.5780000000004</v>
      </c>
      <c r="H25" s="1304"/>
      <c r="I25" s="1305">
        <v>1702.1959999999999</v>
      </c>
      <c r="J25" s="1273"/>
      <c r="K25" s="1273"/>
      <c r="L25" s="1305">
        <v>68030</v>
      </c>
      <c r="M25" s="1306"/>
      <c r="N25" s="1304"/>
      <c r="O25" s="1273">
        <v>0</v>
      </c>
      <c r="P25" s="1273">
        <v>0</v>
      </c>
      <c r="Q25" s="1040"/>
      <c r="R25" s="103"/>
    </row>
    <row r="26" spans="1:20" ht="21.95" customHeight="1">
      <c r="A26" s="1302" t="s">
        <v>278</v>
      </c>
      <c r="B26" s="1303" t="s">
        <v>279</v>
      </c>
      <c r="C26" s="1048">
        <v>0</v>
      </c>
      <c r="D26" s="1273">
        <v>0</v>
      </c>
      <c r="E26" s="1304">
        <f>F26+I26+L26</f>
        <v>143204.246151</v>
      </c>
      <c r="F26" s="1304">
        <v>143204.246151</v>
      </c>
      <c r="G26" s="1304"/>
      <c r="H26" s="1304"/>
      <c r="I26" s="1273">
        <v>0</v>
      </c>
      <c r="J26" s="1273"/>
      <c r="K26" s="1273"/>
      <c r="L26" s="1273">
        <v>0</v>
      </c>
      <c r="M26" s="1306"/>
      <c r="N26" s="1304"/>
      <c r="O26" s="1273">
        <v>0</v>
      </c>
      <c r="P26" s="1273">
        <v>0</v>
      </c>
      <c r="Q26" s="1040"/>
      <c r="R26" s="103"/>
      <c r="S26" s="103"/>
    </row>
    <row r="27" spans="1:20" ht="21.95" customHeight="1">
      <c r="A27" s="1267">
        <v>2</v>
      </c>
      <c r="B27" s="1279" t="s">
        <v>280</v>
      </c>
      <c r="C27" s="1048">
        <v>0</v>
      </c>
      <c r="D27" s="1273">
        <v>0</v>
      </c>
      <c r="E27" s="1275">
        <f>F27+I27+L27</f>
        <v>32774.400000000001</v>
      </c>
      <c r="F27" s="1271">
        <v>32774.400000000001</v>
      </c>
      <c r="G27" s="1271"/>
      <c r="H27" s="1271"/>
      <c r="I27" s="1273">
        <v>0</v>
      </c>
      <c r="J27" s="1273"/>
      <c r="K27" s="1273"/>
      <c r="L27" s="1273">
        <v>0</v>
      </c>
      <c r="M27" s="1275"/>
      <c r="N27" s="1271"/>
      <c r="O27" s="1273">
        <v>0</v>
      </c>
      <c r="P27" s="1273">
        <v>0</v>
      </c>
      <c r="Q27" s="1284"/>
      <c r="R27" s="103"/>
    </row>
    <row r="28" spans="1:20" ht="21.95" customHeight="1">
      <c r="A28" s="1267">
        <v>3</v>
      </c>
      <c r="B28" s="1279" t="s">
        <v>281</v>
      </c>
      <c r="C28" s="1048">
        <v>0</v>
      </c>
      <c r="D28" s="1273">
        <v>0</v>
      </c>
      <c r="E28" s="1273">
        <f>F28+I28+L28</f>
        <v>69357.533684000009</v>
      </c>
      <c r="F28" s="1270">
        <v>68634.278684000004</v>
      </c>
      <c r="G28" s="1271"/>
      <c r="H28" s="1271"/>
      <c r="I28" s="1273">
        <v>723.255</v>
      </c>
      <c r="J28" s="1273"/>
      <c r="K28" s="1273"/>
      <c r="L28" s="1273">
        <v>0</v>
      </c>
      <c r="M28" s="1275"/>
      <c r="N28" s="1271"/>
      <c r="O28" s="1273">
        <v>0</v>
      </c>
      <c r="P28" s="1273">
        <v>0</v>
      </c>
      <c r="Q28" s="1284"/>
      <c r="R28" s="103"/>
    </row>
    <row r="29" spans="1:20" ht="18" hidden="1" customHeight="1">
      <c r="A29" s="1297"/>
      <c r="B29" s="1310"/>
      <c r="C29" s="1311"/>
      <c r="D29" s="1312"/>
      <c r="E29" s="1313"/>
      <c r="F29" s="1314"/>
      <c r="G29" s="1314"/>
      <c r="H29" s="1314"/>
      <c r="I29" s="1313"/>
      <c r="J29" s="1313"/>
      <c r="K29" s="1314"/>
      <c r="L29" s="1313"/>
      <c r="M29" s="1313"/>
      <c r="N29" s="1314"/>
      <c r="O29" s="1313"/>
      <c r="P29" s="1313"/>
      <c r="Q29" s="1284"/>
      <c r="R29" s="103"/>
    </row>
    <row r="30" spans="1:20" ht="18" hidden="1" customHeight="1">
      <c r="A30" s="1267"/>
      <c r="B30" s="1279"/>
      <c r="C30" s="1048"/>
      <c r="D30" s="1274"/>
      <c r="E30" s="1271"/>
      <c r="F30" s="1271"/>
      <c r="G30" s="1271"/>
      <c r="H30" s="1271"/>
      <c r="I30" s="1275"/>
      <c r="J30" s="1275"/>
      <c r="K30" s="1271"/>
      <c r="L30" s="1275"/>
      <c r="M30" s="1275"/>
      <c r="N30" s="1271"/>
      <c r="O30" s="1275" t="e">
        <f t="shared" ref="O30:O77" si="1">E30/C30*100</f>
        <v>#DIV/0!</v>
      </c>
      <c r="P30" s="1275" t="e">
        <f t="shared" ref="P30:P77" si="2">E30/D30*100</f>
        <v>#DIV/0!</v>
      </c>
      <c r="Q30" s="1284"/>
      <c r="R30" s="103"/>
    </row>
    <row r="31" spans="1:20" ht="18" hidden="1" customHeight="1">
      <c r="A31" s="1267"/>
      <c r="B31" s="1279"/>
      <c r="C31" s="1048"/>
      <c r="D31" s="1274"/>
      <c r="E31" s="1271"/>
      <c r="F31" s="1271"/>
      <c r="G31" s="1271"/>
      <c r="H31" s="1271"/>
      <c r="I31" s="1275"/>
      <c r="J31" s="1275"/>
      <c r="K31" s="1271"/>
      <c r="L31" s="1275"/>
      <c r="M31" s="1275"/>
      <c r="N31" s="1271"/>
      <c r="O31" s="1275" t="e">
        <f t="shared" si="1"/>
        <v>#DIV/0!</v>
      </c>
      <c r="P31" s="1275" t="e">
        <f t="shared" si="2"/>
        <v>#DIV/0!</v>
      </c>
      <c r="Q31" s="1284"/>
      <c r="R31" s="103"/>
    </row>
    <row r="32" spans="1:20" ht="15" hidden="1" customHeight="1">
      <c r="A32" s="1302"/>
      <c r="B32" s="1315" t="s">
        <v>282</v>
      </c>
      <c r="C32" s="1048"/>
      <c r="D32" s="1316"/>
      <c r="E32" s="1317">
        <f>F32+I32+L32</f>
        <v>0</v>
      </c>
      <c r="F32" s="1318"/>
      <c r="G32" s="1318"/>
      <c r="H32" s="1318"/>
      <c r="I32" s="1317"/>
      <c r="J32" s="1317">
        <f>J34</f>
        <v>0</v>
      </c>
      <c r="K32" s="1318"/>
      <c r="L32" s="1317"/>
      <c r="M32" s="1317"/>
      <c r="N32" s="1318"/>
      <c r="O32" s="1275" t="e">
        <f t="shared" si="1"/>
        <v>#DIV/0!</v>
      </c>
      <c r="P32" s="1275" t="e">
        <f t="shared" si="2"/>
        <v>#DIV/0!</v>
      </c>
      <c r="Q32" s="1285"/>
      <c r="R32" s="103"/>
      <c r="T32" s="103"/>
    </row>
    <row r="33" spans="1:20" ht="15" hidden="1" customHeight="1">
      <c r="A33" s="1302"/>
      <c r="B33" s="1315" t="s">
        <v>283</v>
      </c>
      <c r="C33" s="1048"/>
      <c r="D33" s="1316"/>
      <c r="E33" s="1317">
        <f>F33+I33+L33</f>
        <v>0</v>
      </c>
      <c r="F33" s="1318"/>
      <c r="G33" s="1318"/>
      <c r="H33" s="1318"/>
      <c r="I33" s="1317"/>
      <c r="J33" s="1317"/>
      <c r="K33" s="1318"/>
      <c r="L33" s="1317"/>
      <c r="M33" s="1317"/>
      <c r="N33" s="1318"/>
      <c r="O33" s="1275" t="e">
        <f t="shared" si="1"/>
        <v>#DIV/0!</v>
      </c>
      <c r="P33" s="1275" t="e">
        <f t="shared" si="2"/>
        <v>#DIV/0!</v>
      </c>
      <c r="Q33" s="1285"/>
      <c r="R33" s="103"/>
      <c r="T33" s="103"/>
    </row>
    <row r="34" spans="1:20" s="117" customFormat="1" ht="15" hidden="1" customHeight="1">
      <c r="A34" s="1302">
        <v>1</v>
      </c>
      <c r="B34" s="1303" t="s">
        <v>284</v>
      </c>
      <c r="C34" s="1048"/>
      <c r="D34" s="1319"/>
      <c r="E34" s="1306">
        <f>F34+I34+L34</f>
        <v>0</v>
      </c>
      <c r="F34" s="1304"/>
      <c r="G34" s="1304"/>
      <c r="H34" s="1304"/>
      <c r="I34" s="1306"/>
      <c r="J34" s="1306"/>
      <c r="K34" s="1304"/>
      <c r="L34" s="1306"/>
      <c r="M34" s="1306"/>
      <c r="N34" s="1304"/>
      <c r="O34" s="1275" t="e">
        <f t="shared" si="1"/>
        <v>#DIV/0!</v>
      </c>
      <c r="P34" s="1275" t="e">
        <f t="shared" si="2"/>
        <v>#DIV/0!</v>
      </c>
      <c r="Q34" s="1040" t="e">
        <f>+E34/"#REF!*100"</f>
        <v>#VALUE!</v>
      </c>
      <c r="R34" s="290"/>
    </row>
    <row r="35" spans="1:20" s="293" customFormat="1" ht="15" hidden="1" customHeight="1">
      <c r="A35" s="1320"/>
      <c r="B35" s="1315" t="s">
        <v>285</v>
      </c>
      <c r="C35" s="1048"/>
      <c r="D35" s="1316"/>
      <c r="E35" s="1317">
        <f>F35+I35+L35</f>
        <v>0</v>
      </c>
      <c r="F35" s="1318"/>
      <c r="G35" s="1318"/>
      <c r="H35" s="1318"/>
      <c r="I35" s="1317"/>
      <c r="J35" s="1317"/>
      <c r="K35" s="1318"/>
      <c r="L35" s="1317"/>
      <c r="M35" s="1317"/>
      <c r="N35" s="1318"/>
      <c r="O35" s="1275" t="e">
        <f t="shared" si="1"/>
        <v>#DIV/0!</v>
      </c>
      <c r="P35" s="1275" t="e">
        <f t="shared" si="2"/>
        <v>#DIV/0!</v>
      </c>
      <c r="Q35" s="1285"/>
      <c r="R35" s="292"/>
      <c r="T35" s="294"/>
    </row>
    <row r="36" spans="1:20" s="293" customFormat="1" ht="15" hidden="1" customHeight="1">
      <c r="A36" s="1320">
        <v>2</v>
      </c>
      <c r="B36" s="1303" t="s">
        <v>286</v>
      </c>
      <c r="C36" s="1048"/>
      <c r="D36" s="1316"/>
      <c r="E36" s="1317">
        <f>+F36</f>
        <v>0</v>
      </c>
      <c r="F36" s="1318"/>
      <c r="G36" s="1318"/>
      <c r="H36" s="1318"/>
      <c r="I36" s="1317"/>
      <c r="J36" s="1317"/>
      <c r="K36" s="1318"/>
      <c r="L36" s="1317"/>
      <c r="M36" s="1317"/>
      <c r="N36" s="1318"/>
      <c r="O36" s="1275" t="e">
        <f t="shared" si="1"/>
        <v>#DIV/0!</v>
      </c>
      <c r="P36" s="1275" t="e">
        <f t="shared" si="2"/>
        <v>#DIV/0!</v>
      </c>
      <c r="Q36" s="1285"/>
      <c r="R36" s="292"/>
      <c r="T36" s="294"/>
    </row>
    <row r="37" spans="1:20" ht="15" hidden="1" customHeight="1">
      <c r="A37" s="1302">
        <v>3</v>
      </c>
      <c r="B37" s="1303" t="s">
        <v>287</v>
      </c>
      <c r="C37" s="1048"/>
      <c r="D37" s="1321"/>
      <c r="E37" s="1306">
        <f>+F37+I37+L37</f>
        <v>0</v>
      </c>
      <c r="F37" s="1304"/>
      <c r="G37" s="1304"/>
      <c r="H37" s="1304"/>
      <c r="I37" s="1306"/>
      <c r="J37" s="1306"/>
      <c r="K37" s="1304"/>
      <c r="L37" s="1306"/>
      <c r="M37" s="1306"/>
      <c r="N37" s="1304"/>
      <c r="O37" s="1275" t="e">
        <f t="shared" si="1"/>
        <v>#DIV/0!</v>
      </c>
      <c r="P37" s="1275" t="e">
        <f t="shared" si="2"/>
        <v>#DIV/0!</v>
      </c>
      <c r="Q37" s="1040"/>
      <c r="T37" s="103"/>
    </row>
    <row r="38" spans="1:20" ht="21.95" customHeight="1">
      <c r="A38" s="1267" t="s">
        <v>109</v>
      </c>
      <c r="B38" s="1279" t="s">
        <v>66</v>
      </c>
      <c r="C38" s="1048">
        <f>5409477</f>
        <v>5409477</v>
      </c>
      <c r="D38" s="1322">
        <f>+D39+D40+D42+D43+D44+D45+D46+D47+D48+D49+D50+D51+D52-1</f>
        <v>5676262</v>
      </c>
      <c r="E38" s="1275">
        <f>+F38+I38+L38</f>
        <v>6240733.7518939991</v>
      </c>
      <c r="F38" s="1271">
        <f t="shared" ref="F38:M38" si="3">+F39+F40+F42+F43+F44+F45+F46+F47+F48+F49+F50+F51+F52</f>
        <v>2093360.596355</v>
      </c>
      <c r="G38" s="1271">
        <f t="shared" si="3"/>
        <v>0</v>
      </c>
      <c r="H38" s="1271">
        <f t="shared" si="3"/>
        <v>50721.842969999998</v>
      </c>
      <c r="I38" s="1271">
        <f t="shared" si="3"/>
        <v>3299246.9307769993</v>
      </c>
      <c r="J38" s="1271">
        <f t="shared" si="3"/>
        <v>0</v>
      </c>
      <c r="K38" s="1271">
        <f t="shared" si="3"/>
        <v>61956.748729999992</v>
      </c>
      <c r="L38" s="1271">
        <f t="shared" si="3"/>
        <v>848126.22476199991</v>
      </c>
      <c r="M38" s="1271">
        <f t="shared" si="3"/>
        <v>0</v>
      </c>
      <c r="N38" s="1271">
        <f>+N39+N40+N42+N43+N44+N45+N46+N47+N48+N49+N50+N51+N52</f>
        <v>20865.08339</v>
      </c>
      <c r="O38" s="1275">
        <f t="shared" si="1"/>
        <v>115.3666750388993</v>
      </c>
      <c r="P38" s="1275">
        <f t="shared" si="2"/>
        <v>109.94442736952593</v>
      </c>
      <c r="Q38" s="1040" t="e">
        <f>+E38/"#REF!*100"</f>
        <v>#VALUE!</v>
      </c>
      <c r="R38" s="103"/>
      <c r="T38" s="103"/>
    </row>
    <row r="39" spans="1:20" ht="17.25" hidden="1" customHeight="1">
      <c r="A39" s="1302">
        <v>1</v>
      </c>
      <c r="B39" s="1303" t="s">
        <v>255</v>
      </c>
      <c r="C39" s="1048">
        <v>0</v>
      </c>
      <c r="D39" s="1323">
        <v>118253</v>
      </c>
      <c r="E39" s="1306">
        <f>F39+I39+L39</f>
        <v>161167.61423400001</v>
      </c>
      <c r="F39" s="1304">
        <f>53784.131-H39</f>
        <v>49934.131000000001</v>
      </c>
      <c r="G39" s="1304"/>
      <c r="H39" s="1304">
        <v>3850</v>
      </c>
      <c r="I39" s="1304">
        <v>52944.2713</v>
      </c>
      <c r="J39" s="1306"/>
      <c r="K39" s="1304"/>
      <c r="L39" s="1304">
        <v>58289.211933999999</v>
      </c>
      <c r="M39" s="1306"/>
      <c r="N39" s="1304"/>
      <c r="O39" s="1273">
        <v>0</v>
      </c>
      <c r="P39" s="1306">
        <f t="shared" si="2"/>
        <v>136.29050783827893</v>
      </c>
      <c r="Q39" s="1040"/>
      <c r="R39" s="134"/>
      <c r="T39" s="103"/>
    </row>
    <row r="40" spans="1:20" ht="17.25" hidden="1" customHeight="1">
      <c r="A40" s="1302">
        <v>2</v>
      </c>
      <c r="B40" s="1303" t="s">
        <v>257</v>
      </c>
      <c r="C40" s="1048">
        <v>0</v>
      </c>
      <c r="D40" s="1323">
        <v>36701</v>
      </c>
      <c r="E40" s="1306">
        <f>F40+I40+L40</f>
        <v>46520.654710000003</v>
      </c>
      <c r="F40" s="1304">
        <f>26569-H40</f>
        <v>13816</v>
      </c>
      <c r="G40" s="1304"/>
      <c r="H40" s="1324">
        <f>3600+9153</f>
        <v>12753</v>
      </c>
      <c r="I40" s="1304">
        <f>21476.2549-K40</f>
        <v>12534.2549</v>
      </c>
      <c r="J40" s="1306"/>
      <c r="K40" s="1324">
        <v>8942</v>
      </c>
      <c r="L40" s="1304">
        <v>20170.399809999999</v>
      </c>
      <c r="M40" s="1306"/>
      <c r="N40" s="1304"/>
      <c r="O40" s="1273">
        <v>0</v>
      </c>
      <c r="P40" s="1306">
        <f t="shared" si="2"/>
        <v>126.7558233018174</v>
      </c>
      <c r="Q40" s="1040"/>
      <c r="R40" s="134"/>
      <c r="T40" s="103"/>
    </row>
    <row r="41" spans="1:20" ht="21.95" customHeight="1">
      <c r="A41" s="1302"/>
      <c r="B41" s="1315" t="s">
        <v>78</v>
      </c>
      <c r="C41" s="1048"/>
      <c r="D41" s="1323"/>
      <c r="E41" s="1306"/>
      <c r="F41" s="1304"/>
      <c r="G41" s="1304"/>
      <c r="H41" s="1324"/>
      <c r="I41" s="1304"/>
      <c r="J41" s="1306"/>
      <c r="K41" s="1324"/>
      <c r="L41" s="1304"/>
      <c r="M41" s="1306"/>
      <c r="N41" s="1304"/>
      <c r="O41" s="1273"/>
      <c r="P41" s="1306"/>
      <c r="Q41" s="1040"/>
      <c r="R41" s="134"/>
      <c r="T41" s="103"/>
    </row>
    <row r="42" spans="1:20" s="545" customFormat="1" ht="21.95" customHeight="1">
      <c r="A42" s="1337">
        <v>1</v>
      </c>
      <c r="B42" s="1338" t="s">
        <v>259</v>
      </c>
      <c r="C42" s="1339">
        <v>1989752</v>
      </c>
      <c r="D42" s="1340">
        <v>2211146</v>
      </c>
      <c r="E42" s="1341">
        <f t="shared" ref="E42:E52" si="4">F42+I42+L42</f>
        <v>2308106.7387399999</v>
      </c>
      <c r="F42" s="1342">
        <f>390261.912639-H42+14950.371</f>
        <v>397848.69363899995</v>
      </c>
      <c r="G42" s="1343"/>
      <c r="H42" s="1343">
        <v>7363.59</v>
      </c>
      <c r="I42" s="1343">
        <f>1906544.311852-K42</f>
        <v>1903099.4904719999</v>
      </c>
      <c r="J42" s="1341"/>
      <c r="K42" s="1343">
        <v>3444.8213799999999</v>
      </c>
      <c r="L42" s="1343">
        <v>7158.5546290000002</v>
      </c>
      <c r="M42" s="1341"/>
      <c r="N42" s="1343"/>
      <c r="O42" s="1341">
        <f t="shared" si="1"/>
        <v>115.99971949971655</v>
      </c>
      <c r="P42" s="1341">
        <f t="shared" si="2"/>
        <v>104.38508984662252</v>
      </c>
      <c r="Q42" s="1286"/>
      <c r="T42" s="546"/>
    </row>
    <row r="43" spans="1:20" s="545" customFormat="1" ht="21.95" customHeight="1">
      <c r="A43" s="1337">
        <v>2</v>
      </c>
      <c r="B43" s="1338" t="s">
        <v>261</v>
      </c>
      <c r="C43" s="1339">
        <v>24374</v>
      </c>
      <c r="D43" s="1340">
        <v>24734</v>
      </c>
      <c r="E43" s="1341">
        <f t="shared" si="4"/>
        <v>26009.921506999999</v>
      </c>
      <c r="F43" s="1343">
        <v>20562.415843999999</v>
      </c>
      <c r="G43" s="1343"/>
      <c r="H43" s="1343"/>
      <c r="I43" s="1343">
        <v>5447.5056629999999</v>
      </c>
      <c r="J43" s="1341"/>
      <c r="K43" s="1343"/>
      <c r="L43" s="1343">
        <v>0</v>
      </c>
      <c r="M43" s="1341"/>
      <c r="N43" s="1343"/>
      <c r="O43" s="1341">
        <f t="shared" si="1"/>
        <v>106.7117482030032</v>
      </c>
      <c r="P43" s="1341">
        <f t="shared" si="2"/>
        <v>105.15857324735182</v>
      </c>
      <c r="Q43" s="1286"/>
      <c r="R43" s="550"/>
      <c r="T43" s="546"/>
    </row>
    <row r="44" spans="1:20" ht="17.25" hidden="1" customHeight="1">
      <c r="A44" s="1302">
        <v>5</v>
      </c>
      <c r="B44" s="1303" t="s">
        <v>263</v>
      </c>
      <c r="C44" s="1048">
        <v>0</v>
      </c>
      <c r="D44" s="1323">
        <v>621908</v>
      </c>
      <c r="E44" s="1306">
        <f>F44+I44+L44</f>
        <v>662784.48974600004</v>
      </c>
      <c r="F44" s="1304">
        <f>467840.685991-H44</f>
        <v>461000.176515</v>
      </c>
      <c r="G44" s="1304"/>
      <c r="H44" s="1304">
        <v>6840.5094760000002</v>
      </c>
      <c r="I44" s="1304">
        <f>208724.727101-K44</f>
        <v>201428.95923099999</v>
      </c>
      <c r="J44" s="1306"/>
      <c r="K44" s="1304">
        <v>7295.7678699999997</v>
      </c>
      <c r="L44" s="1304">
        <v>355.35399999999998</v>
      </c>
      <c r="M44" s="1306"/>
      <c r="N44" s="1304"/>
      <c r="O44" s="1273">
        <v>0</v>
      </c>
      <c r="P44" s="1306">
        <f t="shared" si="2"/>
        <v>106.57275509335787</v>
      </c>
      <c r="Q44" s="1040"/>
      <c r="T44" s="103"/>
    </row>
    <row r="45" spans="1:20" ht="17.25" hidden="1" customHeight="1">
      <c r="A45" s="1302">
        <v>6</v>
      </c>
      <c r="B45" s="1303" t="s">
        <v>265</v>
      </c>
      <c r="C45" s="1048">
        <v>0</v>
      </c>
      <c r="D45" s="1323">
        <v>50008</v>
      </c>
      <c r="E45" s="1306">
        <f t="shared" si="4"/>
        <v>56482.379126</v>
      </c>
      <c r="F45" s="1304">
        <f>36982.112458-H45</f>
        <v>33081.384358000003</v>
      </c>
      <c r="G45" s="1304"/>
      <c r="H45" s="1324">
        <f>3230.7281+560+110</f>
        <v>3900.7280999999998</v>
      </c>
      <c r="I45" s="1304">
        <v>15276.693449</v>
      </c>
      <c r="J45" s="1306"/>
      <c r="K45" s="1304"/>
      <c r="L45" s="1304">
        <v>8124.3013190000001</v>
      </c>
      <c r="M45" s="1306"/>
      <c r="N45" s="1304"/>
      <c r="O45" s="1273">
        <v>0</v>
      </c>
      <c r="P45" s="1306">
        <f t="shared" si="2"/>
        <v>112.94668678211485</v>
      </c>
      <c r="Q45" s="1040"/>
      <c r="T45" s="103"/>
    </row>
    <row r="46" spans="1:20" ht="17.25" hidden="1" customHeight="1">
      <c r="A46" s="1302">
        <v>7</v>
      </c>
      <c r="B46" s="1303" t="s">
        <v>267</v>
      </c>
      <c r="C46" s="1048">
        <v>0</v>
      </c>
      <c r="D46" s="1323">
        <v>21684</v>
      </c>
      <c r="E46" s="1306">
        <f t="shared" si="4"/>
        <v>21577.128782</v>
      </c>
      <c r="F46" s="1304">
        <f>9079.918921-H46</f>
        <v>8782.2734450000007</v>
      </c>
      <c r="G46" s="1304"/>
      <c r="H46" s="1304">
        <v>297.64547599999997</v>
      </c>
      <c r="I46" s="1304">
        <v>10946.435269</v>
      </c>
      <c r="J46" s="1306"/>
      <c r="K46" s="1304"/>
      <c r="L46" s="1304">
        <v>1848.4200679999999</v>
      </c>
      <c r="M46" s="1306"/>
      <c r="N46" s="1304"/>
      <c r="O46" s="1273">
        <v>0</v>
      </c>
      <c r="P46" s="1306">
        <f t="shared" si="2"/>
        <v>99.507142510606897</v>
      </c>
      <c r="Q46" s="1040"/>
      <c r="T46" s="103"/>
    </row>
    <row r="47" spans="1:20" ht="17.25" hidden="1" customHeight="1">
      <c r="A47" s="1302">
        <v>8</v>
      </c>
      <c r="B47" s="1303" t="s">
        <v>269</v>
      </c>
      <c r="C47" s="1048">
        <v>0</v>
      </c>
      <c r="D47" s="1323">
        <v>27184</v>
      </c>
      <c r="E47" s="1306">
        <f t="shared" si="4"/>
        <v>26218.646970999998</v>
      </c>
      <c r="F47" s="1304">
        <f>15925.384912-H47</f>
        <v>15675.384912</v>
      </c>
      <c r="G47" s="1304"/>
      <c r="H47" s="1304">
        <v>250</v>
      </c>
      <c r="I47" s="1304">
        <v>8491.1910590000007</v>
      </c>
      <c r="J47" s="1306"/>
      <c r="K47" s="1304"/>
      <c r="L47" s="1304">
        <v>2052.0709999999999</v>
      </c>
      <c r="M47" s="1306"/>
      <c r="N47" s="1304"/>
      <c r="O47" s="1273">
        <v>0</v>
      </c>
      <c r="P47" s="1306">
        <f t="shared" si="2"/>
        <v>96.44881905164803</v>
      </c>
      <c r="Q47" s="1040"/>
      <c r="T47" s="103"/>
    </row>
    <row r="48" spans="1:20" ht="17.25" hidden="1" customHeight="1">
      <c r="A48" s="1302">
        <v>9</v>
      </c>
      <c r="B48" s="1303" t="s">
        <v>271</v>
      </c>
      <c r="C48" s="1325">
        <v>66148</v>
      </c>
      <c r="D48" s="1323">
        <v>89277</v>
      </c>
      <c r="E48" s="1306">
        <f t="shared" si="4"/>
        <v>90212.974799000018</v>
      </c>
      <c r="F48" s="1304">
        <v>45648.319447000002</v>
      </c>
      <c r="G48" s="1304"/>
      <c r="H48" s="1304"/>
      <c r="I48" s="1304">
        <v>35848.912273000002</v>
      </c>
      <c r="J48" s="1306"/>
      <c r="K48" s="1304"/>
      <c r="L48" s="1304">
        <v>8715.7430789999999</v>
      </c>
      <c r="M48" s="1306"/>
      <c r="N48" s="1304"/>
      <c r="O48" s="1306">
        <f t="shared" si="1"/>
        <v>136.38050250801237</v>
      </c>
      <c r="P48" s="1306">
        <f t="shared" si="2"/>
        <v>101.04839409814399</v>
      </c>
      <c r="Q48" s="1040"/>
      <c r="T48" s="103"/>
    </row>
    <row r="49" spans="1:20" ht="17.25" hidden="1" customHeight="1">
      <c r="A49" s="1302">
        <v>10</v>
      </c>
      <c r="B49" s="1303" t="s">
        <v>273</v>
      </c>
      <c r="C49" s="1048">
        <v>0</v>
      </c>
      <c r="D49" s="1323">
        <v>987914</v>
      </c>
      <c r="E49" s="1306">
        <f t="shared" si="4"/>
        <v>1065461.767484</v>
      </c>
      <c r="F49" s="1304">
        <f>558837.754607-H49</f>
        <v>547300.07713900006</v>
      </c>
      <c r="G49" s="1304"/>
      <c r="H49" s="1304">
        <v>11537.677468</v>
      </c>
      <c r="I49" s="1304">
        <f>404030.089274-K49</f>
        <v>400547.89427400002</v>
      </c>
      <c r="J49" s="1306"/>
      <c r="K49" s="1304">
        <v>3482.1950000000002</v>
      </c>
      <c r="L49" s="1304">
        <f>128797.117771-N49</f>
        <v>117613.796071</v>
      </c>
      <c r="M49" s="1306"/>
      <c r="N49" s="1304">
        <v>11183.3217</v>
      </c>
      <c r="O49" s="1273">
        <v>0</v>
      </c>
      <c r="P49" s="1306">
        <f t="shared" si="2"/>
        <v>107.84964758916263</v>
      </c>
      <c r="Q49" s="1040"/>
      <c r="R49" s="116"/>
      <c r="T49" s="103"/>
    </row>
    <row r="50" spans="1:20" ht="29.25" hidden="1" customHeight="1">
      <c r="A50" s="1302">
        <v>11</v>
      </c>
      <c r="B50" s="1303" t="s">
        <v>495</v>
      </c>
      <c r="C50" s="1048">
        <v>0</v>
      </c>
      <c r="D50" s="1323">
        <v>1176865</v>
      </c>
      <c r="E50" s="1306">
        <f t="shared" si="4"/>
        <v>1280073.5074629998</v>
      </c>
      <c r="F50" s="1304">
        <f>341255.44615-H50</f>
        <v>337937.56469999999</v>
      </c>
      <c r="G50" s="1304"/>
      <c r="H50" s="1304">
        <v>3317.8814499999999</v>
      </c>
      <c r="I50" s="1304">
        <f>379436.689603-K50</f>
        <v>378137.72512299998</v>
      </c>
      <c r="J50" s="1306"/>
      <c r="K50" s="1304">
        <v>1298.9644800000001</v>
      </c>
      <c r="L50" s="1304">
        <f>571227.67933-N50</f>
        <v>563998.21763999993</v>
      </c>
      <c r="M50" s="1306"/>
      <c r="N50" s="1304">
        <v>7229.4616900000001</v>
      </c>
      <c r="O50" s="1273">
        <v>0</v>
      </c>
      <c r="P50" s="1306">
        <f t="shared" si="2"/>
        <v>108.76978306458258</v>
      </c>
      <c r="Q50" s="1040"/>
      <c r="R50" s="116"/>
      <c r="T50" s="103"/>
    </row>
    <row r="51" spans="1:20" ht="17.25" hidden="1" customHeight="1">
      <c r="A51" s="1302">
        <v>12</v>
      </c>
      <c r="B51" s="1303" t="s">
        <v>277</v>
      </c>
      <c r="C51" s="1048">
        <v>0</v>
      </c>
      <c r="D51" s="1323">
        <v>253368</v>
      </c>
      <c r="E51" s="1306">
        <f t="shared" si="4"/>
        <v>408028.24348099995</v>
      </c>
      <c r="F51" s="1304">
        <f>111091.244776-H51</f>
        <v>110480.43377600001</v>
      </c>
      <c r="G51" s="1304"/>
      <c r="H51" s="1304">
        <v>610.81100000000004</v>
      </c>
      <c r="I51" s="1304">
        <f>279403.056498-K51</f>
        <v>241910.05649799999</v>
      </c>
      <c r="J51" s="1306"/>
      <c r="K51" s="1324">
        <v>37493</v>
      </c>
      <c r="L51" s="1304">
        <f>58090.053207-N51</f>
        <v>55637.753206999994</v>
      </c>
      <c r="M51" s="1306"/>
      <c r="N51" s="1324">
        <f>981.3+1471</f>
        <v>2452.3000000000002</v>
      </c>
      <c r="O51" s="1273">
        <v>0</v>
      </c>
      <c r="P51" s="1306">
        <f t="shared" si="2"/>
        <v>161.04174303029583</v>
      </c>
      <c r="Q51" s="1040"/>
      <c r="R51" s="205"/>
      <c r="T51" s="103"/>
    </row>
    <row r="52" spans="1:20" ht="17.25" hidden="1" customHeight="1">
      <c r="A52" s="1302">
        <v>13</v>
      </c>
      <c r="B52" s="1303" t="s">
        <v>288</v>
      </c>
      <c r="C52" s="1048">
        <v>0</v>
      </c>
      <c r="D52" s="1323">
        <v>57221</v>
      </c>
      <c r="E52" s="1306">
        <f t="shared" si="4"/>
        <v>88089.684850999998</v>
      </c>
      <c r="F52" s="1304">
        <f>50888.279525+405.462055</f>
        <v>51293.741580000002</v>
      </c>
      <c r="G52" s="1304"/>
      <c r="H52" s="1304"/>
      <c r="I52" s="1304">
        <v>32633.541266</v>
      </c>
      <c r="J52" s="1306"/>
      <c r="K52" s="1304"/>
      <c r="L52" s="1304">
        <v>4162.4020049999999</v>
      </c>
      <c r="M52" s="1306"/>
      <c r="N52" s="1304"/>
      <c r="O52" s="1273">
        <v>0</v>
      </c>
      <c r="P52" s="1306">
        <f t="shared" si="2"/>
        <v>153.94642675066845</v>
      </c>
      <c r="Q52" s="1040"/>
      <c r="T52" s="103"/>
    </row>
    <row r="53" spans="1:20" ht="17.25" hidden="1" customHeight="1">
      <c r="A53" s="1267"/>
      <c r="B53" s="1279"/>
      <c r="C53" s="1046"/>
      <c r="D53" s="1322"/>
      <c r="E53" s="1275"/>
      <c r="F53" s="1271"/>
      <c r="G53" s="1271"/>
      <c r="H53" s="1271"/>
      <c r="I53" s="1271"/>
      <c r="J53" s="1275"/>
      <c r="K53" s="1271"/>
      <c r="L53" s="1271"/>
      <c r="M53" s="1275"/>
      <c r="N53" s="1271"/>
      <c r="O53" s="1275" t="e">
        <f t="shared" si="1"/>
        <v>#DIV/0!</v>
      </c>
      <c r="P53" s="1275" t="e">
        <f t="shared" si="2"/>
        <v>#DIV/0!</v>
      </c>
      <c r="Q53" s="1040"/>
      <c r="T53" s="103"/>
    </row>
    <row r="54" spans="1:20" ht="17.25" hidden="1" customHeight="1">
      <c r="A54" s="1267"/>
      <c r="B54" s="1279"/>
      <c r="C54" s="1046"/>
      <c r="D54" s="1322"/>
      <c r="E54" s="1275"/>
      <c r="F54" s="1271"/>
      <c r="G54" s="1271"/>
      <c r="H54" s="1271"/>
      <c r="I54" s="1271"/>
      <c r="J54" s="1275"/>
      <c r="K54" s="1271"/>
      <c r="L54" s="1271"/>
      <c r="M54" s="1275"/>
      <c r="N54" s="1271"/>
      <c r="O54" s="1275" t="e">
        <f t="shared" si="1"/>
        <v>#DIV/0!</v>
      </c>
      <c r="P54" s="1275" t="e">
        <f t="shared" si="2"/>
        <v>#DIV/0!</v>
      </c>
      <c r="Q54" s="1040"/>
      <c r="T54" s="103"/>
    </row>
    <row r="55" spans="1:20" ht="18.75" hidden="1" customHeight="1">
      <c r="A55" s="1302">
        <v>1</v>
      </c>
      <c r="B55" s="1303" t="s">
        <v>289</v>
      </c>
      <c r="C55" s="1325"/>
      <c r="D55" s="1319"/>
      <c r="E55" s="1306">
        <f>F55+I55+L55</f>
        <v>0</v>
      </c>
      <c r="F55" s="1304"/>
      <c r="G55" s="1304"/>
      <c r="H55" s="1304"/>
      <c r="I55" s="1306"/>
      <c r="J55" s="1306"/>
      <c r="K55" s="1304"/>
      <c r="L55" s="1306"/>
      <c r="M55" s="1306"/>
      <c r="N55" s="1304"/>
      <c r="O55" s="1275" t="e">
        <f t="shared" si="1"/>
        <v>#DIV/0!</v>
      </c>
      <c r="P55" s="1275" t="e">
        <f t="shared" si="2"/>
        <v>#DIV/0!</v>
      </c>
      <c r="Q55" s="1040"/>
      <c r="T55" s="103"/>
    </row>
    <row r="56" spans="1:20" ht="15.75" hidden="1" customHeight="1">
      <c r="A56" s="1302">
        <v>2</v>
      </c>
      <c r="B56" s="1303" t="s">
        <v>290</v>
      </c>
      <c r="C56" s="1325"/>
      <c r="D56" s="1319"/>
      <c r="E56" s="1306">
        <f>SUM(E57:E59)</f>
        <v>0</v>
      </c>
      <c r="F56" s="1304">
        <f t="shared" ref="F56:N56" si="5">+F57+F58+F59</f>
        <v>0</v>
      </c>
      <c r="G56" s="1304">
        <f t="shared" si="5"/>
        <v>0</v>
      </c>
      <c r="H56" s="1304">
        <f t="shared" si="5"/>
        <v>0</v>
      </c>
      <c r="I56" s="1306">
        <f t="shared" si="5"/>
        <v>0</v>
      </c>
      <c r="J56" s="1306">
        <f t="shared" si="5"/>
        <v>0</v>
      </c>
      <c r="K56" s="1304">
        <f t="shared" si="5"/>
        <v>0</v>
      </c>
      <c r="L56" s="1306">
        <f t="shared" si="5"/>
        <v>0</v>
      </c>
      <c r="M56" s="1306">
        <f t="shared" si="5"/>
        <v>0</v>
      </c>
      <c r="N56" s="1304">
        <f t="shared" si="5"/>
        <v>0</v>
      </c>
      <c r="O56" s="1275" t="e">
        <f t="shared" si="1"/>
        <v>#DIV/0!</v>
      </c>
      <c r="P56" s="1275" t="e">
        <f t="shared" si="2"/>
        <v>#DIV/0!</v>
      </c>
      <c r="Q56" s="1040"/>
      <c r="T56" s="297"/>
    </row>
    <row r="57" spans="1:20" ht="15.75" hidden="1" customHeight="1">
      <c r="A57" s="1320" t="s">
        <v>291</v>
      </c>
      <c r="B57" s="1315" t="s">
        <v>292</v>
      </c>
      <c r="C57" s="1326"/>
      <c r="D57" s="1316"/>
      <c r="E57" s="1317">
        <f t="shared" ref="E57:E70" si="6">F57+I57+L57</f>
        <v>0</v>
      </c>
      <c r="F57" s="1318"/>
      <c r="G57" s="1318"/>
      <c r="H57" s="1318"/>
      <c r="I57" s="1317"/>
      <c r="J57" s="1317"/>
      <c r="K57" s="1318"/>
      <c r="L57" s="1317"/>
      <c r="M57" s="1317"/>
      <c r="N57" s="1318"/>
      <c r="O57" s="1275" t="e">
        <f t="shared" si="1"/>
        <v>#DIV/0!</v>
      </c>
      <c r="P57" s="1275" t="e">
        <f t="shared" si="2"/>
        <v>#DIV/0!</v>
      </c>
      <c r="Q57" s="1040"/>
      <c r="R57" s="103"/>
    </row>
    <row r="58" spans="1:20" ht="15.75" hidden="1" customHeight="1">
      <c r="A58" s="1320" t="s">
        <v>293</v>
      </c>
      <c r="B58" s="1315" t="s">
        <v>294</v>
      </c>
      <c r="C58" s="1326"/>
      <c r="D58" s="1316"/>
      <c r="E58" s="1317">
        <f t="shared" si="6"/>
        <v>0</v>
      </c>
      <c r="F58" s="1318"/>
      <c r="G58" s="1318"/>
      <c r="H58" s="1318"/>
      <c r="I58" s="1317"/>
      <c r="J58" s="1317"/>
      <c r="K58" s="1318"/>
      <c r="L58" s="1317"/>
      <c r="M58" s="1317"/>
      <c r="N58" s="1318"/>
      <c r="O58" s="1275" t="e">
        <f t="shared" si="1"/>
        <v>#DIV/0!</v>
      </c>
      <c r="P58" s="1275" t="e">
        <f t="shared" si="2"/>
        <v>#DIV/0!</v>
      </c>
      <c r="Q58" s="1040"/>
    </row>
    <row r="59" spans="1:20" ht="15.75" hidden="1" customHeight="1">
      <c r="A59" s="1320" t="s">
        <v>295</v>
      </c>
      <c r="B59" s="1315" t="s">
        <v>296</v>
      </c>
      <c r="C59" s="1326"/>
      <c r="D59" s="1316"/>
      <c r="E59" s="1317">
        <f t="shared" si="6"/>
        <v>0</v>
      </c>
      <c r="F59" s="1318"/>
      <c r="G59" s="1318"/>
      <c r="H59" s="1318"/>
      <c r="I59" s="1317"/>
      <c r="J59" s="1327"/>
      <c r="K59" s="1318"/>
      <c r="L59" s="1317"/>
      <c r="M59" s="1317"/>
      <c r="N59" s="1318"/>
      <c r="O59" s="1275" t="e">
        <f t="shared" si="1"/>
        <v>#DIV/0!</v>
      </c>
      <c r="P59" s="1275" t="e">
        <f t="shared" si="2"/>
        <v>#DIV/0!</v>
      </c>
      <c r="Q59" s="1040"/>
    </row>
    <row r="60" spans="1:20" ht="15.75" hidden="1" customHeight="1">
      <c r="A60" s="1302">
        <v>3</v>
      </c>
      <c r="B60" s="1303" t="s">
        <v>297</v>
      </c>
      <c r="C60" s="1325"/>
      <c r="D60" s="1319"/>
      <c r="E60" s="1304">
        <f t="shared" si="6"/>
        <v>0</v>
      </c>
      <c r="F60" s="1304">
        <f>+F61+F62+F63</f>
        <v>0</v>
      </c>
      <c r="G60" s="1304">
        <f>+G61+G62+G63</f>
        <v>0</v>
      </c>
      <c r="H60" s="1304">
        <f>+H61</f>
        <v>0</v>
      </c>
      <c r="I60" s="1306">
        <f>+I61+I62+I63</f>
        <v>0</v>
      </c>
      <c r="J60" s="1306">
        <f>+J61</f>
        <v>0</v>
      </c>
      <c r="K60" s="1304">
        <f>+K61</f>
        <v>0</v>
      </c>
      <c r="L60" s="1306">
        <f>+L61+L62+L63</f>
        <v>0</v>
      </c>
      <c r="M60" s="1306">
        <f>+M61+M62+M63</f>
        <v>0</v>
      </c>
      <c r="N60" s="1304"/>
      <c r="O60" s="1275" t="e">
        <f t="shared" si="1"/>
        <v>#DIV/0!</v>
      </c>
      <c r="P60" s="1275" t="e">
        <f t="shared" si="2"/>
        <v>#DIV/0!</v>
      </c>
      <c r="Q60" s="1040"/>
    </row>
    <row r="61" spans="1:20" ht="15.75" hidden="1" customHeight="1">
      <c r="A61" s="1320" t="s">
        <v>298</v>
      </c>
      <c r="B61" s="1315" t="s">
        <v>299</v>
      </c>
      <c r="C61" s="1326"/>
      <c r="D61" s="1316"/>
      <c r="E61" s="1317">
        <f t="shared" si="6"/>
        <v>0</v>
      </c>
      <c r="F61" s="1318"/>
      <c r="G61" s="1318"/>
      <c r="H61" s="1318"/>
      <c r="I61" s="1317"/>
      <c r="J61" s="1317"/>
      <c r="K61" s="1318"/>
      <c r="L61" s="1317"/>
      <c r="M61" s="1317"/>
      <c r="N61" s="1318"/>
      <c r="O61" s="1275" t="e">
        <f t="shared" si="1"/>
        <v>#DIV/0!</v>
      </c>
      <c r="P61" s="1275" t="e">
        <f t="shared" si="2"/>
        <v>#DIV/0!</v>
      </c>
      <c r="Q61" s="1040"/>
    </row>
    <row r="62" spans="1:20" ht="15.75" hidden="1" customHeight="1">
      <c r="A62" s="1320" t="s">
        <v>300</v>
      </c>
      <c r="B62" s="1315" t="s">
        <v>301</v>
      </c>
      <c r="C62" s="1326"/>
      <c r="D62" s="1316"/>
      <c r="E62" s="1317">
        <f t="shared" si="6"/>
        <v>0</v>
      </c>
      <c r="F62" s="1318"/>
      <c r="G62" s="1318"/>
      <c r="H62" s="1318"/>
      <c r="I62" s="1317"/>
      <c r="J62" s="1317"/>
      <c r="K62" s="1318"/>
      <c r="L62" s="1317"/>
      <c r="M62" s="1317"/>
      <c r="N62" s="1318"/>
      <c r="O62" s="1275" t="e">
        <f t="shared" si="1"/>
        <v>#DIV/0!</v>
      </c>
      <c r="P62" s="1275" t="e">
        <f t="shared" si="2"/>
        <v>#DIV/0!</v>
      </c>
      <c r="Q62" s="1040"/>
    </row>
    <row r="63" spans="1:20" ht="15.75" hidden="1" customHeight="1">
      <c r="A63" s="1320" t="s">
        <v>302</v>
      </c>
      <c r="B63" s="1315" t="s">
        <v>303</v>
      </c>
      <c r="C63" s="1326"/>
      <c r="D63" s="1316"/>
      <c r="E63" s="1317">
        <f t="shared" si="6"/>
        <v>0</v>
      </c>
      <c r="F63" s="1318"/>
      <c r="G63" s="1318"/>
      <c r="H63" s="1318"/>
      <c r="I63" s="1317"/>
      <c r="J63" s="1317"/>
      <c r="K63" s="1318"/>
      <c r="L63" s="1317"/>
      <c r="M63" s="1317"/>
      <c r="N63" s="1318"/>
      <c r="O63" s="1275" t="e">
        <f t="shared" si="1"/>
        <v>#DIV/0!</v>
      </c>
      <c r="P63" s="1275" t="e">
        <f t="shared" si="2"/>
        <v>#DIV/0!</v>
      </c>
      <c r="Q63" s="1040"/>
    </row>
    <row r="64" spans="1:20" ht="15.75" hidden="1" customHeight="1">
      <c r="A64" s="1302">
        <v>4</v>
      </c>
      <c r="B64" s="1303" t="s">
        <v>304</v>
      </c>
      <c r="C64" s="1325"/>
      <c r="D64" s="1319"/>
      <c r="E64" s="1306">
        <f t="shared" si="6"/>
        <v>0</v>
      </c>
      <c r="F64" s="1304"/>
      <c r="G64" s="1304"/>
      <c r="H64" s="1304"/>
      <c r="I64" s="1306"/>
      <c r="J64" s="1306"/>
      <c r="K64" s="1304"/>
      <c r="L64" s="1306"/>
      <c r="M64" s="1306"/>
      <c r="N64" s="1304"/>
      <c r="O64" s="1275" t="e">
        <f t="shared" si="1"/>
        <v>#DIV/0!</v>
      </c>
      <c r="P64" s="1275" t="e">
        <f t="shared" si="2"/>
        <v>#DIV/0!</v>
      </c>
      <c r="Q64" s="1040"/>
    </row>
    <row r="65" spans="1:18" ht="15.75" hidden="1" customHeight="1">
      <c r="A65" s="1302">
        <v>5</v>
      </c>
      <c r="B65" s="1303" t="s">
        <v>305</v>
      </c>
      <c r="C65" s="1325"/>
      <c r="D65" s="1319"/>
      <c r="E65" s="1306">
        <f t="shared" si="6"/>
        <v>0</v>
      </c>
      <c r="F65" s="1304"/>
      <c r="G65" s="1304"/>
      <c r="H65" s="1304"/>
      <c r="I65" s="1306"/>
      <c r="J65" s="1306"/>
      <c r="K65" s="1304"/>
      <c r="L65" s="1306"/>
      <c r="M65" s="1306"/>
      <c r="N65" s="1304"/>
      <c r="O65" s="1275" t="e">
        <f t="shared" si="1"/>
        <v>#DIV/0!</v>
      </c>
      <c r="P65" s="1275" t="e">
        <f t="shared" si="2"/>
        <v>#DIV/0!</v>
      </c>
      <c r="Q65" s="1040"/>
    </row>
    <row r="66" spans="1:18" ht="15.75" hidden="1" customHeight="1">
      <c r="A66" s="1302">
        <v>6</v>
      </c>
      <c r="B66" s="1303" t="s">
        <v>306</v>
      </c>
      <c r="C66" s="1325"/>
      <c r="D66" s="1319"/>
      <c r="E66" s="1306">
        <f t="shared" si="6"/>
        <v>0</v>
      </c>
      <c r="F66" s="1304"/>
      <c r="G66" s="1304"/>
      <c r="H66" s="1304"/>
      <c r="I66" s="1306"/>
      <c r="J66" s="1306"/>
      <c r="K66" s="1304"/>
      <c r="L66" s="1306"/>
      <c r="M66" s="1306"/>
      <c r="N66" s="1304"/>
      <c r="O66" s="1275" t="e">
        <f t="shared" si="1"/>
        <v>#DIV/0!</v>
      </c>
      <c r="P66" s="1275" t="e">
        <f t="shared" si="2"/>
        <v>#DIV/0!</v>
      </c>
      <c r="Q66" s="1040"/>
    </row>
    <row r="67" spans="1:18" ht="15.75" hidden="1" customHeight="1">
      <c r="A67" s="1302">
        <v>7</v>
      </c>
      <c r="B67" s="1303" t="s">
        <v>307</v>
      </c>
      <c r="C67" s="1325"/>
      <c r="D67" s="1319"/>
      <c r="E67" s="1306">
        <f t="shared" si="6"/>
        <v>0</v>
      </c>
      <c r="F67" s="1304"/>
      <c r="G67" s="1304"/>
      <c r="H67" s="1304"/>
      <c r="I67" s="1306"/>
      <c r="J67" s="1306"/>
      <c r="K67" s="1304"/>
      <c r="L67" s="1306"/>
      <c r="M67" s="1306"/>
      <c r="N67" s="1304"/>
      <c r="O67" s="1275" t="e">
        <f t="shared" si="1"/>
        <v>#DIV/0!</v>
      </c>
      <c r="P67" s="1275" t="e">
        <f t="shared" si="2"/>
        <v>#DIV/0!</v>
      </c>
      <c r="Q67" s="1040"/>
    </row>
    <row r="68" spans="1:18" ht="15.75" hidden="1" customHeight="1">
      <c r="A68" s="1302">
        <v>8</v>
      </c>
      <c r="B68" s="1303" t="s">
        <v>308</v>
      </c>
      <c r="C68" s="1325"/>
      <c r="D68" s="1319"/>
      <c r="E68" s="1306">
        <f t="shared" si="6"/>
        <v>0</v>
      </c>
      <c r="F68" s="1304"/>
      <c r="G68" s="1304"/>
      <c r="H68" s="1304"/>
      <c r="I68" s="1306"/>
      <c r="J68" s="1306"/>
      <c r="K68" s="1304"/>
      <c r="L68" s="1306"/>
      <c r="M68" s="1306"/>
      <c r="N68" s="1304"/>
      <c r="O68" s="1275" t="e">
        <f t="shared" si="1"/>
        <v>#DIV/0!</v>
      </c>
      <c r="P68" s="1275" t="e">
        <f t="shared" si="2"/>
        <v>#DIV/0!</v>
      </c>
      <c r="Q68" s="1040"/>
    </row>
    <row r="69" spans="1:18" ht="15.75" hidden="1" customHeight="1">
      <c r="A69" s="1302">
        <v>9</v>
      </c>
      <c r="B69" s="1303" t="s">
        <v>309</v>
      </c>
      <c r="C69" s="1325"/>
      <c r="D69" s="1319"/>
      <c r="E69" s="1306">
        <f t="shared" si="6"/>
        <v>0</v>
      </c>
      <c r="F69" s="1304"/>
      <c r="G69" s="1304"/>
      <c r="H69" s="1304"/>
      <c r="I69" s="1306"/>
      <c r="J69" s="1306"/>
      <c r="K69" s="1304"/>
      <c r="L69" s="1306"/>
      <c r="M69" s="1306"/>
      <c r="N69" s="1304"/>
      <c r="O69" s="1275" t="e">
        <f t="shared" si="1"/>
        <v>#DIV/0!</v>
      </c>
      <c r="P69" s="1275" t="e">
        <f t="shared" si="2"/>
        <v>#DIV/0!</v>
      </c>
      <c r="Q69" s="1040"/>
    </row>
    <row r="70" spans="1:18" ht="16.5" hidden="1" customHeight="1">
      <c r="A70" s="1302">
        <v>10</v>
      </c>
      <c r="B70" s="1303" t="s">
        <v>310</v>
      </c>
      <c r="C70" s="1325"/>
      <c r="D70" s="1321"/>
      <c r="E70" s="1306">
        <f t="shared" si="6"/>
        <v>0</v>
      </c>
      <c r="F70" s="1304"/>
      <c r="G70" s="1304"/>
      <c r="H70" s="1304"/>
      <c r="I70" s="1306"/>
      <c r="J70" s="1306"/>
      <c r="K70" s="1304"/>
      <c r="L70" s="1306"/>
      <c r="M70" s="1306"/>
      <c r="N70" s="1304"/>
      <c r="O70" s="1275" t="e">
        <f t="shared" si="1"/>
        <v>#DIV/0!</v>
      </c>
      <c r="P70" s="1275" t="e">
        <f t="shared" si="2"/>
        <v>#DIV/0!</v>
      </c>
      <c r="Q70" s="1040"/>
    </row>
    <row r="71" spans="1:18" ht="16.5" hidden="1" customHeight="1">
      <c r="A71" s="1302">
        <v>11</v>
      </c>
      <c r="B71" s="1303" t="s">
        <v>311</v>
      </c>
      <c r="C71" s="1325"/>
      <c r="D71" s="1319"/>
      <c r="E71" s="1306">
        <f>+E72+E73+E74</f>
        <v>0</v>
      </c>
      <c r="F71" s="1304">
        <f>+F72+F73+F74</f>
        <v>0</v>
      </c>
      <c r="G71" s="1304">
        <f>+G72+G73+G74</f>
        <v>0</v>
      </c>
      <c r="H71" s="1304">
        <f>+H72+H73+H74</f>
        <v>0</v>
      </c>
      <c r="I71" s="1306">
        <f>+I72+I73+I74</f>
        <v>0</v>
      </c>
      <c r="J71" s="1306">
        <f>+J72</f>
        <v>0</v>
      </c>
      <c r="K71" s="1304"/>
      <c r="L71" s="1306">
        <f>+L72+L73+L74</f>
        <v>0</v>
      </c>
      <c r="M71" s="1306">
        <f>+M72</f>
        <v>0</v>
      </c>
      <c r="N71" s="1304"/>
      <c r="O71" s="1275" t="e">
        <f t="shared" si="1"/>
        <v>#DIV/0!</v>
      </c>
      <c r="P71" s="1275" t="e">
        <f t="shared" si="2"/>
        <v>#DIV/0!</v>
      </c>
      <c r="Q71" s="1040"/>
    </row>
    <row r="72" spans="1:18" ht="16.5" hidden="1" customHeight="1">
      <c r="A72" s="1320" t="s">
        <v>312</v>
      </c>
      <c r="B72" s="1315" t="s">
        <v>313</v>
      </c>
      <c r="C72" s="1326"/>
      <c r="D72" s="1319"/>
      <c r="E72" s="1317">
        <f t="shared" ref="E72:E80" si="7">F72+I72+L72</f>
        <v>0</v>
      </c>
      <c r="F72" s="1318"/>
      <c r="G72" s="1318"/>
      <c r="H72" s="1318"/>
      <c r="I72" s="1317"/>
      <c r="J72" s="1317"/>
      <c r="K72" s="1318"/>
      <c r="L72" s="1317"/>
      <c r="M72" s="1317"/>
      <c r="N72" s="1318"/>
      <c r="O72" s="1275" t="e">
        <f t="shared" si="1"/>
        <v>#DIV/0!</v>
      </c>
      <c r="P72" s="1275" t="e">
        <f t="shared" si="2"/>
        <v>#DIV/0!</v>
      </c>
      <c r="Q72" s="1040"/>
    </row>
    <row r="73" spans="1:18" ht="16.5" hidden="1" customHeight="1">
      <c r="A73" s="1320" t="s">
        <v>314</v>
      </c>
      <c r="B73" s="1315" t="s">
        <v>315</v>
      </c>
      <c r="C73" s="1326"/>
      <c r="D73" s="1316"/>
      <c r="E73" s="1317">
        <f t="shared" si="7"/>
        <v>0</v>
      </c>
      <c r="F73" s="1318"/>
      <c r="G73" s="1318"/>
      <c r="H73" s="1318"/>
      <c r="I73" s="1317"/>
      <c r="J73" s="1317"/>
      <c r="K73" s="1318"/>
      <c r="L73" s="1317"/>
      <c r="M73" s="1317"/>
      <c r="N73" s="1318"/>
      <c r="O73" s="1275" t="e">
        <f t="shared" si="1"/>
        <v>#DIV/0!</v>
      </c>
      <c r="P73" s="1275" t="e">
        <f t="shared" si="2"/>
        <v>#DIV/0!</v>
      </c>
      <c r="Q73" s="1040"/>
    </row>
    <row r="74" spans="1:18" ht="16.5" hidden="1" customHeight="1">
      <c r="A74" s="1320" t="s">
        <v>316</v>
      </c>
      <c r="B74" s="1315" t="s">
        <v>317</v>
      </c>
      <c r="C74" s="1326"/>
      <c r="D74" s="1316"/>
      <c r="E74" s="1317">
        <f t="shared" si="7"/>
        <v>0</v>
      </c>
      <c r="F74" s="1318"/>
      <c r="G74" s="1318"/>
      <c r="H74" s="1318"/>
      <c r="I74" s="1317"/>
      <c r="J74" s="1317"/>
      <c r="K74" s="1318"/>
      <c r="L74" s="1317"/>
      <c r="M74" s="1317"/>
      <c r="N74" s="1318"/>
      <c r="O74" s="1275" t="e">
        <f t="shared" si="1"/>
        <v>#DIV/0!</v>
      </c>
      <c r="P74" s="1275" t="e">
        <f t="shared" si="2"/>
        <v>#DIV/0!</v>
      </c>
      <c r="Q74" s="1040"/>
    </row>
    <row r="75" spans="1:18" ht="16.5" hidden="1" customHeight="1">
      <c r="A75" s="1302">
        <v>12</v>
      </c>
      <c r="B75" s="1303" t="s">
        <v>255</v>
      </c>
      <c r="C75" s="1325"/>
      <c r="D75" s="1319"/>
      <c r="E75" s="1306">
        <f t="shared" si="7"/>
        <v>0</v>
      </c>
      <c r="F75" s="1304"/>
      <c r="G75" s="1304"/>
      <c r="H75" s="1304"/>
      <c r="I75" s="1306"/>
      <c r="J75" s="1306"/>
      <c r="K75" s="1304"/>
      <c r="L75" s="1306"/>
      <c r="M75" s="1306"/>
      <c r="N75" s="1304"/>
      <c r="O75" s="1275" t="e">
        <f t="shared" si="1"/>
        <v>#DIV/0!</v>
      </c>
      <c r="P75" s="1275" t="e">
        <f t="shared" si="2"/>
        <v>#DIV/0!</v>
      </c>
      <c r="Q75" s="1040" t="e">
        <f>+E75/"#REF!*100"</f>
        <v>#VALUE!</v>
      </c>
    </row>
    <row r="76" spans="1:18" ht="16.5" hidden="1" customHeight="1">
      <c r="A76" s="1302">
        <v>13</v>
      </c>
      <c r="B76" s="1303" t="s">
        <v>318</v>
      </c>
      <c r="C76" s="1325"/>
      <c r="D76" s="1321"/>
      <c r="E76" s="1306">
        <f t="shared" si="7"/>
        <v>0</v>
      </c>
      <c r="F76" s="1304"/>
      <c r="G76" s="1304"/>
      <c r="H76" s="1304"/>
      <c r="I76" s="1306"/>
      <c r="J76" s="1306"/>
      <c r="K76" s="1304"/>
      <c r="L76" s="1306"/>
      <c r="M76" s="1306"/>
      <c r="N76" s="1304"/>
      <c r="O76" s="1275" t="e">
        <f t="shared" si="1"/>
        <v>#DIV/0!</v>
      </c>
      <c r="P76" s="1275" t="e">
        <f t="shared" si="2"/>
        <v>#DIV/0!</v>
      </c>
      <c r="Q76" s="1040" t="e">
        <f>+E76/"#REF!*100"</f>
        <v>#VALUE!</v>
      </c>
    </row>
    <row r="77" spans="1:18" s="299" customFormat="1" ht="15" hidden="1" customHeight="1">
      <c r="A77" s="1302">
        <v>12</v>
      </c>
      <c r="B77" s="1303" t="s">
        <v>288</v>
      </c>
      <c r="C77" s="1325"/>
      <c r="D77" s="1319"/>
      <c r="E77" s="1306">
        <f t="shared" si="7"/>
        <v>0</v>
      </c>
      <c r="F77" s="1304"/>
      <c r="G77" s="1304"/>
      <c r="H77" s="1304"/>
      <c r="I77" s="1306"/>
      <c r="J77" s="1306"/>
      <c r="K77" s="1304"/>
      <c r="L77" s="1306"/>
      <c r="M77" s="1317"/>
      <c r="N77" s="1304"/>
      <c r="O77" s="1275" t="e">
        <f t="shared" si="1"/>
        <v>#DIV/0!</v>
      </c>
      <c r="P77" s="1275" t="e">
        <f t="shared" si="2"/>
        <v>#DIV/0!</v>
      </c>
      <c r="Q77" s="1039" t="e">
        <f>+E77/"#REF!*100"</f>
        <v>#VALUE!</v>
      </c>
    </row>
    <row r="78" spans="1:18" s="299" customFormat="1" ht="17.25" hidden="1" customHeight="1">
      <c r="A78" s="1267" t="s">
        <v>118</v>
      </c>
      <c r="B78" s="1279" t="s">
        <v>319</v>
      </c>
      <c r="C78" s="1046"/>
      <c r="D78" s="1274"/>
      <c r="E78" s="1275">
        <f t="shared" si="7"/>
        <v>0</v>
      </c>
      <c r="F78" s="1271"/>
      <c r="G78" s="1271"/>
      <c r="H78" s="1271"/>
      <c r="I78" s="1275"/>
      <c r="J78" s="1275"/>
      <c r="K78" s="1271"/>
      <c r="L78" s="1275"/>
      <c r="M78" s="1275"/>
      <c r="N78" s="1271"/>
      <c r="O78" s="1275" t="e">
        <f>E78/C78*100</f>
        <v>#DIV/0!</v>
      </c>
      <c r="P78" s="1275" t="e">
        <f>E78/D78*100</f>
        <v>#DIV/0!</v>
      </c>
      <c r="Q78" s="1039"/>
    </row>
    <row r="79" spans="1:18" s="299" customFormat="1" ht="21.95" customHeight="1">
      <c r="A79" s="1267" t="s">
        <v>118</v>
      </c>
      <c r="B79" s="1279" t="s">
        <v>996</v>
      </c>
      <c r="C79" s="1048">
        <v>800</v>
      </c>
      <c r="D79" s="1269">
        <f>1783</f>
        <v>1783</v>
      </c>
      <c r="E79" s="1271">
        <f>F79+I79+L79</f>
        <v>403.904653</v>
      </c>
      <c r="F79" s="1271">
        <f>403.904653</f>
        <v>403.904653</v>
      </c>
      <c r="G79" s="1271"/>
      <c r="H79" s="1271"/>
      <c r="I79" s="1273">
        <v>0</v>
      </c>
      <c r="J79" s="1273"/>
      <c r="K79" s="1273"/>
      <c r="L79" s="1273">
        <v>0</v>
      </c>
      <c r="M79" s="1275"/>
      <c r="N79" s="1271"/>
      <c r="O79" s="1275">
        <f>E79/C79*100</f>
        <v>50.488081625000007</v>
      </c>
      <c r="P79" s="1275">
        <f>E79/D79*100</f>
        <v>22.65309326977005</v>
      </c>
      <c r="Q79" s="1039"/>
    </row>
    <row r="80" spans="1:18" s="299" customFormat="1" ht="21.95" customHeight="1">
      <c r="A80" s="1267" t="s">
        <v>320</v>
      </c>
      <c r="B80" s="1279" t="s">
        <v>68</v>
      </c>
      <c r="C80" s="1046">
        <v>1000</v>
      </c>
      <c r="D80" s="1274">
        <v>1000</v>
      </c>
      <c r="E80" s="1275">
        <f t="shared" si="7"/>
        <v>1000</v>
      </c>
      <c r="F80" s="1271">
        <v>1000</v>
      </c>
      <c r="G80" s="1271"/>
      <c r="H80" s="1271"/>
      <c r="I80" s="1270">
        <v>0</v>
      </c>
      <c r="J80" s="1270"/>
      <c r="K80" s="1270"/>
      <c r="L80" s="1270">
        <v>0</v>
      </c>
      <c r="M80" s="1275"/>
      <c r="N80" s="1271"/>
      <c r="O80" s="1275">
        <f>E80/C80*100</f>
        <v>100</v>
      </c>
      <c r="P80" s="1275">
        <f>E80/D80*100</f>
        <v>100</v>
      </c>
      <c r="Q80" s="1039"/>
      <c r="R80" s="300"/>
    </row>
    <row r="81" spans="1:19" s="302" customFormat="1" ht="21.95" customHeight="1">
      <c r="A81" s="1138" t="s">
        <v>321</v>
      </c>
      <c r="B81" s="1277" t="s">
        <v>322</v>
      </c>
      <c r="C81" s="1046">
        <v>143210</v>
      </c>
      <c r="D81" s="1269">
        <v>149400</v>
      </c>
      <c r="E81" s="1270">
        <v>0</v>
      </c>
      <c r="F81" s="1270">
        <v>0</v>
      </c>
      <c r="G81" s="1270"/>
      <c r="H81" s="1270"/>
      <c r="I81" s="1270">
        <v>0</v>
      </c>
      <c r="J81" s="1270"/>
      <c r="K81" s="1270"/>
      <c r="L81" s="1270">
        <v>0</v>
      </c>
      <c r="M81" s="1271"/>
      <c r="N81" s="1271"/>
      <c r="O81" s="1271">
        <f>E81/C81*100</f>
        <v>0</v>
      </c>
      <c r="P81" s="1271">
        <f>E81/D81*100</f>
        <v>0</v>
      </c>
      <c r="Q81" s="1039"/>
    </row>
    <row r="82" spans="1:19" s="299" customFormat="1" ht="21.95" customHeight="1">
      <c r="A82" s="1266" t="s">
        <v>323</v>
      </c>
      <c r="B82" s="1278" t="s">
        <v>997</v>
      </c>
      <c r="C82" s="1262"/>
      <c r="D82" s="1272"/>
      <c r="E82" s="1272"/>
      <c r="F82" s="1272"/>
      <c r="G82" s="1272"/>
      <c r="H82" s="1272"/>
      <c r="I82" s="1272"/>
      <c r="J82" s="1272"/>
      <c r="K82" s="1272"/>
      <c r="L82" s="1272"/>
      <c r="M82" s="1272"/>
      <c r="N82" s="1272"/>
      <c r="O82" s="1272"/>
      <c r="P82" s="1272"/>
      <c r="Q82" s="1039"/>
    </row>
    <row r="83" spans="1:19" s="299" customFormat="1" ht="16.5" hidden="1" customHeight="1">
      <c r="A83" s="1267" t="s">
        <v>325</v>
      </c>
      <c r="B83" s="1279" t="s">
        <v>326</v>
      </c>
      <c r="C83" s="1048">
        <v>0</v>
      </c>
      <c r="D83" s="1273">
        <v>0</v>
      </c>
      <c r="E83" s="1273">
        <v>0</v>
      </c>
      <c r="F83" s="1270">
        <v>0</v>
      </c>
      <c r="G83" s="1273"/>
      <c r="H83" s="1273"/>
      <c r="I83" s="1273">
        <v>0</v>
      </c>
      <c r="J83" s="1273"/>
      <c r="K83" s="1273"/>
      <c r="L83" s="1273">
        <v>0</v>
      </c>
      <c r="M83" s="1273"/>
      <c r="N83" s="1273"/>
      <c r="O83" s="1273">
        <v>0</v>
      </c>
      <c r="P83" s="1273">
        <v>0</v>
      </c>
      <c r="Q83" s="1039" t="e">
        <f>+E83/"#REF!*100"</f>
        <v>#VALUE!</v>
      </c>
    </row>
    <row r="84" spans="1:19" s="299" customFormat="1" ht="17.25" hidden="1" customHeight="1">
      <c r="A84" s="1267" t="s">
        <v>325</v>
      </c>
      <c r="B84" s="1279" t="s">
        <v>120</v>
      </c>
      <c r="C84" s="1263"/>
      <c r="D84" s="1274"/>
      <c r="E84" s="1275"/>
      <c r="F84" s="1271"/>
      <c r="G84" s="1271"/>
      <c r="H84" s="1271"/>
      <c r="I84" s="1275"/>
      <c r="J84" s="1275"/>
      <c r="K84" s="1271"/>
      <c r="L84" s="1275"/>
      <c r="M84" s="1275"/>
      <c r="N84" s="1271"/>
      <c r="O84" s="1275"/>
      <c r="P84" s="1275"/>
      <c r="Q84" s="1040" t="e">
        <f>+E84/"#REF!*100"</f>
        <v>#VALUE!</v>
      </c>
    </row>
    <row r="85" spans="1:19" s="299" customFormat="1" ht="17.25" hidden="1" customHeight="1">
      <c r="A85" s="1268"/>
      <c r="B85" s="1280"/>
      <c r="C85" s="1262"/>
      <c r="D85" s="1272"/>
      <c r="E85" s="1272"/>
      <c r="F85" s="1272"/>
      <c r="G85" s="1272"/>
      <c r="H85" s="1272"/>
      <c r="I85" s="1272"/>
      <c r="J85" s="1272"/>
      <c r="K85" s="1272"/>
      <c r="L85" s="1272"/>
      <c r="M85" s="1272"/>
      <c r="N85" s="1272"/>
      <c r="O85" s="1272"/>
      <c r="P85" s="1272"/>
      <c r="Q85" s="1040"/>
    </row>
    <row r="86" spans="1:19" s="299" customFormat="1" ht="21.95" customHeight="1">
      <c r="A86" s="1267" t="s">
        <v>80</v>
      </c>
      <c r="B86" s="1279" t="s">
        <v>2851</v>
      </c>
      <c r="C86" s="1054">
        <f>+C87+C92</f>
        <v>1949551</v>
      </c>
      <c r="D86" s="1276">
        <f>+D87+D92</f>
        <v>1804261</v>
      </c>
      <c r="E86" s="1300">
        <f>+E87+E92</f>
        <v>875940.825006</v>
      </c>
      <c r="F86" s="1276">
        <f t="shared" ref="F86:N86" si="8">+F87+F92</f>
        <v>684062.32112500002</v>
      </c>
      <c r="G86" s="1276">
        <f t="shared" si="8"/>
        <v>633340.47815500002</v>
      </c>
      <c r="H86" s="1276">
        <f t="shared" si="8"/>
        <v>50721.842969999998</v>
      </c>
      <c r="I86" s="1276">
        <f t="shared" si="8"/>
        <v>74810.172522000008</v>
      </c>
      <c r="J86" s="1276">
        <f t="shared" si="8"/>
        <v>12853.423792</v>
      </c>
      <c r="K86" s="1276">
        <f t="shared" si="8"/>
        <v>61956.748729999999</v>
      </c>
      <c r="L86" s="1276">
        <f t="shared" si="8"/>
        <v>117068.331359</v>
      </c>
      <c r="M86" s="1276">
        <f t="shared" si="8"/>
        <v>96203.247969000004</v>
      </c>
      <c r="N86" s="1276">
        <f t="shared" si="8"/>
        <v>20865.08339</v>
      </c>
      <c r="O86" s="1275">
        <f>E86/C86*100</f>
        <v>44.930387817810356</v>
      </c>
      <c r="P86" s="1275">
        <f>E86/D86*100</f>
        <v>48.548454187393062</v>
      </c>
      <c r="Q86" s="1040" t="e">
        <f>+E86/"#REF!*100"</f>
        <v>#VALUE!</v>
      </c>
      <c r="R86" s="301"/>
    </row>
    <row r="87" spans="1:19" s="1036" customFormat="1" ht="21.95" customHeight="1">
      <c r="A87" s="1267" t="s">
        <v>108</v>
      </c>
      <c r="B87" s="1279" t="s">
        <v>2849</v>
      </c>
      <c r="C87" s="1328">
        <f>SUM(C88:C91)</f>
        <v>129892</v>
      </c>
      <c r="D87" s="1329">
        <f>SUM(D88:D91)</f>
        <v>129892</v>
      </c>
      <c r="E87" s="1271">
        <f>SUM(E88:E91)</f>
        <v>151432.605477</v>
      </c>
      <c r="F87" s="1329">
        <f t="shared" ref="F87:M87" si="9">SUM(F88:F91)</f>
        <v>14764.978466</v>
      </c>
      <c r="G87" s="1329">
        <f t="shared" si="9"/>
        <v>181.09700000000001</v>
      </c>
      <c r="H87" s="1329">
        <f t="shared" si="9"/>
        <v>14583.881466000001</v>
      </c>
      <c r="I87" s="1329">
        <f t="shared" si="9"/>
        <v>21070.295652000001</v>
      </c>
      <c r="J87" s="1329">
        <f t="shared" si="9"/>
        <v>12853.423792</v>
      </c>
      <c r="K87" s="1329">
        <f t="shared" si="9"/>
        <v>8216.8718599999993</v>
      </c>
      <c r="L87" s="1329">
        <f t="shared" si="9"/>
        <v>115597.331359</v>
      </c>
      <c r="M87" s="1329">
        <f t="shared" si="9"/>
        <v>96203.247969000004</v>
      </c>
      <c r="N87" s="1329">
        <f>SUM(N88:N91)</f>
        <v>19394.08339</v>
      </c>
      <c r="O87" s="1275">
        <f>E87/C87*100</f>
        <v>116.58347356034244</v>
      </c>
      <c r="P87" s="1275">
        <f>E87/D87*100</f>
        <v>116.58347356034244</v>
      </c>
      <c r="Q87" s="1286"/>
      <c r="R87" s="1035"/>
    </row>
    <row r="88" spans="1:19" s="302" customFormat="1" ht="21.95" customHeight="1">
      <c r="A88" s="1265" t="s">
        <v>254</v>
      </c>
      <c r="B88" s="1307" t="s">
        <v>2954</v>
      </c>
      <c r="C88" s="1330">
        <v>47092</v>
      </c>
      <c r="D88" s="1309">
        <v>47092</v>
      </c>
      <c r="E88" s="1304">
        <f>+F88+I88+L88</f>
        <v>56058.427014000001</v>
      </c>
      <c r="F88" s="1308">
        <f>G88+H88</f>
        <v>2658.2200400000002</v>
      </c>
      <c r="G88" s="1304"/>
      <c r="H88" s="1304">
        <v>2658.2200400000002</v>
      </c>
      <c r="I88" s="1304">
        <f>J88+K88</f>
        <v>7649.3977919999998</v>
      </c>
      <c r="J88" s="1304">
        <v>7649.3977919999998</v>
      </c>
      <c r="K88" s="1304"/>
      <c r="L88" s="1304">
        <f>M88+N88</f>
        <v>45750.809181999997</v>
      </c>
      <c r="M88" s="1304">
        <v>30685.071692000001</v>
      </c>
      <c r="N88" s="1304">
        <v>15065.73749</v>
      </c>
      <c r="O88" s="1304">
        <f>E88/C88*100</f>
        <v>119.04023403975197</v>
      </c>
      <c r="P88" s="1304">
        <f t="shared" ref="P88:P89" si="10">E88/D88*100</f>
        <v>119.04023403975197</v>
      </c>
      <c r="Q88" s="1040" t="e">
        <f>+E88/"#REF!*100"</f>
        <v>#VALUE!</v>
      </c>
      <c r="S88" s="403"/>
    </row>
    <row r="89" spans="1:19" s="302" customFormat="1" ht="21.95" customHeight="1">
      <c r="A89" s="1265" t="s">
        <v>256</v>
      </c>
      <c r="B89" s="1307" t="s">
        <v>329</v>
      </c>
      <c r="C89" s="1330">
        <v>82800</v>
      </c>
      <c r="D89" s="1309">
        <v>82800</v>
      </c>
      <c r="E89" s="1304">
        <f>+F89+I89+L89</f>
        <v>94982.006481999997</v>
      </c>
      <c r="F89" s="1308">
        <f t="shared" ref="F89:F105" si="11">G89+H89</f>
        <v>11966.758426</v>
      </c>
      <c r="G89" s="1304">
        <v>41.097000000000001</v>
      </c>
      <c r="H89" s="1304">
        <v>11925.661426000001</v>
      </c>
      <c r="I89" s="1304">
        <f t="shared" ref="I89:I106" si="12">J89+K89</f>
        <v>13168.725879</v>
      </c>
      <c r="J89" s="1304">
        <v>5204.0259999999998</v>
      </c>
      <c r="K89" s="1304">
        <v>7964.6998789999998</v>
      </c>
      <c r="L89" s="1304">
        <f t="shared" ref="L89:L106" si="13">M89+N89</f>
        <v>69846.522177000006</v>
      </c>
      <c r="M89" s="1304">
        <v>65518.176276999999</v>
      </c>
      <c r="N89" s="1304">
        <v>4328.3459000000003</v>
      </c>
      <c r="O89" s="1304">
        <f>E89/C89*100</f>
        <v>114.71256821497585</v>
      </c>
      <c r="P89" s="1304">
        <f t="shared" si="10"/>
        <v>114.71256821497585</v>
      </c>
      <c r="Q89" s="1040"/>
      <c r="R89" s="403"/>
      <c r="S89" s="403"/>
    </row>
    <row r="90" spans="1:19" s="302" customFormat="1" ht="21.95" customHeight="1">
      <c r="A90" s="1265" t="s">
        <v>258</v>
      </c>
      <c r="B90" s="1307" t="s">
        <v>2955</v>
      </c>
      <c r="C90" s="1048">
        <v>0</v>
      </c>
      <c r="D90" s="1270">
        <v>0</v>
      </c>
      <c r="E90" s="1304">
        <f>+F90+I90+L90</f>
        <v>140</v>
      </c>
      <c r="F90" s="1308">
        <f t="shared" si="11"/>
        <v>140</v>
      </c>
      <c r="G90" s="1304">
        <v>140</v>
      </c>
      <c r="H90" s="1304"/>
      <c r="I90" s="1304">
        <f t="shared" si="12"/>
        <v>0</v>
      </c>
      <c r="J90" s="1304"/>
      <c r="K90" s="1304"/>
      <c r="L90" s="1331">
        <f t="shared" si="13"/>
        <v>0</v>
      </c>
      <c r="M90" s="1304"/>
      <c r="N90" s="1304"/>
      <c r="O90" s="1270">
        <v>0</v>
      </c>
      <c r="P90" s="1270">
        <v>0</v>
      </c>
      <c r="Q90" s="1040"/>
      <c r="R90" s="1037">
        <f>+D88+D89</f>
        <v>129892</v>
      </c>
      <c r="S90" s="1031"/>
    </row>
    <row r="91" spans="1:19" s="302" customFormat="1" ht="21.95" customHeight="1">
      <c r="A91" s="1265" t="s">
        <v>260</v>
      </c>
      <c r="B91" s="1307" t="s">
        <v>3106</v>
      </c>
      <c r="C91" s="1048">
        <v>0</v>
      </c>
      <c r="D91" s="1270">
        <v>0</v>
      </c>
      <c r="E91" s="1304">
        <f t="shared" ref="E91:E106" si="14">+F91+I91+L91</f>
        <v>252.17198099999999</v>
      </c>
      <c r="F91" s="1304">
        <f t="shared" si="11"/>
        <v>0</v>
      </c>
      <c r="G91" s="1304"/>
      <c r="H91" s="1304"/>
      <c r="I91" s="1304">
        <f t="shared" si="12"/>
        <v>252.17198099999999</v>
      </c>
      <c r="J91" s="1304"/>
      <c r="K91" s="1304">
        <v>252.17198099999999</v>
      </c>
      <c r="L91" s="1331">
        <f t="shared" si="13"/>
        <v>0</v>
      </c>
      <c r="M91" s="1304"/>
      <c r="N91" s="1304"/>
      <c r="O91" s="1270">
        <v>0</v>
      </c>
      <c r="P91" s="1270">
        <v>0</v>
      </c>
      <c r="Q91" s="1040"/>
      <c r="R91" s="1031">
        <f>+'BIEU 68 CK NSNN'!C14+'BIEU 68 CK NSNN'!C42</f>
        <v>129892</v>
      </c>
      <c r="S91" s="403"/>
    </row>
    <row r="92" spans="1:19" s="1034" customFormat="1" ht="21.95" customHeight="1">
      <c r="A92" s="1138" t="s">
        <v>109</v>
      </c>
      <c r="B92" s="1277" t="s">
        <v>1000</v>
      </c>
      <c r="C92" s="1048">
        <f>SUM(C93:C107)</f>
        <v>1819659</v>
      </c>
      <c r="D92" s="1270">
        <f>SUM(D93:D107)</f>
        <v>1674369</v>
      </c>
      <c r="E92" s="1594">
        <f>SUM(E93:E107)</f>
        <v>724508.21952899999</v>
      </c>
      <c r="F92" s="1270">
        <f t="shared" ref="F92:N92" si="15">SUM(F93:F107)</f>
        <v>669297.34265899996</v>
      </c>
      <c r="G92" s="1270">
        <f t="shared" si="15"/>
        <v>633159.38115500007</v>
      </c>
      <c r="H92" s="1270">
        <f t="shared" si="15"/>
        <v>36137.961503999999</v>
      </c>
      <c r="I92" s="1270">
        <f t="shared" si="15"/>
        <v>53739.87687</v>
      </c>
      <c r="J92" s="1270">
        <f t="shared" si="15"/>
        <v>0</v>
      </c>
      <c r="K92" s="1270">
        <f t="shared" si="15"/>
        <v>53739.87687</v>
      </c>
      <c r="L92" s="1270">
        <f t="shared" si="15"/>
        <v>1471</v>
      </c>
      <c r="M92" s="1270">
        <f t="shared" si="15"/>
        <v>0</v>
      </c>
      <c r="N92" s="1270">
        <f t="shared" si="15"/>
        <v>1471</v>
      </c>
      <c r="O92" s="1270"/>
      <c r="P92" s="1270"/>
      <c r="Q92" s="1286"/>
      <c r="R92" s="1032"/>
      <c r="S92" s="1033"/>
    </row>
    <row r="93" spans="1:19" s="299" customFormat="1" ht="21.95" customHeight="1">
      <c r="A93" s="1302" t="s">
        <v>254</v>
      </c>
      <c r="B93" s="1303" t="s">
        <v>978</v>
      </c>
      <c r="C93" s="1048">
        <v>0</v>
      </c>
      <c r="D93" s="1270">
        <v>0</v>
      </c>
      <c r="E93" s="1306">
        <f t="shared" si="14"/>
        <v>9.109</v>
      </c>
      <c r="F93" s="1304">
        <f t="shared" si="11"/>
        <v>0</v>
      </c>
      <c r="G93" s="1304"/>
      <c r="H93" s="1304"/>
      <c r="I93" s="1304">
        <f t="shared" si="12"/>
        <v>9.109</v>
      </c>
      <c r="J93" s="1306"/>
      <c r="K93" s="1304">
        <v>9.109</v>
      </c>
      <c r="L93" s="1331">
        <f t="shared" si="13"/>
        <v>0</v>
      </c>
      <c r="M93" s="1306"/>
      <c r="N93" s="1304"/>
      <c r="O93" s="1273">
        <v>0</v>
      </c>
      <c r="P93" s="1273">
        <v>0</v>
      </c>
      <c r="Q93" s="1040"/>
      <c r="R93" s="301">
        <f>+E88+E89+E90+E91</f>
        <v>151432.605477</v>
      </c>
    </row>
    <row r="94" spans="1:19" s="299" customFormat="1" ht="21.95" customHeight="1">
      <c r="A94" s="1302" t="s">
        <v>256</v>
      </c>
      <c r="B94" s="1303" t="s">
        <v>960</v>
      </c>
      <c r="C94" s="1332">
        <v>6958</v>
      </c>
      <c r="D94" s="1309">
        <v>6958</v>
      </c>
      <c r="E94" s="1306">
        <f t="shared" si="14"/>
        <v>14136.277345999999</v>
      </c>
      <c r="F94" s="1308">
        <f t="shared" si="11"/>
        <v>6840.5094760000002</v>
      </c>
      <c r="G94" s="1304"/>
      <c r="H94" s="1304">
        <v>6840.5094760000002</v>
      </c>
      <c r="I94" s="1304">
        <f t="shared" si="12"/>
        <v>7295.7678699999997</v>
      </c>
      <c r="J94" s="1306"/>
      <c r="K94" s="1304">
        <v>7295.7678699999997</v>
      </c>
      <c r="L94" s="1331">
        <f t="shared" si="13"/>
        <v>0</v>
      </c>
      <c r="M94" s="1306"/>
      <c r="N94" s="1304"/>
      <c r="O94" s="1306">
        <f>E94/C94*100</f>
        <v>203.16581411325089</v>
      </c>
      <c r="P94" s="1306">
        <f t="shared" ref="P94:P106" si="16">E94/D94*100</f>
        <v>203.16581411325089</v>
      </c>
      <c r="Q94" s="1040"/>
      <c r="R94" s="301">
        <f>+'BIEU 68 CK NSNN'!J14+'BIEU 68 CK NSNN'!J42</f>
        <v>151432.605477</v>
      </c>
    </row>
    <row r="95" spans="1:19" s="299" customFormat="1" ht="21.95" customHeight="1">
      <c r="A95" s="1302" t="s">
        <v>258</v>
      </c>
      <c r="B95" s="1303" t="s">
        <v>979</v>
      </c>
      <c r="C95" s="1332">
        <v>25000</v>
      </c>
      <c r="D95" s="1305">
        <v>25000</v>
      </c>
      <c r="E95" s="1306">
        <f t="shared" si="14"/>
        <v>15904.023847</v>
      </c>
      <c r="F95" s="1308">
        <f t="shared" si="11"/>
        <v>15904.023847</v>
      </c>
      <c r="G95" s="1304">
        <v>15904.023847</v>
      </c>
      <c r="H95" s="1304"/>
      <c r="I95" s="1331">
        <f t="shared" si="12"/>
        <v>0</v>
      </c>
      <c r="J95" s="1306"/>
      <c r="K95" s="1304"/>
      <c r="L95" s="1331">
        <f t="shared" si="13"/>
        <v>0</v>
      </c>
      <c r="M95" s="1306"/>
      <c r="N95" s="1304"/>
      <c r="O95" s="1306">
        <f t="shared" ref="O95:O106" si="17">E95/C95*100</f>
        <v>63.616095388000005</v>
      </c>
      <c r="P95" s="1306">
        <f t="shared" si="16"/>
        <v>63.616095388000005</v>
      </c>
      <c r="Q95" s="1040"/>
    </row>
    <row r="96" spans="1:19" s="299" customFormat="1" ht="21.95" customHeight="1">
      <c r="A96" s="1302" t="s">
        <v>260</v>
      </c>
      <c r="B96" s="1303" t="s">
        <v>2362</v>
      </c>
      <c r="C96" s="1332">
        <v>30574</v>
      </c>
      <c r="D96" s="1305">
        <v>30574</v>
      </c>
      <c r="E96" s="1306">
        <f t="shared" si="14"/>
        <v>33046.902189</v>
      </c>
      <c r="F96" s="1308">
        <f t="shared" si="11"/>
        <v>33046.902189</v>
      </c>
      <c r="G96" s="1304">
        <v>30216.262261</v>
      </c>
      <c r="H96" s="1304">
        <v>2830.6399280000001</v>
      </c>
      <c r="I96" s="1331">
        <f t="shared" si="12"/>
        <v>0</v>
      </c>
      <c r="J96" s="1306"/>
      <c r="K96" s="1304"/>
      <c r="L96" s="1331">
        <f t="shared" si="13"/>
        <v>0</v>
      </c>
      <c r="M96" s="1306"/>
      <c r="N96" s="1304"/>
      <c r="O96" s="1306">
        <f t="shared" si="17"/>
        <v>108.08825207365736</v>
      </c>
      <c r="P96" s="1306">
        <f t="shared" si="16"/>
        <v>108.08825207365736</v>
      </c>
      <c r="Q96" s="1040"/>
    </row>
    <row r="97" spans="1:18" s="299" customFormat="1" ht="38.1" customHeight="1">
      <c r="A97" s="1302" t="s">
        <v>262</v>
      </c>
      <c r="B97" s="1303" t="s">
        <v>962</v>
      </c>
      <c r="C97" s="1332">
        <v>69232</v>
      </c>
      <c r="D97" s="1305">
        <v>69232</v>
      </c>
      <c r="E97" s="1306">
        <f t="shared" si="14"/>
        <v>52273.083454</v>
      </c>
      <c r="F97" s="1308">
        <f t="shared" si="11"/>
        <v>52273.083454</v>
      </c>
      <c r="G97" s="1304">
        <v>52273.083454</v>
      </c>
      <c r="H97" s="1304"/>
      <c r="I97" s="1331">
        <f t="shared" si="12"/>
        <v>0</v>
      </c>
      <c r="J97" s="1306"/>
      <c r="K97" s="1304"/>
      <c r="L97" s="1331">
        <f t="shared" si="13"/>
        <v>0</v>
      </c>
      <c r="M97" s="1306"/>
      <c r="N97" s="1304"/>
      <c r="O97" s="1306">
        <f t="shared" si="17"/>
        <v>75.504222691818811</v>
      </c>
      <c r="P97" s="1306">
        <f t="shared" si="16"/>
        <v>75.504222691818811</v>
      </c>
      <c r="Q97" s="1040"/>
    </row>
    <row r="98" spans="1:18" s="299" customFormat="1" ht="38.1" customHeight="1">
      <c r="A98" s="1302" t="s">
        <v>264</v>
      </c>
      <c r="B98" s="1303" t="s">
        <v>963</v>
      </c>
      <c r="C98" s="1332">
        <v>1380</v>
      </c>
      <c r="D98" s="1309">
        <v>1380</v>
      </c>
      <c r="E98" s="1306">
        <f t="shared" si="14"/>
        <v>3600</v>
      </c>
      <c r="F98" s="1308">
        <f t="shared" si="11"/>
        <v>3600</v>
      </c>
      <c r="G98" s="1304"/>
      <c r="H98" s="1304">
        <v>3600</v>
      </c>
      <c r="I98" s="1331">
        <f t="shared" si="12"/>
        <v>0</v>
      </c>
      <c r="J98" s="1306"/>
      <c r="K98" s="1304"/>
      <c r="L98" s="1331">
        <f t="shared" si="13"/>
        <v>0</v>
      </c>
      <c r="M98" s="1306"/>
      <c r="N98" s="1304"/>
      <c r="O98" s="1306">
        <f t="shared" si="17"/>
        <v>260.86956521739131</v>
      </c>
      <c r="P98" s="1306">
        <f t="shared" si="16"/>
        <v>260.86956521739131</v>
      </c>
      <c r="Q98" s="1040"/>
    </row>
    <row r="99" spans="1:18" s="299" customFormat="1" ht="21.95" customHeight="1">
      <c r="A99" s="1302" t="s">
        <v>266</v>
      </c>
      <c r="B99" s="1303" t="s">
        <v>964</v>
      </c>
      <c r="C99" s="1332">
        <v>3507</v>
      </c>
      <c r="D99" s="1309">
        <v>3507</v>
      </c>
      <c r="E99" s="1306">
        <f t="shared" si="14"/>
        <v>6239.549</v>
      </c>
      <c r="F99" s="1308">
        <f t="shared" si="11"/>
        <v>6239.549</v>
      </c>
      <c r="G99" s="1304"/>
      <c r="H99" s="1304">
        <v>6239.549</v>
      </c>
      <c r="I99" s="1331">
        <f t="shared" si="12"/>
        <v>0</v>
      </c>
      <c r="J99" s="1306"/>
      <c r="K99" s="1304"/>
      <c r="L99" s="1331">
        <f t="shared" si="13"/>
        <v>0</v>
      </c>
      <c r="M99" s="1306"/>
      <c r="N99" s="1304"/>
      <c r="O99" s="1306">
        <f t="shared" si="17"/>
        <v>177.91699458226404</v>
      </c>
      <c r="P99" s="1306">
        <f t="shared" si="16"/>
        <v>177.91699458226404</v>
      </c>
      <c r="Q99" s="1040"/>
    </row>
    <row r="100" spans="1:18" s="299" customFormat="1" ht="21.95" customHeight="1">
      <c r="A100" s="1302" t="s">
        <v>268</v>
      </c>
      <c r="B100" s="1303" t="s">
        <v>965</v>
      </c>
      <c r="C100" s="1332">
        <f>5458+1126</f>
        <v>6584</v>
      </c>
      <c r="D100" s="1305">
        <f>5458+1126</f>
        <v>6584</v>
      </c>
      <c r="E100" s="1306">
        <f t="shared" si="14"/>
        <v>5525.3890000000001</v>
      </c>
      <c r="F100" s="1308">
        <f t="shared" si="11"/>
        <v>5525.3890000000001</v>
      </c>
      <c r="G100" s="1304">
        <v>4914.5780000000004</v>
      </c>
      <c r="H100" s="1304">
        <v>610.81100000000004</v>
      </c>
      <c r="I100" s="1331">
        <f t="shared" si="12"/>
        <v>0</v>
      </c>
      <c r="J100" s="1306"/>
      <c r="K100" s="1304"/>
      <c r="L100" s="1331">
        <f t="shared" si="13"/>
        <v>0</v>
      </c>
      <c r="M100" s="1306"/>
      <c r="N100" s="1304"/>
      <c r="O100" s="1306">
        <f t="shared" si="17"/>
        <v>83.921461117861483</v>
      </c>
      <c r="P100" s="1306">
        <f t="shared" si="16"/>
        <v>83.921461117861483</v>
      </c>
      <c r="Q100" s="1040"/>
    </row>
    <row r="101" spans="1:18" s="299" customFormat="1" ht="21.95" customHeight="1">
      <c r="A101" s="1302" t="s">
        <v>270</v>
      </c>
      <c r="B101" s="1303" t="s">
        <v>966</v>
      </c>
      <c r="C101" s="1332">
        <v>1115</v>
      </c>
      <c r="D101" s="1309">
        <v>1115</v>
      </c>
      <c r="E101" s="1306">
        <f t="shared" si="14"/>
        <v>2343.4521</v>
      </c>
      <c r="F101" s="1308">
        <f t="shared" si="11"/>
        <v>2343.4521</v>
      </c>
      <c r="G101" s="1304"/>
      <c r="H101" s="1304">
        <v>2343.4521</v>
      </c>
      <c r="I101" s="1331">
        <f t="shared" si="12"/>
        <v>0</v>
      </c>
      <c r="J101" s="1306"/>
      <c r="K101" s="1304"/>
      <c r="L101" s="1331">
        <f t="shared" si="13"/>
        <v>0</v>
      </c>
      <c r="M101" s="1306"/>
      <c r="N101" s="1304"/>
      <c r="O101" s="1306">
        <f t="shared" si="17"/>
        <v>210.17507623318386</v>
      </c>
      <c r="P101" s="1306">
        <f t="shared" si="16"/>
        <v>210.17507623318386</v>
      </c>
      <c r="Q101" s="1040"/>
    </row>
    <row r="102" spans="1:18" s="299" customFormat="1" ht="21.95" customHeight="1">
      <c r="A102" s="1302" t="s">
        <v>272</v>
      </c>
      <c r="B102" s="1303" t="s">
        <v>967</v>
      </c>
      <c r="C102" s="1332">
        <v>398105</v>
      </c>
      <c r="D102" s="1309">
        <v>398105</v>
      </c>
      <c r="E102" s="1306">
        <f t="shared" si="14"/>
        <v>147456.36254599999</v>
      </c>
      <c r="F102" s="1308">
        <f t="shared" si="11"/>
        <v>147456.36254599999</v>
      </c>
      <c r="G102" s="1304">
        <v>147456.36254599999</v>
      </c>
      <c r="H102" s="1304"/>
      <c r="I102" s="1331">
        <f t="shared" si="12"/>
        <v>0</v>
      </c>
      <c r="J102" s="1306"/>
      <c r="K102" s="1304"/>
      <c r="L102" s="1331">
        <f t="shared" si="13"/>
        <v>0</v>
      </c>
      <c r="M102" s="1306"/>
      <c r="N102" s="1304"/>
      <c r="O102" s="1306">
        <f t="shared" si="17"/>
        <v>37.039565578427798</v>
      </c>
      <c r="P102" s="1306">
        <f t="shared" si="16"/>
        <v>37.039565578427798</v>
      </c>
      <c r="Q102" s="1040"/>
    </row>
    <row r="103" spans="1:18" s="299" customFormat="1" ht="21.95" customHeight="1">
      <c r="A103" s="1302" t="s">
        <v>274</v>
      </c>
      <c r="B103" s="1303" t="s">
        <v>968</v>
      </c>
      <c r="C103" s="1332">
        <v>135433</v>
      </c>
      <c r="D103" s="1305">
        <v>135433</v>
      </c>
      <c r="E103" s="1306">
        <f t="shared" si="14"/>
        <v>103542.33500000001</v>
      </c>
      <c r="F103" s="1308">
        <f t="shared" si="11"/>
        <v>103542.33500000001</v>
      </c>
      <c r="G103" s="1304">
        <v>103542.33500000001</v>
      </c>
      <c r="H103" s="1304"/>
      <c r="I103" s="1331">
        <f t="shared" si="12"/>
        <v>0</v>
      </c>
      <c r="J103" s="1306"/>
      <c r="K103" s="1304"/>
      <c r="L103" s="1331">
        <f t="shared" si="13"/>
        <v>0</v>
      </c>
      <c r="M103" s="1306"/>
      <c r="N103" s="1304"/>
      <c r="O103" s="1306">
        <f t="shared" si="17"/>
        <v>76.452810614842775</v>
      </c>
      <c r="P103" s="1306">
        <f t="shared" si="16"/>
        <v>76.452810614842775</v>
      </c>
      <c r="Q103" s="1040"/>
    </row>
    <row r="104" spans="1:18" s="299" customFormat="1" ht="21.95" customHeight="1">
      <c r="A104" s="1302" t="s">
        <v>276</v>
      </c>
      <c r="B104" s="1303" t="s">
        <v>969</v>
      </c>
      <c r="C104" s="1332">
        <v>26800</v>
      </c>
      <c r="D104" s="1305">
        <v>26800</v>
      </c>
      <c r="E104" s="1306">
        <f t="shared" si="14"/>
        <v>15100</v>
      </c>
      <c r="F104" s="1308">
        <f t="shared" si="11"/>
        <v>15100</v>
      </c>
      <c r="G104" s="1304">
        <v>15100</v>
      </c>
      <c r="H104" s="1304"/>
      <c r="I104" s="1331">
        <f t="shared" si="12"/>
        <v>0</v>
      </c>
      <c r="J104" s="1306"/>
      <c r="K104" s="1304"/>
      <c r="L104" s="1331">
        <f t="shared" si="13"/>
        <v>0</v>
      </c>
      <c r="M104" s="1306"/>
      <c r="N104" s="1304"/>
      <c r="O104" s="1306">
        <f t="shared" si="17"/>
        <v>56.343283582089555</v>
      </c>
      <c r="P104" s="1306">
        <f t="shared" si="16"/>
        <v>56.343283582089555</v>
      </c>
      <c r="Q104" s="1040"/>
    </row>
    <row r="105" spans="1:18" s="299" customFormat="1" ht="51.95" customHeight="1">
      <c r="A105" s="1302" t="s">
        <v>278</v>
      </c>
      <c r="B105" s="1303" t="s">
        <v>2953</v>
      </c>
      <c r="C105" s="1332">
        <v>73503</v>
      </c>
      <c r="D105" s="1305">
        <v>73503</v>
      </c>
      <c r="E105" s="1306">
        <f t="shared" si="14"/>
        <v>72373.925873999993</v>
      </c>
      <c r="F105" s="1308">
        <f t="shared" si="11"/>
        <v>72373.925873999993</v>
      </c>
      <c r="G105" s="1304">
        <v>72373.925873999993</v>
      </c>
      <c r="H105" s="1304"/>
      <c r="I105" s="1331">
        <f t="shared" si="12"/>
        <v>0</v>
      </c>
      <c r="J105" s="1306"/>
      <c r="K105" s="1304"/>
      <c r="L105" s="1331">
        <f t="shared" si="13"/>
        <v>0</v>
      </c>
      <c r="M105" s="1306"/>
      <c r="N105" s="1304"/>
      <c r="O105" s="1306">
        <f t="shared" si="17"/>
        <v>98.463907424186758</v>
      </c>
      <c r="P105" s="1306">
        <f t="shared" si="16"/>
        <v>98.463907424186758</v>
      </c>
      <c r="Q105" s="1040"/>
    </row>
    <row r="106" spans="1:18" s="299" customFormat="1" ht="21.95" customHeight="1">
      <c r="A106" s="1302" t="s">
        <v>972</v>
      </c>
      <c r="B106" s="1303" t="s">
        <v>388</v>
      </c>
      <c r="C106" s="1332">
        <v>27000</v>
      </c>
      <c r="D106" s="1305">
        <v>27000</v>
      </c>
      <c r="E106" s="1306">
        <f t="shared" si="14"/>
        <v>26031.25</v>
      </c>
      <c r="F106" s="1308">
        <f>G106+H106</f>
        <v>26031.25</v>
      </c>
      <c r="G106" s="1304">
        <v>26031.25</v>
      </c>
      <c r="H106" s="1304"/>
      <c r="I106" s="1331">
        <f t="shared" si="12"/>
        <v>0</v>
      </c>
      <c r="J106" s="1306"/>
      <c r="K106" s="1304"/>
      <c r="L106" s="1331">
        <f t="shared" si="13"/>
        <v>0</v>
      </c>
      <c r="M106" s="1306"/>
      <c r="N106" s="1304"/>
      <c r="O106" s="1306">
        <f t="shared" si="17"/>
        <v>96.412037037037038</v>
      </c>
      <c r="P106" s="1306">
        <f t="shared" si="16"/>
        <v>96.412037037037038</v>
      </c>
      <c r="Q106" s="1040"/>
    </row>
    <row r="107" spans="1:18" s="302" customFormat="1" ht="21.95" customHeight="1">
      <c r="A107" s="1302" t="s">
        <v>973</v>
      </c>
      <c r="B107" s="1307" t="s">
        <v>332</v>
      </c>
      <c r="C107" s="1330">
        <f>340378+C108+1002164-135433-25000-69232-73503-5458-27000-30574-26800-6958-1115-1380-3507-1126</f>
        <v>1014468</v>
      </c>
      <c r="D107" s="1333">
        <f>1674369-398105-135433-25000-69232-73503-5458-27000-30574-26800-6958-1115-1380-3507-1126</f>
        <v>869178</v>
      </c>
      <c r="E107" s="1304">
        <f>F107+I107+L107</f>
        <v>226926.56017300001</v>
      </c>
      <c r="F107" s="1304">
        <f>+G107+H107</f>
        <v>179020.56017300001</v>
      </c>
      <c r="G107" s="1304">
        <f>165347.560173+G108</f>
        <v>165347.56017300001</v>
      </c>
      <c r="H107" s="1304">
        <f>H108+560+110+9153+3850</f>
        <v>13673</v>
      </c>
      <c r="I107" s="1304">
        <f>+J107+K107</f>
        <v>46435</v>
      </c>
      <c r="J107" s="1304"/>
      <c r="K107" s="1304">
        <f>37493+8942</f>
        <v>46435</v>
      </c>
      <c r="L107" s="1304">
        <f>+M107+N107</f>
        <v>1471</v>
      </c>
      <c r="M107" s="1304"/>
      <c r="N107" s="1304">
        <v>1471</v>
      </c>
      <c r="O107" s="1306">
        <f>E107/C107*100</f>
        <v>22.369021021165775</v>
      </c>
      <c r="P107" s="1306">
        <f>E107/D107*100</f>
        <v>26.108180392623836</v>
      </c>
      <c r="Q107" s="1040" t="e">
        <f>+E107/"#REF!*100"</f>
        <v>#VALUE!</v>
      </c>
      <c r="R107" s="403"/>
    </row>
    <row r="108" spans="1:18" s="117" customFormat="1" ht="15" hidden="1" customHeight="1">
      <c r="A108" s="1265"/>
      <c r="B108" s="1334" t="s">
        <v>941</v>
      </c>
      <c r="C108" s="1326">
        <f>477117-398105</f>
        <v>79012</v>
      </c>
      <c r="D108" s="1335">
        <f>477117-398105</f>
        <v>79012</v>
      </c>
      <c r="E108" s="1331">
        <f>+F108</f>
        <v>0</v>
      </c>
      <c r="F108" s="1331">
        <v>0</v>
      </c>
      <c r="G108" s="1331"/>
      <c r="H108" s="1331">
        <v>0</v>
      </c>
      <c r="I108" s="1331">
        <v>0</v>
      </c>
      <c r="J108" s="1331"/>
      <c r="K108" s="1331"/>
      <c r="L108" s="1331">
        <v>0</v>
      </c>
      <c r="M108" s="1318"/>
      <c r="N108" s="1318"/>
      <c r="O108" s="1270">
        <v>0</v>
      </c>
      <c r="P108" s="1270">
        <v>0</v>
      </c>
      <c r="Q108" s="1287"/>
    </row>
    <row r="109" spans="1:18" s="117" customFormat="1" ht="21.95" customHeight="1">
      <c r="A109" s="1267" t="s">
        <v>121</v>
      </c>
      <c r="B109" s="1279" t="s">
        <v>2850</v>
      </c>
      <c r="C109" s="1046"/>
      <c r="D109" s="1274"/>
      <c r="E109" s="1275">
        <f>F109+I109+L109</f>
        <v>1937171.8458830002</v>
      </c>
      <c r="F109" s="1336">
        <f>1356884.374032+15074+352681-6143.397308+19245.629-1336.875703</f>
        <v>1736404.7300210001</v>
      </c>
      <c r="G109" s="1271"/>
      <c r="H109" s="1271"/>
      <c r="I109" s="1271">
        <v>179265.12734599999</v>
      </c>
      <c r="J109" s="1271"/>
      <c r="K109" s="1271"/>
      <c r="L109" s="1271">
        <v>21501.988516000001</v>
      </c>
      <c r="M109" s="1275"/>
      <c r="N109" s="1271"/>
      <c r="O109" s="1275"/>
      <c r="P109" s="1275"/>
      <c r="Q109" s="1287"/>
    </row>
    <row r="110" spans="1:18" s="117" customFormat="1" ht="15" hidden="1" customHeight="1">
      <c r="A110" s="1100" t="s">
        <v>428</v>
      </c>
      <c r="B110" s="1288" t="s">
        <v>338</v>
      </c>
      <c r="C110" s="1289">
        <v>0</v>
      </c>
      <c r="D110" s="1290">
        <v>0</v>
      </c>
      <c r="E110" s="1264">
        <v>0</v>
      </c>
      <c r="F110" s="1291">
        <f>5214+25817</f>
        <v>31031</v>
      </c>
      <c r="G110" s="1292"/>
      <c r="H110" s="1292"/>
      <c r="I110" s="1264">
        <v>1815.826802</v>
      </c>
      <c r="J110" s="1264"/>
      <c r="K110" s="1292"/>
      <c r="L110" s="1289">
        <v>0</v>
      </c>
      <c r="M110" s="1264"/>
      <c r="N110" s="1292"/>
      <c r="O110" s="1293">
        <v>0</v>
      </c>
      <c r="P110" s="1293">
        <v>0</v>
      </c>
      <c r="Q110" s="350"/>
    </row>
    <row r="111" spans="1:18" s="117" customFormat="1" ht="15" hidden="1" customHeight="1">
      <c r="A111" s="270"/>
      <c r="B111" s="275"/>
      <c r="C111" s="518"/>
      <c r="D111" s="305"/>
      <c r="E111" s="273"/>
      <c r="F111" s="594"/>
      <c r="G111" s="205"/>
      <c r="H111" s="205"/>
      <c r="I111" s="273"/>
      <c r="J111" s="273"/>
      <c r="K111" s="205"/>
      <c r="L111" s="518"/>
      <c r="M111" s="273"/>
      <c r="N111" s="205"/>
      <c r="O111" s="279"/>
      <c r="P111" s="279"/>
      <c r="Q111" s="350"/>
    </row>
    <row r="112" spans="1:18" ht="15" hidden="1" customHeight="1">
      <c r="A112" s="270" t="s">
        <v>80</v>
      </c>
      <c r="B112" s="271" t="s">
        <v>333</v>
      </c>
      <c r="C112" s="518">
        <f>+C113+C114</f>
        <v>0</v>
      </c>
      <c r="D112" s="305">
        <f>+D113+D114</f>
        <v>0</v>
      </c>
      <c r="E112" s="273">
        <f>F112+I112+L112</f>
        <v>5202830.0485070003</v>
      </c>
      <c r="F112" s="205">
        <f>+F113+F114</f>
        <v>4169359.5692720003</v>
      </c>
      <c r="G112" s="205">
        <f t="shared" ref="G112:M112" si="18">+G113+G114</f>
        <v>0</v>
      </c>
      <c r="H112" s="205">
        <f t="shared" si="18"/>
        <v>0</v>
      </c>
      <c r="I112" s="273">
        <f>+I113+I114</f>
        <v>1033470.479235</v>
      </c>
      <c r="J112" s="273">
        <f t="shared" si="18"/>
        <v>0</v>
      </c>
      <c r="K112" s="205">
        <f t="shared" si="18"/>
        <v>0</v>
      </c>
      <c r="L112" s="518">
        <f t="shared" si="18"/>
        <v>0</v>
      </c>
      <c r="M112" s="273">
        <f t="shared" si="18"/>
        <v>0</v>
      </c>
      <c r="N112" s="205"/>
      <c r="O112" s="279">
        <v>0</v>
      </c>
      <c r="P112" s="279">
        <v>0</v>
      </c>
      <c r="Q112" s="303" t="e">
        <f>+E112/"#REF!*100"</f>
        <v>#VALUE!</v>
      </c>
    </row>
    <row r="113" spans="1:20" ht="15" hidden="1" customHeight="1">
      <c r="A113" s="304">
        <v>1</v>
      </c>
      <c r="B113" s="281" t="s">
        <v>334</v>
      </c>
      <c r="C113" s="518">
        <v>0</v>
      </c>
      <c r="D113" s="305">
        <v>0</v>
      </c>
      <c r="E113" s="219">
        <f>F113+I113+L113</f>
        <v>3379385.2131139999</v>
      </c>
      <c r="F113" s="213">
        <v>2795442.0380000002</v>
      </c>
      <c r="G113" s="213"/>
      <c r="H113" s="213"/>
      <c r="I113" s="218">
        <v>583943.17511399998</v>
      </c>
      <c r="J113" s="219"/>
      <c r="K113" s="213"/>
      <c r="L113" s="518">
        <v>0</v>
      </c>
      <c r="M113" s="219"/>
      <c r="N113" s="213"/>
      <c r="O113" s="279">
        <v>0</v>
      </c>
      <c r="P113" s="279">
        <v>0</v>
      </c>
      <c r="Q113" s="303" t="e">
        <f>+E113/"#REF!*100"</f>
        <v>#VALUE!</v>
      </c>
    </row>
    <row r="114" spans="1:20" ht="15.75" hidden="1" customHeight="1">
      <c r="A114" s="304">
        <v>2</v>
      </c>
      <c r="B114" s="281" t="s">
        <v>335</v>
      </c>
      <c r="C114" s="518">
        <f>+C115+C116</f>
        <v>0</v>
      </c>
      <c r="D114" s="305">
        <f>+D115+D116</f>
        <v>0</v>
      </c>
      <c r="E114" s="219">
        <f>F114+I114+L114</f>
        <v>1823444.8353929999</v>
      </c>
      <c r="F114" s="213">
        <f>+F115+F116</f>
        <v>1373917.5312719999</v>
      </c>
      <c r="G114" s="213"/>
      <c r="H114" s="213"/>
      <c r="I114" s="213">
        <f>+I115+I116</f>
        <v>449527.30412099999</v>
      </c>
      <c r="J114" s="219"/>
      <c r="K114" s="213"/>
      <c r="L114" s="518">
        <f>+L115+L116</f>
        <v>0</v>
      </c>
      <c r="M114" s="219"/>
      <c r="N114" s="213"/>
      <c r="O114" s="279">
        <v>0</v>
      </c>
      <c r="P114" s="279">
        <v>0</v>
      </c>
      <c r="Q114" s="303"/>
    </row>
    <row r="115" spans="1:20" ht="15.75" hidden="1" customHeight="1">
      <c r="A115" s="304" t="s">
        <v>291</v>
      </c>
      <c r="B115" s="281" t="s">
        <v>336</v>
      </c>
      <c r="C115" s="518">
        <v>0</v>
      </c>
      <c r="D115" s="305">
        <v>0</v>
      </c>
      <c r="E115" s="219">
        <f>F115+I115+L115</f>
        <v>1823444.8353929999</v>
      </c>
      <c r="F115" s="213">
        <v>1373917.5312719999</v>
      </c>
      <c r="G115" s="213"/>
      <c r="H115" s="213"/>
      <c r="I115" s="218">
        <v>449527.30412099999</v>
      </c>
      <c r="J115" s="219"/>
      <c r="K115" s="213"/>
      <c r="L115" s="518">
        <v>0</v>
      </c>
      <c r="M115" s="219"/>
      <c r="N115" s="213"/>
      <c r="O115" s="279">
        <v>0</v>
      </c>
      <c r="P115" s="279">
        <v>0</v>
      </c>
      <c r="Q115" s="306"/>
    </row>
    <row r="116" spans="1:20" ht="14.25" hidden="1" customHeight="1">
      <c r="A116" s="304" t="s">
        <v>293</v>
      </c>
      <c r="B116" s="281" t="s">
        <v>337</v>
      </c>
      <c r="C116" s="518">
        <v>0</v>
      </c>
      <c r="D116" s="305">
        <v>0</v>
      </c>
      <c r="E116" s="305">
        <v>0</v>
      </c>
      <c r="F116" s="305">
        <v>0</v>
      </c>
      <c r="G116" s="305"/>
      <c r="H116" s="305"/>
      <c r="I116" s="305">
        <v>0</v>
      </c>
      <c r="J116" s="219"/>
      <c r="K116" s="213"/>
      <c r="L116" s="518">
        <v>0</v>
      </c>
      <c r="M116" s="219"/>
      <c r="N116" s="213"/>
      <c r="O116" s="279">
        <v>0</v>
      </c>
      <c r="P116" s="279">
        <v>0</v>
      </c>
      <c r="Q116" s="307"/>
      <c r="S116" s="103"/>
    </row>
    <row r="117" spans="1:20" s="119" customFormat="1" ht="14.25" hidden="1" customHeight="1">
      <c r="Q117" s="308"/>
    </row>
    <row r="118" spans="1:20" s="126" customFormat="1" ht="17.25" hidden="1" customHeight="1">
      <c r="A118" s="281"/>
      <c r="B118" s="270" t="s">
        <v>339</v>
      </c>
      <c r="C118" s="517">
        <f>+C11+C115</f>
        <v>7211277</v>
      </c>
      <c r="D118" s="276">
        <f>+D11+D112</f>
        <v>7614235</v>
      </c>
      <c r="E118" s="273">
        <f>+F118+I118+L118</f>
        <v>16564755.349518999</v>
      </c>
      <c r="F118" s="205">
        <f>F11+F112+F110</f>
        <v>10419075.363131</v>
      </c>
      <c r="G118" s="205">
        <f>+G112+G11</f>
        <v>0</v>
      </c>
      <c r="H118" s="205">
        <f>+H112+H11</f>
        <v>0</v>
      </c>
      <c r="I118" s="205">
        <f>I11+I112+I110</f>
        <v>4987347.1970929997</v>
      </c>
      <c r="J118" s="205">
        <f>+J112+J11</f>
        <v>0</v>
      </c>
      <c r="K118" s="205">
        <f>+K112+K11</f>
        <v>0</v>
      </c>
      <c r="L118" s="205">
        <f>L11+L112+L110</f>
        <v>1158332.789295</v>
      </c>
      <c r="M118" s="273"/>
      <c r="N118" s="205"/>
      <c r="O118" s="273">
        <f>E118/C118*100</f>
        <v>229.7062690771551</v>
      </c>
      <c r="P118" s="273">
        <f>E118/D118*100</f>
        <v>217.54983067266772</v>
      </c>
      <c r="Q118" s="997"/>
      <c r="S118" s="309"/>
    </row>
    <row r="119" spans="1:20" s="126" customFormat="1" ht="16.5" customHeight="1">
      <c r="A119" s="310"/>
      <c r="B119" s="311"/>
      <c r="C119" s="312"/>
      <c r="D119" s="313"/>
      <c r="E119" s="312"/>
      <c r="F119" s="314"/>
      <c r="G119" s="314"/>
      <c r="H119" s="314"/>
      <c r="I119" s="314"/>
      <c r="J119" s="314"/>
      <c r="K119" s="314"/>
      <c r="L119" s="314"/>
      <c r="M119" s="314"/>
      <c r="N119" s="314"/>
      <c r="O119" s="312"/>
      <c r="P119" s="312"/>
      <c r="Q119" s="997"/>
    </row>
    <row r="120" spans="1:20" s="126" customFormat="1" ht="16.5" hidden="1">
      <c r="A120" s="315"/>
      <c r="B120" s="316" t="s">
        <v>984</v>
      </c>
      <c r="C120" s="1681" t="s">
        <v>985</v>
      </c>
      <c r="D120" s="1681"/>
      <c r="E120" s="1681"/>
      <c r="F120" s="1681"/>
      <c r="G120" s="317"/>
      <c r="H120" s="399"/>
      <c r="I120" s="1682" t="s">
        <v>985</v>
      </c>
      <c r="J120" s="1682"/>
      <c r="K120" s="1682"/>
      <c r="L120" s="1682"/>
      <c r="M120" s="1682"/>
      <c r="N120" s="1682"/>
      <c r="O120" s="1682"/>
      <c r="P120" s="1682"/>
      <c r="Q120" s="997"/>
    </row>
    <row r="121" spans="1:20" s="126" customFormat="1" ht="16.5" hidden="1">
      <c r="A121" s="315"/>
      <c r="B121" s="318" t="s">
        <v>340</v>
      </c>
      <c r="C121" s="1675" t="s">
        <v>239</v>
      </c>
      <c r="D121" s="1675"/>
      <c r="E121" s="1675"/>
      <c r="F121" s="1675"/>
      <c r="G121" s="317"/>
      <c r="H121" s="317"/>
      <c r="I121" s="1676" t="s">
        <v>85</v>
      </c>
      <c r="J121" s="1676"/>
      <c r="K121" s="1676"/>
      <c r="L121" s="1676"/>
      <c r="M121" s="1676"/>
      <c r="N121" s="1676"/>
      <c r="O121" s="1676"/>
      <c r="P121" s="1676"/>
      <c r="Q121" s="997"/>
    </row>
    <row r="122" spans="1:20" s="126" customFormat="1" ht="16.5" hidden="1">
      <c r="A122" s="315"/>
      <c r="B122" s="318"/>
      <c r="C122" s="319"/>
      <c r="D122" s="320"/>
      <c r="E122" s="319"/>
      <c r="F122" s="472"/>
      <c r="G122" s="399"/>
      <c r="H122" s="399"/>
      <c r="I122" s="1676" t="s">
        <v>86</v>
      </c>
      <c r="J122" s="1676"/>
      <c r="K122" s="1676"/>
      <c r="L122" s="1676"/>
      <c r="M122" s="1676"/>
      <c r="N122" s="1676"/>
      <c r="O122" s="1676"/>
      <c r="P122" s="1676"/>
      <c r="Q122" s="997"/>
      <c r="R122" s="926">
        <f>+'TH CHI_62_342_BTC'!E108</f>
        <v>16564755.349519003</v>
      </c>
      <c r="S122" s="927" t="s">
        <v>2723</v>
      </c>
    </row>
    <row r="123" spans="1:20" s="126" customFormat="1" ht="22.5" hidden="1" customHeight="1">
      <c r="A123" s="310"/>
      <c r="B123" s="311"/>
      <c r="C123" s="312"/>
      <c r="D123" s="313"/>
      <c r="E123" s="472">
        <v>16231065.309237</v>
      </c>
      <c r="F123" s="534">
        <v>10085385.322849</v>
      </c>
      <c r="G123" s="314"/>
      <c r="H123" s="399"/>
      <c r="I123" s="314">
        <v>4987347.1970929997</v>
      </c>
      <c r="J123" s="314"/>
      <c r="K123" s="314"/>
      <c r="L123" s="314"/>
      <c r="M123" s="314"/>
      <c r="N123" s="314"/>
      <c r="O123" s="312"/>
      <c r="P123" s="312"/>
      <c r="Q123" s="997"/>
      <c r="R123" s="309">
        <f>+E118-R122</f>
        <v>0</v>
      </c>
    </row>
    <row r="124" spans="1:20" ht="16.5" hidden="1">
      <c r="B124" s="515"/>
      <c r="C124" s="325"/>
      <c r="D124" s="321"/>
      <c r="E124" s="572">
        <f>+E118-E123</f>
        <v>333690.04028199986</v>
      </c>
      <c r="F124" s="572">
        <f>+F123-F118</f>
        <v>-333690.04028199986</v>
      </c>
      <c r="G124" s="577"/>
      <c r="H124" s="578"/>
      <c r="I124" s="572">
        <f>+I118-I123</f>
        <v>0</v>
      </c>
      <c r="J124" s="997"/>
      <c r="K124" s="324"/>
      <c r="L124" s="448">
        <v>1158332.789295</v>
      </c>
      <c r="M124" s="997"/>
      <c r="N124" s="324"/>
      <c r="O124" s="997"/>
      <c r="P124" s="997"/>
      <c r="Q124" s="998"/>
      <c r="R124" s="103"/>
      <c r="T124" s="506"/>
    </row>
    <row r="125" spans="1:20">
      <c r="B125" s="999"/>
      <c r="C125" s="324"/>
      <c r="D125" s="998"/>
      <c r="E125" s="103"/>
      <c r="F125" s="509"/>
      <c r="G125" s="325"/>
      <c r="H125" s="325"/>
      <c r="I125" s="131"/>
      <c r="J125" s="999"/>
      <c r="K125" s="326"/>
      <c r="L125" s="572">
        <f>+L118-L124</f>
        <v>0</v>
      </c>
      <c r="M125" s="999"/>
      <c r="N125" s="326"/>
      <c r="O125" s="999"/>
      <c r="P125" s="999"/>
    </row>
    <row r="126" spans="1:20" ht="15" customHeight="1">
      <c r="E126" s="125"/>
      <c r="F126" s="327"/>
      <c r="G126" s="327"/>
      <c r="H126" s="327"/>
      <c r="I126" s="998"/>
      <c r="J126" s="998"/>
      <c r="K126" s="328"/>
      <c r="L126" s="998"/>
      <c r="M126" s="998"/>
      <c r="N126" s="328"/>
      <c r="O126" s="998"/>
      <c r="P126" s="998"/>
    </row>
    <row r="127" spans="1:20">
      <c r="E127" s="329"/>
      <c r="F127" s="327"/>
      <c r="I127" s="506"/>
      <c r="L127" s="103"/>
    </row>
    <row r="128" spans="1:20">
      <c r="E128" s="125"/>
      <c r="F128" s="330"/>
      <c r="I128" s="103"/>
      <c r="L128" s="103"/>
      <c r="R128" s="103"/>
    </row>
    <row r="129" spans="2:12">
      <c r="E129" s="103"/>
      <c r="I129" s="103"/>
      <c r="K129" s="330"/>
      <c r="L129" s="103"/>
    </row>
    <row r="130" spans="2:12">
      <c r="F130" s="330"/>
      <c r="I130" s="103"/>
    </row>
    <row r="131" spans="2:12">
      <c r="E131" s="103"/>
      <c r="F131" s="330"/>
    </row>
    <row r="132" spans="2:12">
      <c r="F132" s="330"/>
      <c r="I132" s="103"/>
    </row>
    <row r="133" spans="2:12">
      <c r="F133" s="330"/>
    </row>
    <row r="137" spans="2:12">
      <c r="B137" s="103"/>
    </row>
  </sheetData>
  <sheetProtection selectLockedCells="1" selectUnlockedCells="1"/>
  <mergeCells count="9">
    <mergeCell ref="E1:P1"/>
    <mergeCell ref="C121:F121"/>
    <mergeCell ref="I121:P121"/>
    <mergeCell ref="I122:P122"/>
    <mergeCell ref="C120:F120"/>
    <mergeCell ref="I120:P120"/>
    <mergeCell ref="A4:P4"/>
    <mergeCell ref="A5:P5"/>
    <mergeCell ref="E7:P7"/>
  </mergeCells>
  <printOptions horizontalCentered="1"/>
  <pageMargins left="0.19685039370078741" right="0.19685039370078741" top="0.59055118110236227" bottom="0.59055118110236227" header="0.51181102362204722" footer="0.23622047244094491"/>
  <pageSetup paperSize="9" firstPageNumber="0" orientation="portrait" r:id="rId1"/>
  <headerFooter differentFirst="1" alignWithMargins="0">
    <oddFooter>&amp;C&amp;"Times New Roman,Regular"&amp;12&amp;P</oddFooter>
  </headerFooter>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V107"/>
  <sheetViews>
    <sheetView topLeftCell="A61" zoomScale="70" zoomScaleNormal="70" workbookViewId="0">
      <selection activeCell="Y89" sqref="Y89"/>
    </sheetView>
  </sheetViews>
  <sheetFormatPr defaultColWidth="46.7109375" defaultRowHeight="15.75"/>
  <cols>
    <col min="1" max="1" width="5.140625" style="102" customWidth="1"/>
    <col min="2" max="2" width="48.5703125" style="102" customWidth="1"/>
    <col min="3" max="3" width="14.140625" style="117" hidden="1" customWidth="1"/>
    <col min="4" max="4" width="11.140625" style="134" customWidth="1"/>
    <col min="5" max="5" width="10.42578125" style="134" customWidth="1"/>
    <col min="6" max="6" width="9.85546875" style="134" customWidth="1"/>
    <col min="7" max="7" width="14" style="102" customWidth="1"/>
    <col min="8" max="8" width="12.7109375" style="117" customWidth="1"/>
    <col min="9" max="9" width="11.7109375" style="117" hidden="1" customWidth="1"/>
    <col min="10" max="10" width="15.5703125" style="117" hidden="1" customWidth="1"/>
    <col min="11" max="11" width="13.140625" style="102" customWidth="1"/>
    <col min="12" max="12" width="10.7109375" style="102" hidden="1" customWidth="1"/>
    <col min="13" max="13" width="12.42578125" style="117" hidden="1" customWidth="1"/>
    <col min="14" max="14" width="14.28515625" style="102" hidden="1" customWidth="1"/>
    <col min="15" max="15" width="10" style="102" hidden="1" customWidth="1"/>
    <col min="16" max="16" width="12.85546875" style="117" hidden="1" customWidth="1"/>
    <col min="17" max="17" width="10.42578125" style="102" hidden="1" customWidth="1"/>
    <col min="18" max="18" width="7.42578125" style="102" customWidth="1"/>
    <col min="19" max="19" width="7.7109375" style="102" customWidth="1"/>
    <col min="20" max="20" width="7.5703125" style="102" customWidth="1"/>
    <col min="21" max="21" width="12.42578125" style="102" customWidth="1"/>
    <col min="22" max="22" width="16.140625" style="102" hidden="1" customWidth="1"/>
    <col min="23" max="256" width="9.140625" style="102" customWidth="1"/>
    <col min="257" max="257" width="5.42578125" style="102" customWidth="1"/>
    <col min="258" max="16384" width="46.7109375" style="102"/>
  </cols>
  <sheetData>
    <row r="1" spans="1:22" ht="29.25" customHeight="1">
      <c r="B1" s="118"/>
      <c r="G1" s="1728" t="s">
        <v>2873</v>
      </c>
      <c r="H1" s="1728"/>
      <c r="I1" s="1728"/>
      <c r="J1" s="1728"/>
      <c r="K1" s="1728"/>
      <c r="L1" s="1728"/>
      <c r="M1" s="1728"/>
      <c r="N1" s="1728"/>
      <c r="O1" s="1728"/>
      <c r="P1" s="1728"/>
      <c r="Q1" s="1728"/>
      <c r="R1" s="1728"/>
      <c r="S1" s="1728"/>
      <c r="T1" s="1728"/>
    </row>
    <row r="2" spans="1:22" ht="45" customHeight="1">
      <c r="A2" s="1716" t="s">
        <v>2874</v>
      </c>
      <c r="B2" s="1716"/>
      <c r="C2" s="1716"/>
      <c r="D2" s="1716"/>
      <c r="E2" s="1716"/>
      <c r="F2" s="1716"/>
      <c r="G2" s="1716"/>
      <c r="H2" s="1716"/>
      <c r="I2" s="1716"/>
      <c r="J2" s="1716"/>
      <c r="K2" s="1716"/>
      <c r="L2" s="1716"/>
      <c r="M2" s="1716"/>
      <c r="N2" s="1716"/>
      <c r="O2" s="1716"/>
      <c r="P2" s="1716"/>
      <c r="Q2" s="1716"/>
      <c r="R2" s="1716"/>
      <c r="S2" s="1716"/>
      <c r="T2" s="1716"/>
    </row>
    <row r="3" spans="1:22" ht="26.25" customHeight="1">
      <c r="A3" s="1723" t="s">
        <v>2875</v>
      </c>
      <c r="B3" s="1723"/>
      <c r="C3" s="1723"/>
      <c r="D3" s="1723"/>
      <c r="E3" s="1723"/>
      <c r="F3" s="1723"/>
      <c r="G3" s="1723"/>
      <c r="H3" s="1723"/>
      <c r="I3" s="1723"/>
      <c r="J3" s="1723"/>
      <c r="K3" s="1723"/>
      <c r="L3" s="1723"/>
      <c r="M3" s="1723"/>
      <c r="N3" s="1723"/>
      <c r="O3" s="1723"/>
      <c r="P3" s="1723"/>
      <c r="Q3" s="1723"/>
      <c r="R3" s="1723"/>
      <c r="S3" s="1723"/>
      <c r="T3" s="1723"/>
    </row>
    <row r="4" spans="1:22" s="117" customFormat="1" ht="15.75" customHeight="1">
      <c r="B4" s="105"/>
      <c r="C4" s="516"/>
      <c r="D4" s="255"/>
      <c r="E4" s="255"/>
      <c r="F4" s="255"/>
      <c r="G4" s="256"/>
      <c r="H4" s="507"/>
      <c r="I4" s="257"/>
      <c r="J4" s="257"/>
      <c r="K4" s="1729" t="s">
        <v>44</v>
      </c>
      <c r="L4" s="1729"/>
      <c r="M4" s="1729"/>
      <c r="N4" s="1729"/>
      <c r="O4" s="1729"/>
      <c r="P4" s="1729"/>
      <c r="Q4" s="1729"/>
      <c r="R4" s="1729"/>
      <c r="S4" s="1729"/>
      <c r="T4" s="1729"/>
    </row>
    <row r="5" spans="1:22" ht="21" customHeight="1">
      <c r="A5" s="259"/>
      <c r="B5" s="260"/>
      <c r="C5" s="1030" t="s">
        <v>939</v>
      </c>
      <c r="D5" s="1730" t="s">
        <v>1011</v>
      </c>
      <c r="E5" s="1733" t="s">
        <v>341</v>
      </c>
      <c r="F5" s="1734"/>
      <c r="G5" s="1735" t="s">
        <v>2854</v>
      </c>
      <c r="H5" s="1737" t="s">
        <v>341</v>
      </c>
      <c r="I5" s="1738"/>
      <c r="J5" s="1738"/>
      <c r="K5" s="1739"/>
      <c r="L5" s="1056"/>
      <c r="M5" s="1056"/>
      <c r="N5" s="1056"/>
      <c r="O5" s="1057"/>
      <c r="P5" s="1057"/>
      <c r="Q5" s="1076"/>
      <c r="R5" s="1735" t="s">
        <v>544</v>
      </c>
      <c r="S5" s="1735"/>
      <c r="T5" s="1735"/>
    </row>
    <row r="6" spans="1:22" ht="45" customHeight="1">
      <c r="A6" s="261" t="s">
        <v>45</v>
      </c>
      <c r="B6" s="1121" t="s">
        <v>355</v>
      </c>
      <c r="C6" s="109" t="s">
        <v>101</v>
      </c>
      <c r="D6" s="1731"/>
      <c r="E6" s="1735" t="s">
        <v>2864</v>
      </c>
      <c r="F6" s="1735" t="s">
        <v>2866</v>
      </c>
      <c r="G6" s="1736"/>
      <c r="H6" s="1724" t="s">
        <v>2864</v>
      </c>
      <c r="I6" s="1109"/>
      <c r="J6" s="1109"/>
      <c r="K6" s="1724" t="s">
        <v>2865</v>
      </c>
      <c r="L6" s="1062"/>
      <c r="M6" s="1062"/>
      <c r="N6" s="1063"/>
      <c r="O6" s="1122"/>
      <c r="P6" s="1122"/>
      <c r="Q6" s="1077" t="s">
        <v>101</v>
      </c>
      <c r="R6" s="1720" t="s">
        <v>2867</v>
      </c>
      <c r="S6" s="1720" t="s">
        <v>2864</v>
      </c>
      <c r="T6" s="1719" t="s">
        <v>2866</v>
      </c>
    </row>
    <row r="7" spans="1:22" ht="28.5" customHeight="1">
      <c r="A7" s="265"/>
      <c r="B7" s="266"/>
      <c r="C7" s="111" t="s">
        <v>102</v>
      </c>
      <c r="D7" s="1732"/>
      <c r="E7" s="1736"/>
      <c r="F7" s="1736"/>
      <c r="G7" s="1736"/>
      <c r="H7" s="1725"/>
      <c r="I7" s="1110" t="s">
        <v>974</v>
      </c>
      <c r="J7" s="1110" t="s">
        <v>975</v>
      </c>
      <c r="K7" s="1725"/>
      <c r="L7" s="1058" t="s">
        <v>974</v>
      </c>
      <c r="M7" s="1058" t="s">
        <v>976</v>
      </c>
      <c r="N7" s="1058" t="s">
        <v>245</v>
      </c>
      <c r="O7" s="1058" t="s">
        <v>974</v>
      </c>
      <c r="P7" s="1058" t="s">
        <v>976</v>
      </c>
      <c r="Q7" s="1077" t="s">
        <v>102</v>
      </c>
      <c r="R7" s="1726"/>
      <c r="S7" s="1726"/>
      <c r="T7" s="1727"/>
    </row>
    <row r="8" spans="1:22" ht="16.5" customHeight="1">
      <c r="A8" s="1068" t="s">
        <v>57</v>
      </c>
      <c r="B8" s="268" t="s">
        <v>80</v>
      </c>
      <c r="C8" s="268" t="s">
        <v>104</v>
      </c>
      <c r="D8" s="267" t="s">
        <v>2868</v>
      </c>
      <c r="E8" s="267">
        <v>2</v>
      </c>
      <c r="F8" s="267">
        <v>3</v>
      </c>
      <c r="G8" s="268" t="s">
        <v>2869</v>
      </c>
      <c r="H8" s="268" t="s">
        <v>359</v>
      </c>
      <c r="I8" s="268"/>
      <c r="J8" s="268"/>
      <c r="K8" s="268" t="s">
        <v>107</v>
      </c>
      <c r="L8" s="268"/>
      <c r="M8" s="268"/>
      <c r="N8" s="268" t="s">
        <v>250</v>
      </c>
      <c r="O8" s="268"/>
      <c r="P8" s="268"/>
      <c r="Q8" s="1078" t="s">
        <v>251</v>
      </c>
      <c r="R8" s="1089" t="s">
        <v>2870</v>
      </c>
      <c r="S8" s="1090" t="s">
        <v>2871</v>
      </c>
      <c r="T8" s="1094" t="s">
        <v>2872</v>
      </c>
      <c r="V8" s="103"/>
    </row>
    <row r="9" spans="1:22" ht="16.5" customHeight="1">
      <c r="A9" s="265"/>
      <c r="B9" s="1095" t="s">
        <v>2853</v>
      </c>
      <c r="C9" s="1070">
        <f>+C10+C56+C79</f>
        <v>9160828</v>
      </c>
      <c r="D9" s="1108">
        <f>+D10+D56+D79</f>
        <v>9418495</v>
      </c>
      <c r="E9" s="1108">
        <f t="shared" ref="E9:F9" si="0">+E10+E56+E79</f>
        <v>5894166</v>
      </c>
      <c r="F9" s="1108">
        <f t="shared" si="0"/>
        <v>3524329</v>
      </c>
      <c r="G9" s="1071">
        <f>+G10+G56+G79</f>
        <v>11329078.47421</v>
      </c>
      <c r="H9" s="1071">
        <f>+H10+H56+H79</f>
        <v>6218684.7938590003</v>
      </c>
      <c r="I9" s="269"/>
      <c r="J9" s="269"/>
      <c r="K9" s="1071">
        <f>+K10+K56+K79</f>
        <v>5110393.6803509993</v>
      </c>
      <c r="L9" s="269"/>
      <c r="M9" s="269"/>
      <c r="N9" s="269"/>
      <c r="O9" s="269"/>
      <c r="P9" s="269"/>
      <c r="Q9" s="1079"/>
      <c r="R9" s="1053">
        <f>+G9/D9*100</f>
        <v>120.28544341967586</v>
      </c>
      <c r="S9" s="1053">
        <f>H9/E9*100</f>
        <v>105.50576271280789</v>
      </c>
      <c r="T9" s="1130">
        <f>K9/F9*100</f>
        <v>145.00330929237876</v>
      </c>
      <c r="V9" s="103">
        <v>11448522.99</v>
      </c>
    </row>
    <row r="10" spans="1:22" ht="17.25" customHeight="1">
      <c r="A10" s="270" t="s">
        <v>57</v>
      </c>
      <c r="B10" s="271" t="s">
        <v>2852</v>
      </c>
      <c r="C10" s="273">
        <f>C11+C37+C52+C53+C54+C55+C80</f>
        <v>7211277</v>
      </c>
      <c r="D10" s="466">
        <f>D11+D37+D52+D53+D54+D55+D80-1</f>
        <v>7614234</v>
      </c>
      <c r="E10" s="466">
        <f>E11+E37+E52+E53+E54+E55+E80</f>
        <v>4089905</v>
      </c>
      <c r="F10" s="466">
        <f>F11+F37+F52+F53+F54+F55+F80</f>
        <v>3524329</v>
      </c>
      <c r="G10" s="273">
        <f>+G11+G37+G52+G53+G54+G55</f>
        <v>8515965.8033209983</v>
      </c>
      <c r="H10" s="273">
        <f>+H11+H37+H52+H53+H54+H55</f>
        <v>3798217.7427130002</v>
      </c>
      <c r="I10" s="205"/>
      <c r="J10" s="205"/>
      <c r="K10" s="273">
        <f>+K11+K37+K52+K53+K54+K55</f>
        <v>4717748.0606079996</v>
      </c>
      <c r="L10" s="205"/>
      <c r="M10" s="205"/>
      <c r="N10" s="205">
        <f>+N11+N52+N37+N53+N79+N56</f>
        <v>1158332.789295</v>
      </c>
      <c r="O10" s="273"/>
      <c r="P10" s="205"/>
      <c r="Q10" s="1080">
        <f>G10/C10*100</f>
        <v>118.09234069528875</v>
      </c>
      <c r="R10" s="1053">
        <f>G10/D10*100</f>
        <v>111.84271199599327</v>
      </c>
      <c r="S10" s="1053">
        <f t="shared" ref="S10:S73" si="1">H10/E10*100</f>
        <v>92.868116562927511</v>
      </c>
      <c r="T10" s="1130">
        <f t="shared" ref="T10:T54" si="2">K10/F10*100</f>
        <v>133.86230572140113</v>
      </c>
      <c r="V10" s="103">
        <f>+V9-G9</f>
        <v>119444.51579000056</v>
      </c>
    </row>
    <row r="11" spans="1:22" ht="18" customHeight="1">
      <c r="A11" s="270" t="s">
        <v>108</v>
      </c>
      <c r="B11" s="275" t="s">
        <v>59</v>
      </c>
      <c r="C11" s="517">
        <f>+C12+C26+C27</f>
        <v>1656790</v>
      </c>
      <c r="D11" s="276">
        <v>1785790</v>
      </c>
      <c r="E11" s="276">
        <f>+E12</f>
        <v>1506210</v>
      </c>
      <c r="F11" s="276">
        <f>+F12</f>
        <v>279580</v>
      </c>
      <c r="G11" s="205">
        <f>+G12+G26+G27</f>
        <v>2273828.1467739996</v>
      </c>
      <c r="H11" s="205">
        <f>+H12+H26+H27</f>
        <v>1703453.2417049999</v>
      </c>
      <c r="I11" s="205"/>
      <c r="J11" s="205"/>
      <c r="K11" s="205">
        <f>+K12+K26+K27</f>
        <v>570374.90506899997</v>
      </c>
      <c r="L11" s="273"/>
      <c r="M11" s="205"/>
      <c r="N11" s="205">
        <f>+N12+N26+N27</f>
        <v>171636.24465800001</v>
      </c>
      <c r="O11" s="273"/>
      <c r="P11" s="205"/>
      <c r="Q11" s="1080">
        <f>G11/C11*100</f>
        <v>137.24299076974148</v>
      </c>
      <c r="R11" s="1053">
        <f>G11/D11*100</f>
        <v>127.32897747069923</v>
      </c>
      <c r="S11" s="1053">
        <f t="shared" si="1"/>
        <v>113.09533476108908</v>
      </c>
      <c r="T11" s="1130">
        <f t="shared" si="2"/>
        <v>204.01134024930249</v>
      </c>
      <c r="V11" s="102">
        <f>86597.69+32846.83</f>
        <v>119444.52</v>
      </c>
    </row>
    <row r="12" spans="1:22" ht="29.25">
      <c r="A12" s="270">
        <v>1</v>
      </c>
      <c r="B12" s="278" t="s">
        <v>492</v>
      </c>
      <c r="C12" s="402">
        <v>1656790</v>
      </c>
      <c r="D12" s="276">
        <v>1785790</v>
      </c>
      <c r="E12" s="276">
        <v>1506210</v>
      </c>
      <c r="F12" s="276">
        <v>279580</v>
      </c>
      <c r="G12" s="273">
        <f>H12+K12</f>
        <v>2171696.2130899997</v>
      </c>
      <c r="H12" s="205">
        <f>+H13+H14+H15+H16+H17+H18+H19+H20+H21+H22+H23+H24+H25</f>
        <v>1602044.563021</v>
      </c>
      <c r="I12" s="205">
        <f>+I13+I14+I15+I16+I17+I18+I19+I20+I21+I22+I23+I24+I25</f>
        <v>633340.47815500002</v>
      </c>
      <c r="J12" s="205">
        <f>+J13+J14+J15+J16+J17+J18+J19+J20+J21+J22+J23+J24+J25</f>
        <v>0</v>
      </c>
      <c r="K12" s="205">
        <f>+K13+K14+K15+K16+K17+K18+K19+K20+K21+K22+K23+K24+K25</f>
        <v>569651.65006899997</v>
      </c>
      <c r="L12" s="205">
        <f>+SUM(L13:L25)</f>
        <v>12853.423792</v>
      </c>
      <c r="M12" s="205">
        <f>+SUM(M13:M25)</f>
        <v>0</v>
      </c>
      <c r="N12" s="205">
        <f>+N13+N14+N15+N16+N17+N18+N19+N20+N21+N22+N23+N24+N25</f>
        <v>171636.24465800001</v>
      </c>
      <c r="O12" s="205">
        <f>+O13+O14+O15+O16+O17+O18+O19+O20+O21+O22+O23+O24+O25</f>
        <v>96203.247968999989</v>
      </c>
      <c r="P12" s="205">
        <f>+P13+P14+P15+P16+P17+P18+P19+P20+P21+P22+P23+P24+P25</f>
        <v>0</v>
      </c>
      <c r="Q12" s="1080">
        <f>G12/C12*100</f>
        <v>131.07854423855767</v>
      </c>
      <c r="R12" s="1053">
        <f>G12/D12*100</f>
        <v>121.60983167617691</v>
      </c>
      <c r="S12" s="1053">
        <f t="shared" si="1"/>
        <v>106.36262958159885</v>
      </c>
      <c r="T12" s="1130">
        <f t="shared" si="2"/>
        <v>203.7526468520638</v>
      </c>
      <c r="U12" s="931"/>
    </row>
    <row r="13" spans="1:22" ht="18" customHeight="1">
      <c r="A13" s="280" t="s">
        <v>254</v>
      </c>
      <c r="B13" s="281" t="s">
        <v>255</v>
      </c>
      <c r="C13" s="402">
        <v>0</v>
      </c>
      <c r="D13" s="279">
        <v>0</v>
      </c>
      <c r="E13" s="279">
        <v>0</v>
      </c>
      <c r="F13" s="279">
        <v>0</v>
      </c>
      <c r="G13" s="213">
        <f t="shared" ref="G13:G24" si="3">+H13+K13</f>
        <v>29253.509900000001</v>
      </c>
      <c r="H13" s="213">
        <v>29114.277900000001</v>
      </c>
      <c r="I13" s="213"/>
      <c r="J13" s="213"/>
      <c r="K13" s="1116">
        <f>139.232+N13</f>
        <v>139.232</v>
      </c>
      <c r="L13" s="219"/>
      <c r="M13" s="213"/>
      <c r="N13" s="279">
        <v>0</v>
      </c>
      <c r="O13" s="219"/>
      <c r="P13" s="213"/>
      <c r="Q13" s="1081">
        <v>0</v>
      </c>
      <c r="R13" s="1052">
        <v>0</v>
      </c>
      <c r="S13" s="1052">
        <v>0</v>
      </c>
      <c r="T13" s="1052">
        <v>0</v>
      </c>
    </row>
    <row r="14" spans="1:22" ht="18" customHeight="1">
      <c r="A14" s="280" t="s">
        <v>256</v>
      </c>
      <c r="B14" s="281" t="s">
        <v>257</v>
      </c>
      <c r="C14" s="402">
        <v>0</v>
      </c>
      <c r="D14" s="279">
        <v>0</v>
      </c>
      <c r="E14" s="279">
        <v>0</v>
      </c>
      <c r="F14" s="279">
        <v>0</v>
      </c>
      <c r="G14" s="213">
        <f t="shared" si="3"/>
        <v>11565.008900000001</v>
      </c>
      <c r="H14" s="213">
        <v>11511.0542</v>
      </c>
      <c r="I14" s="213"/>
      <c r="J14" s="213"/>
      <c r="K14" s="1116">
        <f>53.9547+N14</f>
        <v>53.954700000000003</v>
      </c>
      <c r="L14" s="219"/>
      <c r="M14" s="213"/>
      <c r="N14" s="279">
        <v>0</v>
      </c>
      <c r="O14" s="219"/>
      <c r="P14" s="213"/>
      <c r="Q14" s="1081">
        <v>0</v>
      </c>
      <c r="R14" s="1052">
        <v>0</v>
      </c>
      <c r="S14" s="1052">
        <v>0</v>
      </c>
      <c r="T14" s="1052">
        <v>0</v>
      </c>
    </row>
    <row r="15" spans="1:22" s="117" customFormat="1" ht="18" customHeight="1">
      <c r="A15" s="463" t="s">
        <v>258</v>
      </c>
      <c r="B15" s="217" t="s">
        <v>259</v>
      </c>
      <c r="C15" s="402">
        <v>0</v>
      </c>
      <c r="D15" s="402">
        <v>0</v>
      </c>
      <c r="E15" s="402">
        <v>0</v>
      </c>
      <c r="F15" s="279">
        <v>0</v>
      </c>
      <c r="G15" s="213">
        <f t="shared" si="3"/>
        <v>235167.633508</v>
      </c>
      <c r="H15" s="213">
        <f>112619.79232-I15</f>
        <v>71693.375520000001</v>
      </c>
      <c r="I15" s="213">
        <v>40926.416799999999</v>
      </c>
      <c r="J15" s="213"/>
      <c r="K15" s="213">
        <f>164617.396988-L15+N15</f>
        <v>163474.257988</v>
      </c>
      <c r="L15" s="213">
        <v>1143.1389999999999</v>
      </c>
      <c r="M15" s="213"/>
      <c r="N15" s="402">
        <f>120-O15</f>
        <v>0</v>
      </c>
      <c r="O15" s="213">
        <v>120</v>
      </c>
      <c r="P15" s="213"/>
      <c r="Q15" s="1082">
        <v>0</v>
      </c>
      <c r="R15" s="1048">
        <v>0</v>
      </c>
      <c r="S15" s="1052">
        <v>0</v>
      </c>
      <c r="T15" s="1052">
        <v>0</v>
      </c>
    </row>
    <row r="16" spans="1:22" s="117" customFormat="1" ht="18" customHeight="1">
      <c r="A16" s="463" t="s">
        <v>260</v>
      </c>
      <c r="B16" s="217" t="s">
        <v>261</v>
      </c>
      <c r="C16" s="402">
        <v>0</v>
      </c>
      <c r="D16" s="402">
        <v>0</v>
      </c>
      <c r="E16" s="402">
        <v>0</v>
      </c>
      <c r="F16" s="279">
        <v>0</v>
      </c>
      <c r="G16" s="213">
        <f t="shared" si="3"/>
        <v>643.31500000000005</v>
      </c>
      <c r="H16" s="213">
        <v>643.31500000000005</v>
      </c>
      <c r="I16" s="213"/>
      <c r="J16" s="213"/>
      <c r="K16" s="402">
        <f>0+N16</f>
        <v>0</v>
      </c>
      <c r="L16" s="213"/>
      <c r="M16" s="213"/>
      <c r="N16" s="402">
        <v>0</v>
      </c>
      <c r="O16" s="213"/>
      <c r="P16" s="213"/>
      <c r="Q16" s="1082">
        <v>0</v>
      </c>
      <c r="R16" s="1048">
        <v>0</v>
      </c>
      <c r="S16" s="1052">
        <v>0</v>
      </c>
      <c r="T16" s="1052">
        <v>0</v>
      </c>
    </row>
    <row r="17" spans="1:22" ht="18" customHeight="1">
      <c r="A17" s="280" t="s">
        <v>262</v>
      </c>
      <c r="B17" s="281" t="s">
        <v>263</v>
      </c>
      <c r="C17" s="402">
        <v>0</v>
      </c>
      <c r="D17" s="279">
        <v>0</v>
      </c>
      <c r="E17" s="279">
        <v>0</v>
      </c>
      <c r="F17" s="279">
        <v>0</v>
      </c>
      <c r="G17" s="213">
        <f t="shared" si="3"/>
        <v>128430.53434100001</v>
      </c>
      <c r="H17" s="213">
        <v>127927.791341</v>
      </c>
      <c r="I17" s="213"/>
      <c r="J17" s="213"/>
      <c r="K17" s="219">
        <f>228.647+N17</f>
        <v>502.74299999999999</v>
      </c>
      <c r="L17" s="219"/>
      <c r="M17" s="213"/>
      <c r="N17" s="532">
        <v>274.096</v>
      </c>
      <c r="O17" s="219"/>
      <c r="P17" s="213"/>
      <c r="Q17" s="1081">
        <v>0</v>
      </c>
      <c r="R17" s="1052">
        <v>0</v>
      </c>
      <c r="S17" s="1052">
        <v>0</v>
      </c>
      <c r="T17" s="1052">
        <v>0</v>
      </c>
    </row>
    <row r="18" spans="1:22" ht="18" customHeight="1">
      <c r="A18" s="280" t="s">
        <v>264</v>
      </c>
      <c r="B18" s="281" t="s">
        <v>265</v>
      </c>
      <c r="C18" s="402">
        <v>0</v>
      </c>
      <c r="D18" s="279">
        <v>0</v>
      </c>
      <c r="E18" s="279">
        <v>0</v>
      </c>
      <c r="F18" s="279">
        <v>0</v>
      </c>
      <c r="G18" s="213">
        <f t="shared" si="3"/>
        <v>62204.969066999998</v>
      </c>
      <c r="H18" s="213">
        <v>45495.248045</v>
      </c>
      <c r="I18" s="213"/>
      <c r="J18" s="213"/>
      <c r="K18" s="219">
        <f>15630.437022-L18+N18</f>
        <v>16709.721022000002</v>
      </c>
      <c r="L18" s="219">
        <v>925.65700000000004</v>
      </c>
      <c r="M18" s="213"/>
      <c r="N18" s="532">
        <f>3100.861-O18</f>
        <v>2004.9409999999998</v>
      </c>
      <c r="O18" s="219">
        <v>1095.92</v>
      </c>
      <c r="P18" s="213"/>
      <c r="Q18" s="1081">
        <v>0</v>
      </c>
      <c r="R18" s="1052">
        <v>0</v>
      </c>
      <c r="S18" s="1052">
        <v>0</v>
      </c>
      <c r="T18" s="1052">
        <v>0</v>
      </c>
    </row>
    <row r="19" spans="1:22" ht="18" customHeight="1">
      <c r="A19" s="280" t="s">
        <v>266</v>
      </c>
      <c r="B19" s="281" t="s">
        <v>267</v>
      </c>
      <c r="C19" s="402">
        <v>0</v>
      </c>
      <c r="D19" s="279">
        <v>0</v>
      </c>
      <c r="E19" s="279">
        <v>0</v>
      </c>
      <c r="F19" s="279">
        <v>0</v>
      </c>
      <c r="G19" s="213">
        <f t="shared" si="3"/>
        <v>21659.773572999999</v>
      </c>
      <c r="H19" s="213">
        <v>21659.773572999999</v>
      </c>
      <c r="I19" s="213"/>
      <c r="J19" s="213"/>
      <c r="K19" s="279">
        <f>0+N19</f>
        <v>0</v>
      </c>
      <c r="L19" s="219"/>
      <c r="M19" s="213"/>
      <c r="N19" s="279">
        <v>0</v>
      </c>
      <c r="O19" s="219"/>
      <c r="P19" s="213"/>
      <c r="Q19" s="1081">
        <v>0</v>
      </c>
      <c r="R19" s="1052">
        <v>0</v>
      </c>
      <c r="S19" s="1052">
        <v>0</v>
      </c>
      <c r="T19" s="1052">
        <v>0</v>
      </c>
    </row>
    <row r="20" spans="1:22" ht="18" customHeight="1">
      <c r="A20" s="280" t="s">
        <v>268</v>
      </c>
      <c r="B20" s="281" t="s">
        <v>269</v>
      </c>
      <c r="C20" s="402">
        <v>0</v>
      </c>
      <c r="D20" s="279">
        <v>0</v>
      </c>
      <c r="E20" s="279">
        <v>0</v>
      </c>
      <c r="F20" s="279">
        <v>0</v>
      </c>
      <c r="G20" s="213">
        <f t="shared" si="3"/>
        <v>833.39199999999994</v>
      </c>
      <c r="H20" s="1115">
        <v>239.852</v>
      </c>
      <c r="I20" s="213"/>
      <c r="J20" s="213"/>
      <c r="K20" s="219">
        <f>593.54+N20</f>
        <v>593.54</v>
      </c>
      <c r="L20" s="219"/>
      <c r="M20" s="213"/>
      <c r="N20" s="279">
        <v>0</v>
      </c>
      <c r="O20" s="219"/>
      <c r="P20" s="213"/>
      <c r="Q20" s="1081">
        <v>0</v>
      </c>
      <c r="R20" s="1052">
        <v>0</v>
      </c>
      <c r="S20" s="1052">
        <v>0</v>
      </c>
      <c r="T20" s="1052">
        <v>0</v>
      </c>
    </row>
    <row r="21" spans="1:22" ht="18" customHeight="1">
      <c r="A21" s="280" t="s">
        <v>270</v>
      </c>
      <c r="B21" s="281" t="s">
        <v>271</v>
      </c>
      <c r="C21" s="402">
        <v>0</v>
      </c>
      <c r="D21" s="279">
        <v>0</v>
      </c>
      <c r="E21" s="279">
        <v>0</v>
      </c>
      <c r="F21" s="279">
        <v>0</v>
      </c>
      <c r="G21" s="213">
        <f t="shared" si="3"/>
        <v>357.36599999999999</v>
      </c>
      <c r="H21" s="213">
        <f>459.89-I21</f>
        <v>319.89</v>
      </c>
      <c r="I21" s="213">
        <v>140</v>
      </c>
      <c r="J21" s="213"/>
      <c r="K21" s="532">
        <f>37.476+N21</f>
        <v>37.475999999999999</v>
      </c>
      <c r="L21" s="219"/>
      <c r="M21" s="213"/>
      <c r="N21" s="279">
        <v>0</v>
      </c>
      <c r="O21" s="219"/>
      <c r="P21" s="213"/>
      <c r="Q21" s="1081">
        <v>0</v>
      </c>
      <c r="R21" s="1052">
        <v>0</v>
      </c>
      <c r="S21" s="1052">
        <v>0</v>
      </c>
      <c r="T21" s="1052">
        <v>0</v>
      </c>
    </row>
    <row r="22" spans="1:22" ht="18" customHeight="1">
      <c r="A22" s="280" t="s">
        <v>272</v>
      </c>
      <c r="B22" s="281" t="s">
        <v>273</v>
      </c>
      <c r="C22" s="402">
        <v>0</v>
      </c>
      <c r="D22" s="279">
        <v>0</v>
      </c>
      <c r="E22" s="279">
        <v>0</v>
      </c>
      <c r="F22" s="279">
        <v>0</v>
      </c>
      <c r="G22" s="213">
        <f t="shared" si="3"/>
        <v>1112998.1705</v>
      </c>
      <c r="H22" s="213">
        <f>1392979.695074-I22</f>
        <v>825713.9312189999</v>
      </c>
      <c r="I22" s="213">
        <f>442844.620482+124421.143373</f>
        <v>567265.76385500003</v>
      </c>
      <c r="J22" s="213"/>
      <c r="K22" s="219">
        <f>208938.321045-L22+N22</f>
        <v>287284.23928099999</v>
      </c>
      <c r="L22" s="219">
        <v>9084.6277919999993</v>
      </c>
      <c r="M22" s="213"/>
      <c r="N22" s="219">
        <f>179967.657197-O22</f>
        <v>87430.546027999997</v>
      </c>
      <c r="O22" s="219">
        <v>92537.111168999996</v>
      </c>
      <c r="P22" s="213"/>
      <c r="Q22" s="1081">
        <v>0</v>
      </c>
      <c r="R22" s="1052">
        <v>0</v>
      </c>
      <c r="S22" s="1052">
        <v>0</v>
      </c>
      <c r="T22" s="1052">
        <v>0</v>
      </c>
    </row>
    <row r="23" spans="1:22" ht="18" customHeight="1">
      <c r="A23" s="280" t="s">
        <v>274</v>
      </c>
      <c r="B23" s="281" t="s">
        <v>275</v>
      </c>
      <c r="C23" s="402">
        <v>0</v>
      </c>
      <c r="D23" s="279">
        <v>0</v>
      </c>
      <c r="E23" s="279">
        <v>0</v>
      </c>
      <c r="F23" s="279">
        <v>0</v>
      </c>
      <c r="G23" s="213">
        <f t="shared" si="3"/>
        <v>337132.88014999998</v>
      </c>
      <c r="H23" s="213">
        <f>326102.309572-I23</f>
        <v>306008.59007199999</v>
      </c>
      <c r="I23" s="213">
        <v>20093.719499999999</v>
      </c>
      <c r="J23" s="213"/>
      <c r="K23" s="219">
        <f>18927.628448-L23+N23</f>
        <v>31124.290077999998</v>
      </c>
      <c r="L23" s="219">
        <v>1700</v>
      </c>
      <c r="M23" s="213"/>
      <c r="N23" s="219">
        <f>16346.87843-O23</f>
        <v>13896.661630000001</v>
      </c>
      <c r="O23" s="219">
        <v>2450.2168000000001</v>
      </c>
      <c r="P23" s="213"/>
      <c r="Q23" s="1081">
        <v>0</v>
      </c>
      <c r="R23" s="1052">
        <v>0</v>
      </c>
      <c r="S23" s="1052">
        <v>0</v>
      </c>
      <c r="T23" s="1052">
        <v>0</v>
      </c>
    </row>
    <row r="24" spans="1:22" ht="18" customHeight="1">
      <c r="A24" s="280" t="s">
        <v>276</v>
      </c>
      <c r="B24" s="281" t="s">
        <v>277</v>
      </c>
      <c r="C24" s="402">
        <v>0</v>
      </c>
      <c r="D24" s="279">
        <v>0</v>
      </c>
      <c r="E24" s="279">
        <v>0</v>
      </c>
      <c r="F24" s="279">
        <v>0</v>
      </c>
      <c r="G24" s="213">
        <f t="shared" si="3"/>
        <v>88245.41399999999</v>
      </c>
      <c r="H24" s="213">
        <f>23427.796-I24</f>
        <v>18513.217999999997</v>
      </c>
      <c r="I24" s="213">
        <v>4914.5780000000004</v>
      </c>
      <c r="J24" s="213"/>
      <c r="K24" s="532">
        <f>1702.196+N24</f>
        <v>69732.195999999996</v>
      </c>
      <c r="L24" s="279"/>
      <c r="M24" s="279"/>
      <c r="N24" s="532">
        <v>68030</v>
      </c>
      <c r="O24" s="219"/>
      <c r="P24" s="213"/>
      <c r="Q24" s="1081">
        <v>0</v>
      </c>
      <c r="R24" s="1052">
        <v>0</v>
      </c>
      <c r="S24" s="1052">
        <v>0</v>
      </c>
      <c r="T24" s="1052">
        <v>0</v>
      </c>
    </row>
    <row r="25" spans="1:22" ht="18" customHeight="1">
      <c r="A25" s="280" t="s">
        <v>278</v>
      </c>
      <c r="B25" s="281" t="s">
        <v>279</v>
      </c>
      <c r="C25" s="402">
        <v>0</v>
      </c>
      <c r="D25" s="279">
        <v>0</v>
      </c>
      <c r="E25" s="279">
        <v>0</v>
      </c>
      <c r="F25" s="279">
        <v>0</v>
      </c>
      <c r="G25" s="213">
        <f>H25+K25</f>
        <v>143204.246151</v>
      </c>
      <c r="H25" s="213">
        <v>143204.246151</v>
      </c>
      <c r="I25" s="213"/>
      <c r="J25" s="213"/>
      <c r="K25" s="279">
        <v>0</v>
      </c>
      <c r="L25" s="279"/>
      <c r="M25" s="279"/>
      <c r="N25" s="279">
        <v>0</v>
      </c>
      <c r="O25" s="219"/>
      <c r="P25" s="213"/>
      <c r="Q25" s="1081">
        <v>0</v>
      </c>
      <c r="R25" s="1052">
        <v>0</v>
      </c>
      <c r="S25" s="1052">
        <v>0</v>
      </c>
      <c r="T25" s="1052">
        <v>0</v>
      </c>
      <c r="U25" s="103"/>
    </row>
    <row r="26" spans="1:22" ht="33" customHeight="1">
      <c r="A26" s="270">
        <v>2</v>
      </c>
      <c r="B26" s="278" t="s">
        <v>280</v>
      </c>
      <c r="C26" s="402">
        <v>0</v>
      </c>
      <c r="D26" s="279">
        <v>0</v>
      </c>
      <c r="E26" s="279">
        <v>0</v>
      </c>
      <c r="F26" s="279">
        <v>0</v>
      </c>
      <c r="G26" s="273">
        <f>H26+K26</f>
        <v>32774.400000000001</v>
      </c>
      <c r="H26" s="205">
        <v>32774.400000000001</v>
      </c>
      <c r="I26" s="205"/>
      <c r="J26" s="205"/>
      <c r="K26" s="279">
        <v>0</v>
      </c>
      <c r="L26" s="279"/>
      <c r="M26" s="279"/>
      <c r="N26" s="279">
        <v>0</v>
      </c>
      <c r="O26" s="273"/>
      <c r="P26" s="205"/>
      <c r="Q26" s="1081">
        <v>0</v>
      </c>
      <c r="R26" s="1052">
        <v>0</v>
      </c>
      <c r="S26" s="1052">
        <v>0</v>
      </c>
      <c r="T26" s="1052">
        <v>0</v>
      </c>
    </row>
    <row r="27" spans="1:22" ht="18" customHeight="1">
      <c r="A27" s="270">
        <v>3</v>
      </c>
      <c r="B27" s="275" t="s">
        <v>281</v>
      </c>
      <c r="C27" s="402">
        <v>0</v>
      </c>
      <c r="D27" s="279">
        <v>0</v>
      </c>
      <c r="E27" s="279">
        <v>0</v>
      </c>
      <c r="F27" s="279">
        <v>0</v>
      </c>
      <c r="G27" s="279">
        <f>H27+K27</f>
        <v>69357.533684000009</v>
      </c>
      <c r="H27" s="402">
        <v>68634.278684000004</v>
      </c>
      <c r="I27" s="205"/>
      <c r="J27" s="205"/>
      <c r="K27" s="279">
        <v>723.255</v>
      </c>
      <c r="L27" s="279"/>
      <c r="M27" s="279"/>
      <c r="N27" s="279">
        <v>0</v>
      </c>
      <c r="O27" s="273"/>
      <c r="P27" s="205"/>
      <c r="Q27" s="1081">
        <v>0</v>
      </c>
      <c r="R27" s="1052">
        <v>0</v>
      </c>
      <c r="S27" s="1052">
        <v>0</v>
      </c>
      <c r="T27" s="1052">
        <v>0</v>
      </c>
    </row>
    <row r="28" spans="1:22" ht="18" hidden="1" customHeight="1">
      <c r="R28" s="1092"/>
      <c r="S28" s="1053" t="e">
        <f t="shared" si="1"/>
        <v>#DIV/0!</v>
      </c>
      <c r="T28" s="1091" t="e">
        <f t="shared" si="2"/>
        <v>#DIV/0!</v>
      </c>
    </row>
    <row r="29" spans="1:22" ht="18" hidden="1" customHeight="1">
      <c r="A29" s="270"/>
      <c r="B29" s="275"/>
      <c r="C29" s="402"/>
      <c r="D29" s="276"/>
      <c r="E29" s="276"/>
      <c r="F29" s="276"/>
      <c r="G29" s="205"/>
      <c r="H29" s="205"/>
      <c r="I29" s="205"/>
      <c r="J29" s="205"/>
      <c r="K29" s="273"/>
      <c r="L29" s="273"/>
      <c r="M29" s="205"/>
      <c r="N29" s="273"/>
      <c r="O29" s="273"/>
      <c r="P29" s="205"/>
      <c r="Q29" s="1080" t="e">
        <f t="shared" ref="Q29:Q47" si="4">G29/C29*100</f>
        <v>#DIV/0!</v>
      </c>
      <c r="R29" s="1053" t="e">
        <f t="shared" ref="R29:R51" si="5">G29/D29*100</f>
        <v>#DIV/0!</v>
      </c>
      <c r="S29" s="1053" t="e">
        <f t="shared" si="1"/>
        <v>#DIV/0!</v>
      </c>
      <c r="T29" s="1091" t="e">
        <f t="shared" si="2"/>
        <v>#DIV/0!</v>
      </c>
    </row>
    <row r="30" spans="1:22" ht="18" hidden="1" customHeight="1">
      <c r="A30" s="270"/>
      <c r="B30" s="275"/>
      <c r="C30" s="402"/>
      <c r="D30" s="276"/>
      <c r="E30" s="276"/>
      <c r="F30" s="276"/>
      <c r="G30" s="205"/>
      <c r="H30" s="205"/>
      <c r="I30" s="205"/>
      <c r="J30" s="205"/>
      <c r="K30" s="273"/>
      <c r="L30" s="273"/>
      <c r="M30" s="205"/>
      <c r="N30" s="273"/>
      <c r="O30" s="273"/>
      <c r="P30" s="205"/>
      <c r="Q30" s="1080" t="e">
        <f t="shared" si="4"/>
        <v>#DIV/0!</v>
      </c>
      <c r="R30" s="1053" t="e">
        <f t="shared" si="5"/>
        <v>#DIV/0!</v>
      </c>
      <c r="S30" s="1053" t="e">
        <f t="shared" si="1"/>
        <v>#DIV/0!</v>
      </c>
      <c r="T30" s="1091" t="e">
        <f t="shared" si="2"/>
        <v>#DIV/0!</v>
      </c>
    </row>
    <row r="31" spans="1:22" ht="15" hidden="1" customHeight="1">
      <c r="A31" s="281"/>
      <c r="B31" s="283" t="s">
        <v>282</v>
      </c>
      <c r="C31" s="402"/>
      <c r="D31" s="284"/>
      <c r="E31" s="284"/>
      <c r="F31" s="284"/>
      <c r="G31" s="285">
        <f>H31+K31+N31</f>
        <v>0</v>
      </c>
      <c r="H31" s="286"/>
      <c r="I31" s="286"/>
      <c r="J31" s="286"/>
      <c r="K31" s="285"/>
      <c r="L31" s="285">
        <f>L33</f>
        <v>0</v>
      </c>
      <c r="M31" s="286"/>
      <c r="N31" s="285"/>
      <c r="O31" s="285"/>
      <c r="P31" s="286"/>
      <c r="Q31" s="1080" t="e">
        <f t="shared" si="4"/>
        <v>#DIV/0!</v>
      </c>
      <c r="R31" s="1053" t="e">
        <f t="shared" si="5"/>
        <v>#DIV/0!</v>
      </c>
      <c r="S31" s="1053" t="e">
        <f t="shared" si="1"/>
        <v>#DIV/0!</v>
      </c>
      <c r="T31" s="1091" t="e">
        <f t="shared" si="2"/>
        <v>#DIV/0!</v>
      </c>
      <c r="V31" s="103"/>
    </row>
    <row r="32" spans="1:22" ht="15" hidden="1" customHeight="1">
      <c r="A32" s="281"/>
      <c r="B32" s="283" t="s">
        <v>283</v>
      </c>
      <c r="C32" s="402"/>
      <c r="D32" s="284"/>
      <c r="E32" s="284"/>
      <c r="F32" s="284"/>
      <c r="G32" s="285">
        <f>H32+K32+N32</f>
        <v>0</v>
      </c>
      <c r="H32" s="286"/>
      <c r="I32" s="286"/>
      <c r="J32" s="286"/>
      <c r="K32" s="285"/>
      <c r="L32" s="285"/>
      <c r="M32" s="286"/>
      <c r="N32" s="285"/>
      <c r="O32" s="285"/>
      <c r="P32" s="286"/>
      <c r="Q32" s="1080" t="e">
        <f t="shared" si="4"/>
        <v>#DIV/0!</v>
      </c>
      <c r="R32" s="1053" t="e">
        <f t="shared" si="5"/>
        <v>#DIV/0!</v>
      </c>
      <c r="S32" s="1053" t="e">
        <f t="shared" si="1"/>
        <v>#DIV/0!</v>
      </c>
      <c r="T32" s="1091" t="e">
        <f t="shared" si="2"/>
        <v>#DIV/0!</v>
      </c>
      <c r="V32" s="103"/>
    </row>
    <row r="33" spans="1:22" s="117" customFormat="1" ht="15" hidden="1" customHeight="1">
      <c r="A33" s="288">
        <v>1</v>
      </c>
      <c r="B33" s="281" t="s">
        <v>284</v>
      </c>
      <c r="C33" s="402"/>
      <c r="D33" s="289"/>
      <c r="E33" s="289"/>
      <c r="F33" s="289"/>
      <c r="G33" s="219">
        <f>H33+K33+N33</f>
        <v>0</v>
      </c>
      <c r="H33" s="213"/>
      <c r="I33" s="213"/>
      <c r="J33" s="213"/>
      <c r="K33" s="219"/>
      <c r="L33" s="219"/>
      <c r="M33" s="213"/>
      <c r="N33" s="219"/>
      <c r="O33" s="219"/>
      <c r="P33" s="213"/>
      <c r="Q33" s="1080" t="e">
        <f t="shared" si="4"/>
        <v>#DIV/0!</v>
      </c>
      <c r="R33" s="1053" t="e">
        <f t="shared" si="5"/>
        <v>#DIV/0!</v>
      </c>
      <c r="S33" s="1053" t="e">
        <f t="shared" si="1"/>
        <v>#DIV/0!</v>
      </c>
      <c r="T33" s="1091" t="e">
        <f t="shared" si="2"/>
        <v>#DIV/0!</v>
      </c>
    </row>
    <row r="34" spans="1:22" s="293" customFormat="1" ht="15" hidden="1" customHeight="1">
      <c r="A34" s="291"/>
      <c r="B34" s="283" t="s">
        <v>285</v>
      </c>
      <c r="C34" s="402"/>
      <c r="D34" s="284"/>
      <c r="E34" s="284"/>
      <c r="F34" s="284"/>
      <c r="G34" s="285">
        <f>H34+K34+N34</f>
        <v>0</v>
      </c>
      <c r="H34" s="286"/>
      <c r="I34" s="286"/>
      <c r="J34" s="286"/>
      <c r="K34" s="285"/>
      <c r="L34" s="285"/>
      <c r="M34" s="286"/>
      <c r="N34" s="285"/>
      <c r="O34" s="285"/>
      <c r="P34" s="286"/>
      <c r="Q34" s="1080" t="e">
        <f t="shared" si="4"/>
        <v>#DIV/0!</v>
      </c>
      <c r="R34" s="1053" t="e">
        <f t="shared" si="5"/>
        <v>#DIV/0!</v>
      </c>
      <c r="S34" s="1053" t="e">
        <f t="shared" si="1"/>
        <v>#DIV/0!</v>
      </c>
      <c r="T34" s="1091" t="e">
        <f t="shared" si="2"/>
        <v>#DIV/0!</v>
      </c>
      <c r="V34" s="294"/>
    </row>
    <row r="35" spans="1:22" s="293" customFormat="1" ht="15" hidden="1" customHeight="1">
      <c r="A35" s="291">
        <v>2</v>
      </c>
      <c r="B35" s="281" t="s">
        <v>286</v>
      </c>
      <c r="C35" s="402"/>
      <c r="D35" s="284"/>
      <c r="E35" s="284"/>
      <c r="F35" s="284"/>
      <c r="G35" s="285">
        <f>+H35</f>
        <v>0</v>
      </c>
      <c r="H35" s="286"/>
      <c r="I35" s="286"/>
      <c r="J35" s="286"/>
      <c r="K35" s="285"/>
      <c r="L35" s="285"/>
      <c r="M35" s="286"/>
      <c r="N35" s="285"/>
      <c r="O35" s="285"/>
      <c r="P35" s="286"/>
      <c r="Q35" s="1080" t="e">
        <f t="shared" si="4"/>
        <v>#DIV/0!</v>
      </c>
      <c r="R35" s="1053" t="e">
        <f t="shared" si="5"/>
        <v>#DIV/0!</v>
      </c>
      <c r="S35" s="1053" t="e">
        <f t="shared" si="1"/>
        <v>#DIV/0!</v>
      </c>
      <c r="T35" s="1091" t="e">
        <f t="shared" si="2"/>
        <v>#DIV/0!</v>
      </c>
      <c r="V35" s="294"/>
    </row>
    <row r="36" spans="1:22" ht="15" hidden="1" customHeight="1">
      <c r="A36" s="281">
        <v>3</v>
      </c>
      <c r="B36" s="281" t="s">
        <v>287</v>
      </c>
      <c r="C36" s="402"/>
      <c r="D36" s="295"/>
      <c r="E36" s="295"/>
      <c r="F36" s="295"/>
      <c r="G36" s="219">
        <f>+H36+K36+N36</f>
        <v>0</v>
      </c>
      <c r="H36" s="213"/>
      <c r="I36" s="213"/>
      <c r="J36" s="213"/>
      <c r="K36" s="219"/>
      <c r="L36" s="219"/>
      <c r="M36" s="213"/>
      <c r="N36" s="219"/>
      <c r="O36" s="219"/>
      <c r="P36" s="213"/>
      <c r="Q36" s="1080" t="e">
        <f t="shared" si="4"/>
        <v>#DIV/0!</v>
      </c>
      <c r="R36" s="1053" t="e">
        <f t="shared" si="5"/>
        <v>#DIV/0!</v>
      </c>
      <c r="S36" s="1053" t="e">
        <f t="shared" si="1"/>
        <v>#DIV/0!</v>
      </c>
      <c r="T36" s="1091" t="e">
        <f t="shared" si="2"/>
        <v>#DIV/0!</v>
      </c>
      <c r="V36" s="103"/>
    </row>
    <row r="37" spans="1:22" ht="17.25" customHeight="1">
      <c r="A37" s="270" t="s">
        <v>109</v>
      </c>
      <c r="B37" s="275" t="s">
        <v>66</v>
      </c>
      <c r="C37" s="402">
        <f>5409477</f>
        <v>5409477</v>
      </c>
      <c r="D37" s="466">
        <f>+D38+D39+D41+D42+D43+D44+D45+D46+D47+D48+D49+D50+D51-1</f>
        <v>5676262</v>
      </c>
      <c r="E37" s="466">
        <v>2499257</v>
      </c>
      <c r="F37" s="466">
        <v>3177004</v>
      </c>
      <c r="G37" s="273">
        <f>+H37+K37</f>
        <v>6240733.7518939991</v>
      </c>
      <c r="H37" s="205">
        <f>+H38+H39+H41+H42+H43+H44+H45+H46+H47+H48+H49+H50+H51</f>
        <v>2093360.596355</v>
      </c>
      <c r="I37" s="205">
        <f t="shared" ref="I37:O37" si="6">+I38+I39+I41+I42+I43+I44+I45+I46+I47+I48+I49+I50+I51</f>
        <v>0</v>
      </c>
      <c r="J37" s="205">
        <f t="shared" si="6"/>
        <v>50721.842969999998</v>
      </c>
      <c r="K37" s="205">
        <f>+K38+K39+K41+K42+K43+K44+K45+K46+K47+K48+K49+K50+K51</f>
        <v>4147373.1555389995</v>
      </c>
      <c r="L37" s="205">
        <f t="shared" si="6"/>
        <v>0</v>
      </c>
      <c r="M37" s="205">
        <f t="shared" si="6"/>
        <v>61956.748729999992</v>
      </c>
      <c r="N37" s="205">
        <f>+N38+N39+N41+N42+N43+N44+N45+N46+N47+N48+N49+N50+N51</f>
        <v>848126.22476199991</v>
      </c>
      <c r="O37" s="205">
        <f t="shared" si="6"/>
        <v>0</v>
      </c>
      <c r="P37" s="205">
        <f>+P38+P39+P41+P42+P43+P44+P45+P46+P47+P48+P49+P50+P51</f>
        <v>20865.08339</v>
      </c>
      <c r="Q37" s="1080">
        <f t="shared" si="4"/>
        <v>115.3666750388993</v>
      </c>
      <c r="R37" s="1053">
        <f t="shared" si="5"/>
        <v>109.94442736952593</v>
      </c>
      <c r="S37" s="1053">
        <f t="shared" si="1"/>
        <v>83.759317123249033</v>
      </c>
      <c r="T37" s="1130">
        <f t="shared" si="2"/>
        <v>130.54352954982113</v>
      </c>
      <c r="V37" s="103"/>
    </row>
    <row r="38" spans="1:22" ht="17.25" hidden="1" customHeight="1">
      <c r="A38" s="280">
        <v>1</v>
      </c>
      <c r="B38" s="281" t="s">
        <v>255</v>
      </c>
      <c r="C38" s="402">
        <v>0</v>
      </c>
      <c r="D38" s="467">
        <v>118253</v>
      </c>
      <c r="E38" s="279">
        <v>0</v>
      </c>
      <c r="F38" s="279">
        <v>0</v>
      </c>
      <c r="G38" s="219">
        <f>H38+K38</f>
        <v>161167.61423400001</v>
      </c>
      <c r="H38" s="213">
        <f>53784.131-J38</f>
        <v>49934.131000000001</v>
      </c>
      <c r="I38" s="213"/>
      <c r="J38" s="213">
        <v>3850</v>
      </c>
      <c r="K38" s="213">
        <f>52944.2713+N38</f>
        <v>111233.483234</v>
      </c>
      <c r="L38" s="219"/>
      <c r="M38" s="213"/>
      <c r="N38" s="213">
        <v>58289.211933999999</v>
      </c>
      <c r="O38" s="219"/>
      <c r="P38" s="213"/>
      <c r="Q38" s="1081">
        <v>0</v>
      </c>
      <c r="R38" s="1093">
        <f t="shared" si="5"/>
        <v>136.29050783827893</v>
      </c>
      <c r="S38" s="305">
        <v>0</v>
      </c>
      <c r="T38" s="305">
        <v>0</v>
      </c>
      <c r="V38" s="103"/>
    </row>
    <row r="39" spans="1:22" ht="17.25" hidden="1" customHeight="1">
      <c r="A39" s="280">
        <v>2</v>
      </c>
      <c r="B39" s="281" t="s">
        <v>257</v>
      </c>
      <c r="C39" s="402">
        <v>0</v>
      </c>
      <c r="D39" s="467">
        <v>36701</v>
      </c>
      <c r="E39" s="279">
        <v>0</v>
      </c>
      <c r="F39" s="279">
        <v>0</v>
      </c>
      <c r="G39" s="219">
        <f>H39+K39</f>
        <v>46520.654710000003</v>
      </c>
      <c r="H39" s="213">
        <f>26569-J39</f>
        <v>13816</v>
      </c>
      <c r="I39" s="213"/>
      <c r="J39" s="583">
        <f>3600+9153</f>
        <v>12753</v>
      </c>
      <c r="K39" s="213">
        <f>21476.2549-M39+N39</f>
        <v>32704.654709999999</v>
      </c>
      <c r="L39" s="219"/>
      <c r="M39" s="583">
        <v>8942</v>
      </c>
      <c r="N39" s="213">
        <v>20170.399809999999</v>
      </c>
      <c r="O39" s="219"/>
      <c r="P39" s="213"/>
      <c r="Q39" s="1081">
        <v>0</v>
      </c>
      <c r="R39" s="1093">
        <f t="shared" si="5"/>
        <v>126.7558233018174</v>
      </c>
      <c r="S39" s="305">
        <v>0</v>
      </c>
      <c r="T39" s="305">
        <v>0</v>
      </c>
      <c r="V39" s="103"/>
    </row>
    <row r="40" spans="1:22" ht="17.25" customHeight="1">
      <c r="A40" s="280"/>
      <c r="B40" s="283" t="s">
        <v>78</v>
      </c>
      <c r="C40" s="402"/>
      <c r="D40" s="279">
        <v>0</v>
      </c>
      <c r="E40" s="279">
        <v>0</v>
      </c>
      <c r="F40" s="279">
        <v>0</v>
      </c>
      <c r="G40" s="219"/>
      <c r="H40" s="213"/>
      <c r="I40" s="213"/>
      <c r="J40" s="583"/>
      <c r="K40" s="213"/>
      <c r="L40" s="219"/>
      <c r="M40" s="583"/>
      <c r="N40" s="213"/>
      <c r="O40" s="219"/>
      <c r="P40" s="213"/>
      <c r="Q40" s="1081"/>
      <c r="R40" s="1093"/>
      <c r="S40" s="305">
        <v>0</v>
      </c>
      <c r="T40" s="305">
        <v>0</v>
      </c>
      <c r="V40" s="103"/>
    </row>
    <row r="41" spans="1:22" s="568" customFormat="1" ht="17.25" customHeight="1">
      <c r="A41" s="1059">
        <v>1</v>
      </c>
      <c r="B41" s="283" t="s">
        <v>259</v>
      </c>
      <c r="C41" s="1096">
        <v>1989752</v>
      </c>
      <c r="D41" s="1097">
        <v>2211146</v>
      </c>
      <c r="E41" s="1097">
        <v>375046</v>
      </c>
      <c r="F41" s="1112">
        <v>1836100</v>
      </c>
      <c r="G41" s="285">
        <f t="shared" ref="G41:G53" si="7">H41+K41</f>
        <v>2308106.7387399999</v>
      </c>
      <c r="H41" s="286">
        <f>390261.912639-J41+14950.371</f>
        <v>397848.69363899995</v>
      </c>
      <c r="I41" s="286"/>
      <c r="J41" s="286">
        <v>7363.59</v>
      </c>
      <c r="K41" s="286">
        <f>1906544.311852-M41+N41</f>
        <v>1910258.0451009998</v>
      </c>
      <c r="L41" s="285"/>
      <c r="M41" s="286">
        <v>3444.8213799999999</v>
      </c>
      <c r="N41" s="286">
        <v>7158.5546290000002</v>
      </c>
      <c r="O41" s="285"/>
      <c r="P41" s="286"/>
      <c r="Q41" s="1098">
        <f t="shared" si="4"/>
        <v>115.99971949971655</v>
      </c>
      <c r="R41" s="1099">
        <f t="shared" si="5"/>
        <v>104.38508984662252</v>
      </c>
      <c r="S41" s="1114">
        <f t="shared" si="1"/>
        <v>106.07997249377408</v>
      </c>
      <c r="T41" s="1091">
        <f t="shared" si="2"/>
        <v>104.03888922722074</v>
      </c>
      <c r="V41" s="571"/>
    </row>
    <row r="42" spans="1:22" s="568" customFormat="1" ht="17.25" customHeight="1">
      <c r="A42" s="1059">
        <v>2</v>
      </c>
      <c r="B42" s="283" t="s">
        <v>261</v>
      </c>
      <c r="C42" s="1096">
        <v>24374</v>
      </c>
      <c r="D42" s="1097">
        <v>24734</v>
      </c>
      <c r="E42" s="1097">
        <v>18770</v>
      </c>
      <c r="F42" s="1097">
        <v>5964</v>
      </c>
      <c r="G42" s="285">
        <f t="shared" si="7"/>
        <v>26009.921506999999</v>
      </c>
      <c r="H42" s="286">
        <v>20562.415843999999</v>
      </c>
      <c r="I42" s="286"/>
      <c r="J42" s="286"/>
      <c r="K42" s="286">
        <f>5447.505663+N42</f>
        <v>5447.5056629999999</v>
      </c>
      <c r="L42" s="285"/>
      <c r="M42" s="286"/>
      <c r="N42" s="286">
        <v>0</v>
      </c>
      <c r="O42" s="285"/>
      <c r="P42" s="286"/>
      <c r="Q42" s="1098">
        <f t="shared" si="4"/>
        <v>106.7117482030032</v>
      </c>
      <c r="R42" s="1099">
        <f t="shared" si="5"/>
        <v>105.15857324735182</v>
      </c>
      <c r="S42" s="1114">
        <f t="shared" si="1"/>
        <v>109.54936517847629</v>
      </c>
      <c r="T42" s="1091">
        <f t="shared" si="2"/>
        <v>91.339799849094561</v>
      </c>
      <c r="V42" s="571"/>
    </row>
    <row r="43" spans="1:22" ht="17.25" hidden="1" customHeight="1">
      <c r="A43" s="280">
        <v>5</v>
      </c>
      <c r="B43" s="281" t="s">
        <v>263</v>
      </c>
      <c r="C43" s="402">
        <v>0</v>
      </c>
      <c r="D43" s="467">
        <v>621908</v>
      </c>
      <c r="E43" s="279">
        <v>0</v>
      </c>
      <c r="F43" s="279">
        <v>0</v>
      </c>
      <c r="G43" s="219">
        <f t="shared" si="7"/>
        <v>662784.48974599992</v>
      </c>
      <c r="H43" s="213">
        <f>467840.685991-J43</f>
        <v>461000.176515</v>
      </c>
      <c r="I43" s="213"/>
      <c r="J43" s="213">
        <v>6840.5094760000002</v>
      </c>
      <c r="K43" s="213">
        <f>208724.727101-M43+N43</f>
        <v>201784.31323099998</v>
      </c>
      <c r="L43" s="219"/>
      <c r="M43" s="213">
        <v>7295.7678699999997</v>
      </c>
      <c r="N43" s="213">
        <v>355.35399999999998</v>
      </c>
      <c r="O43" s="219"/>
      <c r="P43" s="213"/>
      <c r="Q43" s="1081">
        <v>0</v>
      </c>
      <c r="R43" s="1093">
        <f t="shared" si="5"/>
        <v>106.57275509335784</v>
      </c>
      <c r="S43" s="305">
        <v>0</v>
      </c>
      <c r="T43" s="305">
        <v>0</v>
      </c>
      <c r="V43" s="103"/>
    </row>
    <row r="44" spans="1:22" ht="17.25" hidden="1" customHeight="1">
      <c r="A44" s="280">
        <v>6</v>
      </c>
      <c r="B44" s="281" t="s">
        <v>265</v>
      </c>
      <c r="C44" s="402">
        <v>0</v>
      </c>
      <c r="D44" s="467">
        <v>50008</v>
      </c>
      <c r="E44" s="279">
        <v>0</v>
      </c>
      <c r="F44" s="279">
        <v>0</v>
      </c>
      <c r="G44" s="219">
        <f t="shared" si="7"/>
        <v>56482.379126</v>
      </c>
      <c r="H44" s="213">
        <f>36982.112458-J44</f>
        <v>33081.384358000003</v>
      </c>
      <c r="I44" s="213"/>
      <c r="J44" s="583">
        <f>3230.7281+560+110</f>
        <v>3900.7280999999998</v>
      </c>
      <c r="K44" s="213">
        <f>15276.693449+N44</f>
        <v>23400.994768</v>
      </c>
      <c r="L44" s="219"/>
      <c r="M44" s="213"/>
      <c r="N44" s="213">
        <v>8124.3013190000001</v>
      </c>
      <c r="O44" s="219"/>
      <c r="P44" s="213"/>
      <c r="Q44" s="1081">
        <v>0</v>
      </c>
      <c r="R44" s="1093">
        <f t="shared" si="5"/>
        <v>112.94668678211485</v>
      </c>
      <c r="S44" s="305">
        <v>0</v>
      </c>
      <c r="T44" s="305">
        <v>0</v>
      </c>
      <c r="V44" s="103"/>
    </row>
    <row r="45" spans="1:22" ht="17.25" hidden="1" customHeight="1">
      <c r="A45" s="280">
        <v>7</v>
      </c>
      <c r="B45" s="281" t="s">
        <v>267</v>
      </c>
      <c r="C45" s="402">
        <v>0</v>
      </c>
      <c r="D45" s="467">
        <v>21684</v>
      </c>
      <c r="E45" s="279">
        <v>0</v>
      </c>
      <c r="F45" s="279">
        <v>0</v>
      </c>
      <c r="G45" s="219">
        <f t="shared" si="7"/>
        <v>21577.128782</v>
      </c>
      <c r="H45" s="213">
        <f>9079.918921-J45</f>
        <v>8782.2734450000007</v>
      </c>
      <c r="I45" s="213"/>
      <c r="J45" s="213">
        <v>297.64547599999997</v>
      </c>
      <c r="K45" s="213">
        <f>10946.435269+N45</f>
        <v>12794.855336999999</v>
      </c>
      <c r="L45" s="219"/>
      <c r="M45" s="213"/>
      <c r="N45" s="213">
        <v>1848.4200679999999</v>
      </c>
      <c r="O45" s="219"/>
      <c r="P45" s="213"/>
      <c r="Q45" s="1081">
        <v>0</v>
      </c>
      <c r="R45" s="1093">
        <f t="shared" si="5"/>
        <v>99.507142510606897</v>
      </c>
      <c r="S45" s="305">
        <v>0</v>
      </c>
      <c r="T45" s="305">
        <v>0</v>
      </c>
      <c r="V45" s="103"/>
    </row>
    <row r="46" spans="1:22" ht="17.25" hidden="1" customHeight="1">
      <c r="A46" s="280">
        <v>8</v>
      </c>
      <c r="B46" s="281" t="s">
        <v>269</v>
      </c>
      <c r="C46" s="402">
        <v>0</v>
      </c>
      <c r="D46" s="467">
        <v>27184</v>
      </c>
      <c r="E46" s="279">
        <v>0</v>
      </c>
      <c r="F46" s="279">
        <v>0</v>
      </c>
      <c r="G46" s="219">
        <f t="shared" si="7"/>
        <v>26218.646971000002</v>
      </c>
      <c r="H46" s="213">
        <f>15925.384912-J46</f>
        <v>15675.384912</v>
      </c>
      <c r="I46" s="213"/>
      <c r="J46" s="213">
        <v>250</v>
      </c>
      <c r="K46" s="213">
        <f>8491.191059+N46</f>
        <v>10543.262059000001</v>
      </c>
      <c r="L46" s="219"/>
      <c r="M46" s="213"/>
      <c r="N46" s="213">
        <v>2052.0709999999999</v>
      </c>
      <c r="O46" s="219"/>
      <c r="P46" s="213"/>
      <c r="Q46" s="1081">
        <v>0</v>
      </c>
      <c r="R46" s="1093">
        <f t="shared" si="5"/>
        <v>96.448819051648044</v>
      </c>
      <c r="S46" s="305">
        <v>0</v>
      </c>
      <c r="T46" s="305">
        <v>0</v>
      </c>
      <c r="V46" s="103"/>
    </row>
    <row r="47" spans="1:22" ht="17.25" hidden="1" customHeight="1">
      <c r="A47" s="280">
        <v>9</v>
      </c>
      <c r="B47" s="281" t="s">
        <v>271</v>
      </c>
      <c r="C47" s="518">
        <v>66148</v>
      </c>
      <c r="D47" s="467">
        <v>89277</v>
      </c>
      <c r="E47" s="279">
        <v>0</v>
      </c>
      <c r="F47" s="279">
        <v>0</v>
      </c>
      <c r="G47" s="219">
        <f t="shared" si="7"/>
        <v>90212.974799000003</v>
      </c>
      <c r="H47" s="213">
        <v>45648.319447000002</v>
      </c>
      <c r="I47" s="213"/>
      <c r="J47" s="213"/>
      <c r="K47" s="213">
        <f>35848.912273+N47</f>
        <v>44564.655352000002</v>
      </c>
      <c r="L47" s="219"/>
      <c r="M47" s="213"/>
      <c r="N47" s="213">
        <v>8715.7430789999999</v>
      </c>
      <c r="O47" s="219"/>
      <c r="P47" s="213"/>
      <c r="Q47" s="1083">
        <f t="shared" si="4"/>
        <v>136.38050250801234</v>
      </c>
      <c r="R47" s="1093">
        <f t="shared" si="5"/>
        <v>101.04839409814399</v>
      </c>
      <c r="S47" s="305">
        <v>0</v>
      </c>
      <c r="T47" s="305">
        <v>0</v>
      </c>
      <c r="V47" s="103"/>
    </row>
    <row r="48" spans="1:22" ht="17.25" hidden="1" customHeight="1">
      <c r="A48" s="280">
        <v>10</v>
      </c>
      <c r="B48" s="281" t="s">
        <v>273</v>
      </c>
      <c r="C48" s="402">
        <v>0</v>
      </c>
      <c r="D48" s="467">
        <v>987914</v>
      </c>
      <c r="E48" s="279">
        <v>0</v>
      </c>
      <c r="F48" s="279">
        <v>0</v>
      </c>
      <c r="G48" s="219">
        <f t="shared" si="7"/>
        <v>1065461.767484</v>
      </c>
      <c r="H48" s="213">
        <f>558837.754607-J48</f>
        <v>547300.07713900006</v>
      </c>
      <c r="I48" s="213"/>
      <c r="J48" s="213">
        <v>11537.677468</v>
      </c>
      <c r="K48" s="213">
        <f>404030.089274-M48+N48</f>
        <v>518161.69034500001</v>
      </c>
      <c r="L48" s="219"/>
      <c r="M48" s="213">
        <v>3482.1950000000002</v>
      </c>
      <c r="N48" s="213">
        <f>128797.117771-P48</f>
        <v>117613.796071</v>
      </c>
      <c r="O48" s="219"/>
      <c r="P48" s="213">
        <v>11183.3217</v>
      </c>
      <c r="Q48" s="1081">
        <v>0</v>
      </c>
      <c r="R48" s="1093">
        <f t="shared" si="5"/>
        <v>107.84964758916263</v>
      </c>
      <c r="S48" s="305">
        <v>0</v>
      </c>
      <c r="T48" s="305">
        <v>0</v>
      </c>
      <c r="V48" s="103"/>
    </row>
    <row r="49" spans="1:22" ht="29.25" hidden="1" customHeight="1">
      <c r="A49" s="280">
        <v>11</v>
      </c>
      <c r="B49" s="296" t="s">
        <v>495</v>
      </c>
      <c r="C49" s="402">
        <v>0</v>
      </c>
      <c r="D49" s="467">
        <v>1176865</v>
      </c>
      <c r="E49" s="279">
        <v>0</v>
      </c>
      <c r="F49" s="279">
        <v>0</v>
      </c>
      <c r="G49" s="219">
        <f t="shared" si="7"/>
        <v>1280073.5074629998</v>
      </c>
      <c r="H49" s="213">
        <f>341255.44615-J49</f>
        <v>337937.56469999999</v>
      </c>
      <c r="I49" s="213"/>
      <c r="J49" s="213">
        <v>3317.8814499999999</v>
      </c>
      <c r="K49" s="213">
        <f>379436.689603-M49+N49</f>
        <v>942135.94276299991</v>
      </c>
      <c r="L49" s="219"/>
      <c r="M49" s="213">
        <v>1298.9644800000001</v>
      </c>
      <c r="N49" s="213">
        <f>571227.67933-P49</f>
        <v>563998.21763999993</v>
      </c>
      <c r="O49" s="219"/>
      <c r="P49" s="213">
        <v>7229.4616900000001</v>
      </c>
      <c r="Q49" s="1081">
        <v>0</v>
      </c>
      <c r="R49" s="1093">
        <f t="shared" si="5"/>
        <v>108.76978306458258</v>
      </c>
      <c r="S49" s="305">
        <v>0</v>
      </c>
      <c r="T49" s="305">
        <v>0</v>
      </c>
      <c r="V49" s="103"/>
    </row>
    <row r="50" spans="1:22" ht="17.25" hidden="1" customHeight="1">
      <c r="A50" s="280">
        <v>12</v>
      </c>
      <c r="B50" s="281" t="s">
        <v>277</v>
      </c>
      <c r="C50" s="402">
        <v>0</v>
      </c>
      <c r="D50" s="467">
        <v>253368</v>
      </c>
      <c r="E50" s="279">
        <v>0</v>
      </c>
      <c r="F50" s="279">
        <v>0</v>
      </c>
      <c r="G50" s="219">
        <f t="shared" si="7"/>
        <v>408028.24348099995</v>
      </c>
      <c r="H50" s="213">
        <f>111091.244776-J50</f>
        <v>110480.43377600001</v>
      </c>
      <c r="I50" s="213"/>
      <c r="J50" s="213">
        <v>610.81100000000004</v>
      </c>
      <c r="K50" s="213">
        <f>279403.056498-M50+N50</f>
        <v>297547.80970499996</v>
      </c>
      <c r="L50" s="219"/>
      <c r="M50" s="583">
        <v>37493</v>
      </c>
      <c r="N50" s="213">
        <f>58090.053207-P50</f>
        <v>55637.753206999994</v>
      </c>
      <c r="O50" s="219"/>
      <c r="P50" s="583">
        <f>981.3+1471</f>
        <v>2452.3000000000002</v>
      </c>
      <c r="Q50" s="1081">
        <v>0</v>
      </c>
      <c r="R50" s="1093">
        <f t="shared" si="5"/>
        <v>161.04174303029583</v>
      </c>
      <c r="S50" s="305">
        <v>0</v>
      </c>
      <c r="T50" s="305">
        <v>0</v>
      </c>
      <c r="V50" s="103"/>
    </row>
    <row r="51" spans="1:22" ht="17.25" hidden="1" customHeight="1">
      <c r="A51" s="280">
        <v>13</v>
      </c>
      <c r="B51" s="281" t="s">
        <v>288</v>
      </c>
      <c r="C51" s="402">
        <v>0</v>
      </c>
      <c r="D51" s="467">
        <v>57221</v>
      </c>
      <c r="E51" s="279">
        <v>0</v>
      </c>
      <c r="F51" s="279">
        <v>0</v>
      </c>
      <c r="G51" s="219">
        <f t="shared" si="7"/>
        <v>88089.684850999998</v>
      </c>
      <c r="H51" s="213">
        <f>50888.279525+405.462055</f>
        <v>51293.741580000002</v>
      </c>
      <c r="I51" s="213"/>
      <c r="J51" s="213"/>
      <c r="K51" s="213">
        <f>32633.541266+N51</f>
        <v>36795.943270999996</v>
      </c>
      <c r="L51" s="219"/>
      <c r="M51" s="213"/>
      <c r="N51" s="213">
        <v>4162.4020049999999</v>
      </c>
      <c r="O51" s="219"/>
      <c r="P51" s="213"/>
      <c r="Q51" s="1081">
        <v>0</v>
      </c>
      <c r="R51" s="1093">
        <f t="shared" si="5"/>
        <v>153.94642675066845</v>
      </c>
      <c r="S51" s="305">
        <v>0</v>
      </c>
      <c r="T51" s="305">
        <v>0</v>
      </c>
      <c r="V51" s="103"/>
    </row>
    <row r="52" spans="1:22" s="299" customFormat="1" ht="17.25" customHeight="1">
      <c r="A52" s="270" t="s">
        <v>118</v>
      </c>
      <c r="B52" s="275" t="s">
        <v>996</v>
      </c>
      <c r="C52" s="402">
        <v>800</v>
      </c>
      <c r="D52" s="465">
        <f>1783</f>
        <v>1783</v>
      </c>
      <c r="E52" s="465">
        <v>1783</v>
      </c>
      <c r="F52" s="465"/>
      <c r="G52" s="205">
        <f t="shared" si="7"/>
        <v>403.904653</v>
      </c>
      <c r="H52" s="205">
        <f>403.904653</f>
        <v>403.904653</v>
      </c>
      <c r="I52" s="205"/>
      <c r="J52" s="205"/>
      <c r="K52" s="279">
        <v>0</v>
      </c>
      <c r="L52" s="279"/>
      <c r="M52" s="279"/>
      <c r="N52" s="279">
        <v>0</v>
      </c>
      <c r="O52" s="273"/>
      <c r="P52" s="205"/>
      <c r="Q52" s="1080">
        <f>G52/C52*100</f>
        <v>50.488081625000007</v>
      </c>
      <c r="R52" s="1053">
        <f>G52/D52*100</f>
        <v>22.65309326977005</v>
      </c>
      <c r="S52" s="1053">
        <f t="shared" si="1"/>
        <v>22.65309326977005</v>
      </c>
      <c r="T52" s="305">
        <v>0</v>
      </c>
    </row>
    <row r="53" spans="1:22" s="299" customFormat="1" ht="17.25" customHeight="1">
      <c r="A53" s="1060" t="s">
        <v>320</v>
      </c>
      <c r="B53" s="1072" t="s">
        <v>68</v>
      </c>
      <c r="C53" s="1041">
        <v>1000</v>
      </c>
      <c r="D53" s="1042">
        <v>1000</v>
      </c>
      <c r="E53" s="1042">
        <v>1000</v>
      </c>
      <c r="F53" s="1042"/>
      <c r="G53" s="1043">
        <f t="shared" si="7"/>
        <v>1000</v>
      </c>
      <c r="H53" s="1044">
        <v>1000</v>
      </c>
      <c r="I53" s="1044"/>
      <c r="J53" s="1044"/>
      <c r="K53" s="1045">
        <v>0</v>
      </c>
      <c r="L53" s="1045"/>
      <c r="M53" s="1045"/>
      <c r="N53" s="1045">
        <v>0</v>
      </c>
      <c r="O53" s="1043"/>
      <c r="P53" s="1044"/>
      <c r="Q53" s="1084">
        <f>G53/C53*100</f>
        <v>100</v>
      </c>
      <c r="R53" s="1053">
        <f>G53/D53*100</f>
        <v>100</v>
      </c>
      <c r="S53" s="1053">
        <f t="shared" si="1"/>
        <v>100</v>
      </c>
      <c r="T53" s="305">
        <v>0</v>
      </c>
    </row>
    <row r="54" spans="1:22" s="302" customFormat="1" ht="17.25" customHeight="1">
      <c r="A54" s="1057" t="s">
        <v>321</v>
      </c>
      <c r="B54" s="1073" t="s">
        <v>322</v>
      </c>
      <c r="C54" s="1046">
        <v>143210</v>
      </c>
      <c r="D54" s="1047">
        <v>149400</v>
      </c>
      <c r="E54" s="1047">
        <v>81655</v>
      </c>
      <c r="F54" s="1047">
        <v>67745</v>
      </c>
      <c r="G54" s="1048">
        <v>0</v>
      </c>
      <c r="H54" s="1048">
        <v>0</v>
      </c>
      <c r="I54" s="1048"/>
      <c r="J54" s="1048"/>
      <c r="K54" s="1048">
        <v>0</v>
      </c>
      <c r="L54" s="1048"/>
      <c r="M54" s="1048"/>
      <c r="N54" s="1048">
        <v>0</v>
      </c>
      <c r="O54" s="1049"/>
      <c r="P54" s="1049"/>
      <c r="Q54" s="1085">
        <f>G54/C54*100</f>
        <v>0</v>
      </c>
      <c r="R54" s="1049">
        <f>G54/D54*100</f>
        <v>0</v>
      </c>
      <c r="S54" s="305">
        <f t="shared" si="1"/>
        <v>0</v>
      </c>
      <c r="T54" s="305">
        <f t="shared" si="2"/>
        <v>0</v>
      </c>
    </row>
    <row r="55" spans="1:22" s="299" customFormat="1" ht="17.25" customHeight="1">
      <c r="A55" s="1061" t="s">
        <v>323</v>
      </c>
      <c r="B55" s="1074" t="s">
        <v>997</v>
      </c>
      <c r="C55" s="1050"/>
      <c r="D55" s="279">
        <v>0</v>
      </c>
      <c r="E55" s="279">
        <v>0</v>
      </c>
      <c r="F55" s="279">
        <v>0</v>
      </c>
      <c r="G55" s="1050"/>
      <c r="H55" s="1050"/>
      <c r="I55" s="1050"/>
      <c r="J55" s="1050"/>
      <c r="K55" s="1050"/>
      <c r="L55" s="1050"/>
      <c r="M55" s="1050"/>
      <c r="N55" s="1050"/>
      <c r="O55" s="1050"/>
      <c r="P55" s="1050"/>
      <c r="Q55" s="1086"/>
      <c r="R55" s="1050"/>
      <c r="S55" s="305">
        <v>0</v>
      </c>
      <c r="T55" s="305">
        <v>0</v>
      </c>
    </row>
    <row r="56" spans="1:22" s="299" customFormat="1" ht="18" customHeight="1">
      <c r="A56" s="1051" t="s">
        <v>80</v>
      </c>
      <c r="B56" s="1075" t="s">
        <v>2851</v>
      </c>
      <c r="C56" s="1054">
        <f>+C57+C62</f>
        <v>1949551</v>
      </c>
      <c r="D56" s="1054">
        <f>+D57+D62</f>
        <v>1804261</v>
      </c>
      <c r="E56" s="1054">
        <f>+E57+E62</f>
        <v>1804261</v>
      </c>
      <c r="F56" s="279">
        <v>0</v>
      </c>
      <c r="G56" s="1054">
        <f>+G57+G62</f>
        <v>875940.825006</v>
      </c>
      <c r="H56" s="1054">
        <f t="shared" ref="H56:P56" si="8">+H57+H62</f>
        <v>684062.32112500002</v>
      </c>
      <c r="I56" s="1054">
        <f t="shared" si="8"/>
        <v>633340.47815500002</v>
      </c>
      <c r="J56" s="1054">
        <f t="shared" si="8"/>
        <v>50721.842969999998</v>
      </c>
      <c r="K56" s="1054">
        <f>+K57+K62</f>
        <v>191878.50388100001</v>
      </c>
      <c r="L56" s="1054">
        <f t="shared" si="8"/>
        <v>12853.423792</v>
      </c>
      <c r="M56" s="1054">
        <f t="shared" si="8"/>
        <v>61956.748729999999</v>
      </c>
      <c r="N56" s="1054">
        <f t="shared" si="8"/>
        <v>117068.331359</v>
      </c>
      <c r="O56" s="1054">
        <f t="shared" si="8"/>
        <v>96203.247969000004</v>
      </c>
      <c r="P56" s="1054">
        <f t="shared" si="8"/>
        <v>20865.08339</v>
      </c>
      <c r="Q56" s="1087">
        <f>G56/C56*100</f>
        <v>44.930387817810356</v>
      </c>
      <c r="R56" s="1053">
        <f>G56/D56*100</f>
        <v>48.548454187393062</v>
      </c>
      <c r="S56" s="1053">
        <f t="shared" si="1"/>
        <v>37.913712102905286</v>
      </c>
      <c r="T56" s="305">
        <v>0</v>
      </c>
    </row>
    <row r="57" spans="1:22" s="1036" customFormat="1" ht="16.5" customHeight="1">
      <c r="A57" s="1100" t="s">
        <v>108</v>
      </c>
      <c r="B57" s="1101" t="s">
        <v>2849</v>
      </c>
      <c r="C57" s="1102">
        <f>SUM(C58:C61)</f>
        <v>129892</v>
      </c>
      <c r="D57" s="1102">
        <f>SUM(D58:D61)</f>
        <v>129892</v>
      </c>
      <c r="E57" s="1102">
        <f>SUM(E58:E61)</f>
        <v>129892</v>
      </c>
      <c r="F57" s="279">
        <v>0</v>
      </c>
      <c r="G57" s="1102">
        <f>SUM(G58:G61)</f>
        <v>151432.605477</v>
      </c>
      <c r="H57" s="1102">
        <f t="shared" ref="H57:O57" si="9">SUM(H58:H61)</f>
        <v>14764.978466</v>
      </c>
      <c r="I57" s="1102">
        <f t="shared" si="9"/>
        <v>181.09700000000001</v>
      </c>
      <c r="J57" s="1102">
        <f t="shared" si="9"/>
        <v>14583.881466000001</v>
      </c>
      <c r="K57" s="1102">
        <f>SUM(K58:K61)</f>
        <v>136667.627011</v>
      </c>
      <c r="L57" s="1102">
        <f t="shared" si="9"/>
        <v>12853.423792</v>
      </c>
      <c r="M57" s="1102">
        <f t="shared" si="9"/>
        <v>8216.8718599999993</v>
      </c>
      <c r="N57" s="1102">
        <f t="shared" si="9"/>
        <v>115597.331359</v>
      </c>
      <c r="O57" s="1102">
        <f t="shared" si="9"/>
        <v>96203.247969000004</v>
      </c>
      <c r="P57" s="1102">
        <f>SUM(P58:P61)</f>
        <v>19394.08339</v>
      </c>
      <c r="Q57" s="1103">
        <f>G57/C57*100</f>
        <v>116.58347356034244</v>
      </c>
      <c r="R57" s="1053">
        <f>G57/D57*100</f>
        <v>116.58347356034244</v>
      </c>
      <c r="S57" s="1053">
        <f t="shared" si="1"/>
        <v>11.367119195947403</v>
      </c>
      <c r="T57" s="305">
        <v>0</v>
      </c>
    </row>
    <row r="58" spans="1:22" s="302" customFormat="1" ht="16.5" customHeight="1">
      <c r="A58" s="463" t="s">
        <v>254</v>
      </c>
      <c r="B58" s="217" t="s">
        <v>773</v>
      </c>
      <c r="C58" s="523">
        <v>47092</v>
      </c>
      <c r="D58" s="533">
        <v>47092</v>
      </c>
      <c r="E58" s="533">
        <v>47092</v>
      </c>
      <c r="F58" s="279">
        <v>0</v>
      </c>
      <c r="G58" s="213">
        <f>+H58+K58</f>
        <v>56058.427014000001</v>
      </c>
      <c r="H58" s="213">
        <f>I58+J58</f>
        <v>2658.2200400000002</v>
      </c>
      <c r="I58" s="213"/>
      <c r="J58" s="213">
        <v>2658.2200400000002</v>
      </c>
      <c r="K58" s="213">
        <f>L58+M58+N58</f>
        <v>53400.206974000001</v>
      </c>
      <c r="L58" s="213">
        <v>7649.3977919999998</v>
      </c>
      <c r="M58" s="213"/>
      <c r="N58" s="213">
        <f>O58+P58</f>
        <v>45750.809181999997</v>
      </c>
      <c r="O58" s="213">
        <v>30685.071692000001</v>
      </c>
      <c r="P58" s="213">
        <v>15065.73749</v>
      </c>
      <c r="Q58" s="1088">
        <f>G58/C58*100</f>
        <v>119.04023403975197</v>
      </c>
      <c r="R58" s="1104">
        <f t="shared" ref="R58:R59" si="10">G58/D58*100</f>
        <v>119.04023403975197</v>
      </c>
      <c r="S58" s="1114">
        <f t="shared" si="1"/>
        <v>5.644738044678502</v>
      </c>
      <c r="T58" s="305">
        <v>0</v>
      </c>
      <c r="U58" s="403"/>
    </row>
    <row r="59" spans="1:22" s="302" customFormat="1" ht="16.5" customHeight="1">
      <c r="A59" s="463" t="s">
        <v>256</v>
      </c>
      <c r="B59" s="217" t="s">
        <v>329</v>
      </c>
      <c r="C59" s="523">
        <v>82800</v>
      </c>
      <c r="D59" s="533">
        <v>82800</v>
      </c>
      <c r="E59" s="533">
        <v>82800</v>
      </c>
      <c r="F59" s="279">
        <v>0</v>
      </c>
      <c r="G59" s="213">
        <f>+H59+K59</f>
        <v>94982.006482000012</v>
      </c>
      <c r="H59" s="213">
        <f t="shared" ref="H59:H75" si="11">I59+J59</f>
        <v>11966.758426</v>
      </c>
      <c r="I59" s="213">
        <v>41.097000000000001</v>
      </c>
      <c r="J59" s="213">
        <v>11925.661426000001</v>
      </c>
      <c r="K59" s="213">
        <f>L59+M59+N59</f>
        <v>83015.248056000011</v>
      </c>
      <c r="L59" s="213">
        <v>5204.0259999999998</v>
      </c>
      <c r="M59" s="213">
        <v>7964.6998789999998</v>
      </c>
      <c r="N59" s="213">
        <f t="shared" ref="N59:N76" si="12">O59+P59</f>
        <v>69846.522177000006</v>
      </c>
      <c r="O59" s="213">
        <v>65518.176276999999</v>
      </c>
      <c r="P59" s="213">
        <v>4328.3459000000003</v>
      </c>
      <c r="Q59" s="1088">
        <f>G59/C59*100</f>
        <v>114.71256821497586</v>
      </c>
      <c r="R59" s="1104">
        <f t="shared" si="10"/>
        <v>114.71256821497586</v>
      </c>
      <c r="S59" s="1114">
        <f t="shared" si="1"/>
        <v>14.452606794685991</v>
      </c>
      <c r="T59" s="305">
        <v>0</v>
      </c>
      <c r="U59" s="403"/>
    </row>
    <row r="60" spans="1:22" s="302" customFormat="1" ht="30">
      <c r="A60" s="463" t="s">
        <v>258</v>
      </c>
      <c r="B60" s="1105" t="s">
        <v>2722</v>
      </c>
      <c r="C60" s="402">
        <v>0</v>
      </c>
      <c r="D60" s="402">
        <v>0</v>
      </c>
      <c r="E60" s="279">
        <v>0</v>
      </c>
      <c r="F60" s="279">
        <v>0</v>
      </c>
      <c r="G60" s="213">
        <f>+H60+K60</f>
        <v>140</v>
      </c>
      <c r="H60" s="213">
        <f t="shared" si="11"/>
        <v>140</v>
      </c>
      <c r="I60" s="213">
        <v>140</v>
      </c>
      <c r="J60" s="213"/>
      <c r="K60" s="213">
        <f>L60+M60</f>
        <v>0</v>
      </c>
      <c r="L60" s="213"/>
      <c r="M60" s="213"/>
      <c r="N60" s="518">
        <f t="shared" si="12"/>
        <v>0</v>
      </c>
      <c r="O60" s="213"/>
      <c r="P60" s="213"/>
      <c r="Q60" s="1082">
        <v>0</v>
      </c>
      <c r="R60" s="1048">
        <v>0</v>
      </c>
      <c r="S60" s="305">
        <v>0</v>
      </c>
      <c r="T60" s="305">
        <v>0</v>
      </c>
      <c r="U60" s="1031"/>
    </row>
    <row r="61" spans="1:22" s="302" customFormat="1" ht="16.5" customHeight="1">
      <c r="A61" s="463" t="s">
        <v>260</v>
      </c>
      <c r="B61" s="1105" t="s">
        <v>977</v>
      </c>
      <c r="C61" s="402">
        <v>0</v>
      </c>
      <c r="D61" s="402">
        <v>0</v>
      </c>
      <c r="E61" s="279">
        <v>0</v>
      </c>
      <c r="F61" s="279">
        <v>0</v>
      </c>
      <c r="G61" s="213">
        <f>+H61+K61</f>
        <v>252.17198099999999</v>
      </c>
      <c r="H61" s="213">
        <f t="shared" si="11"/>
        <v>0</v>
      </c>
      <c r="I61" s="213"/>
      <c r="J61" s="213"/>
      <c r="K61" s="213">
        <f>L61+M61+N61</f>
        <v>252.17198099999999</v>
      </c>
      <c r="L61" s="213"/>
      <c r="M61" s="213">
        <v>252.17198099999999</v>
      </c>
      <c r="N61" s="518">
        <f t="shared" si="12"/>
        <v>0</v>
      </c>
      <c r="O61" s="213"/>
      <c r="P61" s="213"/>
      <c r="Q61" s="1082">
        <v>0</v>
      </c>
      <c r="R61" s="1048">
        <v>0</v>
      </c>
      <c r="S61" s="305">
        <v>0</v>
      </c>
      <c r="T61" s="305">
        <v>0</v>
      </c>
      <c r="U61" s="403"/>
    </row>
    <row r="62" spans="1:22" s="1034" customFormat="1" ht="16.5" customHeight="1">
      <c r="A62" s="1120" t="s">
        <v>109</v>
      </c>
      <c r="B62" s="1106" t="s">
        <v>1000</v>
      </c>
      <c r="C62" s="402">
        <f>SUM(C63:C77)</f>
        <v>1819659</v>
      </c>
      <c r="D62" s="1111">
        <f>SUM(D63:D77)</f>
        <v>1674369</v>
      </c>
      <c r="E62" s="1131">
        <f>SUM(E63:E77)</f>
        <v>1674369</v>
      </c>
      <c r="F62" s="279">
        <v>0</v>
      </c>
      <c r="G62" s="402">
        <f>SUM(G63:G77)</f>
        <v>724508.21952899999</v>
      </c>
      <c r="H62" s="402">
        <f t="shared" ref="H62:P62" si="13">SUM(H63:H77)</f>
        <v>669297.34265899996</v>
      </c>
      <c r="I62" s="402">
        <f t="shared" si="13"/>
        <v>633159.38115500007</v>
      </c>
      <c r="J62" s="402">
        <f t="shared" si="13"/>
        <v>36137.961503999999</v>
      </c>
      <c r="K62" s="1113">
        <f>SUM(K63:K77)</f>
        <v>55210.87687</v>
      </c>
      <c r="L62" s="402">
        <f t="shared" si="13"/>
        <v>0</v>
      </c>
      <c r="M62" s="402">
        <f t="shared" si="13"/>
        <v>53739.87687</v>
      </c>
      <c r="N62" s="402">
        <f t="shared" si="13"/>
        <v>1471</v>
      </c>
      <c r="O62" s="402">
        <f t="shared" si="13"/>
        <v>0</v>
      </c>
      <c r="P62" s="402">
        <f t="shared" si="13"/>
        <v>1471</v>
      </c>
      <c r="Q62" s="1082"/>
      <c r="R62" s="1053">
        <f>G62/D62*100</f>
        <v>43.270522777774787</v>
      </c>
      <c r="S62" s="1053">
        <f t="shared" si="1"/>
        <v>39.97310883437283</v>
      </c>
      <c r="T62" s="305">
        <v>0</v>
      </c>
      <c r="U62" s="1033"/>
    </row>
    <row r="63" spans="1:22" s="299" customFormat="1">
      <c r="A63" s="280" t="s">
        <v>254</v>
      </c>
      <c r="B63" s="296" t="s">
        <v>978</v>
      </c>
      <c r="C63" s="402">
        <v>0</v>
      </c>
      <c r="D63" s="402">
        <v>0</v>
      </c>
      <c r="E63" s="402">
        <v>0</v>
      </c>
      <c r="F63" s="279">
        <v>0</v>
      </c>
      <c r="G63" s="219">
        <f t="shared" ref="G63:G76" si="14">+H63+K63</f>
        <v>9.109</v>
      </c>
      <c r="H63" s="213">
        <f t="shared" si="11"/>
        <v>0</v>
      </c>
      <c r="I63" s="213"/>
      <c r="J63" s="213"/>
      <c r="K63" s="213">
        <f>L63+M63</f>
        <v>9.109</v>
      </c>
      <c r="L63" s="219"/>
      <c r="M63" s="213">
        <v>9.109</v>
      </c>
      <c r="N63" s="518">
        <f t="shared" si="12"/>
        <v>0</v>
      </c>
      <c r="O63" s="219"/>
      <c r="P63" s="213"/>
      <c r="Q63" s="1081">
        <v>0</v>
      </c>
      <c r="R63" s="1052">
        <v>0</v>
      </c>
      <c r="S63" s="1114">
        <v>0</v>
      </c>
      <c r="T63" s="305">
        <v>0</v>
      </c>
    </row>
    <row r="64" spans="1:22" s="299" customFormat="1" ht="16.5" customHeight="1">
      <c r="A64" s="280" t="s">
        <v>256</v>
      </c>
      <c r="B64" s="296" t="s">
        <v>960</v>
      </c>
      <c r="C64" s="533">
        <v>6958</v>
      </c>
      <c r="D64" s="533">
        <v>6958</v>
      </c>
      <c r="E64" s="533">
        <f>D64</f>
        <v>6958</v>
      </c>
      <c r="F64" s="279">
        <v>0</v>
      </c>
      <c r="G64" s="219">
        <f t="shared" si="14"/>
        <v>14136.277345999999</v>
      </c>
      <c r="H64" s="213">
        <f t="shared" si="11"/>
        <v>6840.5094760000002</v>
      </c>
      <c r="I64" s="213"/>
      <c r="J64" s="213">
        <v>6840.5094760000002</v>
      </c>
      <c r="K64" s="213">
        <f>L64+M64</f>
        <v>7295.7678699999997</v>
      </c>
      <c r="L64" s="219"/>
      <c r="M64" s="213">
        <v>7295.7678699999997</v>
      </c>
      <c r="N64" s="518">
        <f t="shared" si="12"/>
        <v>0</v>
      </c>
      <c r="O64" s="219"/>
      <c r="P64" s="213"/>
      <c r="Q64" s="1083">
        <f>G64/C64*100</f>
        <v>203.16581411325089</v>
      </c>
      <c r="R64" s="1093">
        <f t="shared" ref="R64:S77" si="15">G64/D64*100</f>
        <v>203.16581411325089</v>
      </c>
      <c r="S64" s="1114">
        <f t="shared" si="1"/>
        <v>98.311432538085668</v>
      </c>
      <c r="T64" s="305">
        <v>0</v>
      </c>
    </row>
    <row r="65" spans="1:20" s="299" customFormat="1">
      <c r="A65" s="280" t="s">
        <v>258</v>
      </c>
      <c r="B65" s="296" t="s">
        <v>979</v>
      </c>
      <c r="C65" s="533">
        <v>25000</v>
      </c>
      <c r="D65" s="532">
        <v>25000</v>
      </c>
      <c r="E65" s="532">
        <f>D65</f>
        <v>25000</v>
      </c>
      <c r="F65" s="279">
        <v>0</v>
      </c>
      <c r="G65" s="219">
        <f t="shared" si="14"/>
        <v>15904.023847</v>
      </c>
      <c r="H65" s="213">
        <f t="shared" si="11"/>
        <v>15904.023847</v>
      </c>
      <c r="I65" s="213">
        <v>15904.023847</v>
      </c>
      <c r="J65" s="213"/>
      <c r="K65" s="518">
        <f>L65+M65</f>
        <v>0</v>
      </c>
      <c r="L65" s="219"/>
      <c r="M65" s="213"/>
      <c r="N65" s="518">
        <f t="shared" si="12"/>
        <v>0</v>
      </c>
      <c r="O65" s="219"/>
      <c r="P65" s="213"/>
      <c r="Q65" s="1083">
        <f t="shared" ref="Q65:Q76" si="16">G65/C65*100</f>
        <v>63.616095388000005</v>
      </c>
      <c r="R65" s="1093">
        <f t="shared" si="15"/>
        <v>63.616095388000005</v>
      </c>
      <c r="S65" s="1114">
        <f t="shared" si="1"/>
        <v>63.616095388000005</v>
      </c>
      <c r="T65" s="305">
        <v>0</v>
      </c>
    </row>
    <row r="66" spans="1:20" s="299" customFormat="1">
      <c r="A66" s="280" t="s">
        <v>260</v>
      </c>
      <c r="B66" s="296" t="s">
        <v>961</v>
      </c>
      <c r="C66" s="533">
        <v>30574</v>
      </c>
      <c r="D66" s="532">
        <v>30574</v>
      </c>
      <c r="E66" s="532">
        <f>D66</f>
        <v>30574</v>
      </c>
      <c r="F66" s="279">
        <v>0</v>
      </c>
      <c r="G66" s="219">
        <f t="shared" si="14"/>
        <v>33046.902189</v>
      </c>
      <c r="H66" s="213">
        <f t="shared" si="11"/>
        <v>33046.902189</v>
      </c>
      <c r="I66" s="213">
        <v>30216.262261</v>
      </c>
      <c r="J66" s="213">
        <v>2830.6399280000001</v>
      </c>
      <c r="K66" s="518">
        <f>L66+M66</f>
        <v>0</v>
      </c>
      <c r="L66" s="219"/>
      <c r="M66" s="213"/>
      <c r="N66" s="518">
        <f t="shared" si="12"/>
        <v>0</v>
      </c>
      <c r="O66" s="219"/>
      <c r="P66" s="213"/>
      <c r="Q66" s="1083">
        <f t="shared" si="16"/>
        <v>108.08825207365736</v>
      </c>
      <c r="R66" s="1093">
        <f t="shared" si="15"/>
        <v>108.08825207365736</v>
      </c>
      <c r="S66" s="1114">
        <f t="shared" si="1"/>
        <v>108.08825207365736</v>
      </c>
      <c r="T66" s="305">
        <v>0</v>
      </c>
    </row>
    <row r="67" spans="1:20" s="299" customFormat="1" ht="45">
      <c r="A67" s="280" t="s">
        <v>262</v>
      </c>
      <c r="B67" s="296" t="s">
        <v>962</v>
      </c>
      <c r="C67" s="533">
        <v>69232</v>
      </c>
      <c r="D67" s="532">
        <v>69232</v>
      </c>
      <c r="E67" s="532">
        <f t="shared" ref="E67:E76" si="17">D67</f>
        <v>69232</v>
      </c>
      <c r="F67" s="279">
        <v>0</v>
      </c>
      <c r="G67" s="219">
        <f t="shared" si="14"/>
        <v>52273.083454</v>
      </c>
      <c r="H67" s="213">
        <f t="shared" si="11"/>
        <v>52273.083454</v>
      </c>
      <c r="I67" s="213">
        <v>52273.083454</v>
      </c>
      <c r="J67" s="213"/>
      <c r="K67" s="518">
        <f t="shared" ref="K67:K76" si="18">L67+M67</f>
        <v>0</v>
      </c>
      <c r="L67" s="219"/>
      <c r="M67" s="213"/>
      <c r="N67" s="518">
        <f t="shared" si="12"/>
        <v>0</v>
      </c>
      <c r="O67" s="219"/>
      <c r="P67" s="213"/>
      <c r="Q67" s="1083">
        <f t="shared" si="16"/>
        <v>75.504222691818811</v>
      </c>
      <c r="R67" s="1093">
        <f t="shared" si="15"/>
        <v>75.504222691818811</v>
      </c>
      <c r="S67" s="1114">
        <f t="shared" si="1"/>
        <v>75.504222691818811</v>
      </c>
      <c r="T67" s="305">
        <v>0</v>
      </c>
    </row>
    <row r="68" spans="1:20" s="299" customFormat="1" ht="45">
      <c r="A68" s="280" t="s">
        <v>264</v>
      </c>
      <c r="B68" s="296" t="s">
        <v>963</v>
      </c>
      <c r="C68" s="533">
        <v>1380</v>
      </c>
      <c r="D68" s="533">
        <v>1380</v>
      </c>
      <c r="E68" s="532">
        <f t="shared" si="17"/>
        <v>1380</v>
      </c>
      <c r="F68" s="279">
        <v>0</v>
      </c>
      <c r="G68" s="219">
        <f t="shared" si="14"/>
        <v>3600</v>
      </c>
      <c r="H68" s="213">
        <f t="shared" si="11"/>
        <v>3600</v>
      </c>
      <c r="I68" s="213"/>
      <c r="J68" s="213">
        <v>3600</v>
      </c>
      <c r="K68" s="518">
        <f t="shared" si="18"/>
        <v>0</v>
      </c>
      <c r="L68" s="219"/>
      <c r="M68" s="213"/>
      <c r="N68" s="518">
        <f t="shared" si="12"/>
        <v>0</v>
      </c>
      <c r="O68" s="219"/>
      <c r="P68" s="213"/>
      <c r="Q68" s="1083">
        <f t="shared" si="16"/>
        <v>260.86956521739131</v>
      </c>
      <c r="R68" s="1093">
        <f t="shared" si="15"/>
        <v>260.86956521739131</v>
      </c>
      <c r="S68" s="1114">
        <f t="shared" si="1"/>
        <v>260.86956521739131</v>
      </c>
      <c r="T68" s="305">
        <v>0</v>
      </c>
    </row>
    <row r="69" spans="1:20" s="299" customFormat="1" ht="30">
      <c r="A69" s="280" t="s">
        <v>266</v>
      </c>
      <c r="B69" s="296" t="s">
        <v>964</v>
      </c>
      <c r="C69" s="533">
        <v>3507</v>
      </c>
      <c r="D69" s="533">
        <v>3507</v>
      </c>
      <c r="E69" s="532">
        <f t="shared" si="17"/>
        <v>3507</v>
      </c>
      <c r="F69" s="279">
        <v>0</v>
      </c>
      <c r="G69" s="219">
        <f t="shared" si="14"/>
        <v>6239.549</v>
      </c>
      <c r="H69" s="213">
        <f t="shared" si="11"/>
        <v>6239.549</v>
      </c>
      <c r="I69" s="213"/>
      <c r="J69" s="213">
        <v>6239.549</v>
      </c>
      <c r="K69" s="518">
        <f t="shared" si="18"/>
        <v>0</v>
      </c>
      <c r="L69" s="219"/>
      <c r="M69" s="213"/>
      <c r="N69" s="518">
        <f t="shared" si="12"/>
        <v>0</v>
      </c>
      <c r="O69" s="219"/>
      <c r="P69" s="213"/>
      <c r="Q69" s="1083">
        <f t="shared" si="16"/>
        <v>177.91699458226404</v>
      </c>
      <c r="R69" s="1093">
        <f t="shared" si="15"/>
        <v>177.91699458226404</v>
      </c>
      <c r="S69" s="1114">
        <f t="shared" si="1"/>
        <v>177.91699458226404</v>
      </c>
      <c r="T69" s="305">
        <v>0</v>
      </c>
    </row>
    <row r="70" spans="1:20" s="299" customFormat="1" ht="30">
      <c r="A70" s="280" t="s">
        <v>268</v>
      </c>
      <c r="B70" s="296" t="s">
        <v>965</v>
      </c>
      <c r="C70" s="533">
        <f>5458+1126</f>
        <v>6584</v>
      </c>
      <c r="D70" s="532">
        <f>5458+1126</f>
        <v>6584</v>
      </c>
      <c r="E70" s="532">
        <f t="shared" si="17"/>
        <v>6584</v>
      </c>
      <c r="F70" s="279">
        <v>0</v>
      </c>
      <c r="G70" s="219">
        <f t="shared" si="14"/>
        <v>5525.3890000000001</v>
      </c>
      <c r="H70" s="213">
        <f t="shared" si="11"/>
        <v>5525.3890000000001</v>
      </c>
      <c r="I70" s="213">
        <v>4914.5780000000004</v>
      </c>
      <c r="J70" s="213">
        <v>610.81100000000004</v>
      </c>
      <c r="K70" s="518">
        <f t="shared" si="18"/>
        <v>0</v>
      </c>
      <c r="L70" s="219"/>
      <c r="M70" s="213"/>
      <c r="N70" s="518">
        <f t="shared" si="12"/>
        <v>0</v>
      </c>
      <c r="O70" s="219"/>
      <c r="P70" s="213"/>
      <c r="Q70" s="1083">
        <f t="shared" si="16"/>
        <v>83.921461117861483</v>
      </c>
      <c r="R70" s="1093">
        <f t="shared" si="15"/>
        <v>83.921461117861483</v>
      </c>
      <c r="S70" s="1114">
        <f t="shared" si="1"/>
        <v>83.921461117861483</v>
      </c>
      <c r="T70" s="305">
        <v>0</v>
      </c>
    </row>
    <row r="71" spans="1:20" s="299" customFormat="1">
      <c r="A71" s="280" t="s">
        <v>270</v>
      </c>
      <c r="B71" s="296" t="s">
        <v>966</v>
      </c>
      <c r="C71" s="533">
        <v>1115</v>
      </c>
      <c r="D71" s="533">
        <v>1115</v>
      </c>
      <c r="E71" s="532">
        <f t="shared" si="17"/>
        <v>1115</v>
      </c>
      <c r="F71" s="279">
        <v>0</v>
      </c>
      <c r="G71" s="219">
        <f t="shared" si="14"/>
        <v>2343.4521</v>
      </c>
      <c r="H71" s="213">
        <f t="shared" si="11"/>
        <v>2343.4521</v>
      </c>
      <c r="I71" s="213"/>
      <c r="J71" s="213">
        <v>2343.4521</v>
      </c>
      <c r="K71" s="518">
        <f t="shared" si="18"/>
        <v>0</v>
      </c>
      <c r="L71" s="219"/>
      <c r="M71" s="213"/>
      <c r="N71" s="518">
        <f t="shared" si="12"/>
        <v>0</v>
      </c>
      <c r="O71" s="219"/>
      <c r="P71" s="213"/>
      <c r="Q71" s="1083">
        <f t="shared" si="16"/>
        <v>210.17507623318386</v>
      </c>
      <c r="R71" s="1093">
        <f t="shared" si="15"/>
        <v>210.17507623318386</v>
      </c>
      <c r="S71" s="1114">
        <f t="shared" si="1"/>
        <v>210.17507623318386</v>
      </c>
      <c r="T71" s="305">
        <v>0</v>
      </c>
    </row>
    <row r="72" spans="1:20" s="299" customFormat="1" ht="30">
      <c r="A72" s="280" t="s">
        <v>272</v>
      </c>
      <c r="B72" s="296" t="s">
        <v>967</v>
      </c>
      <c r="C72" s="533">
        <v>398105</v>
      </c>
      <c r="D72" s="533">
        <v>398105</v>
      </c>
      <c r="E72" s="532">
        <f t="shared" si="17"/>
        <v>398105</v>
      </c>
      <c r="F72" s="279">
        <v>0</v>
      </c>
      <c r="G72" s="219">
        <f t="shared" si="14"/>
        <v>147456.36254599999</v>
      </c>
      <c r="H72" s="213">
        <f t="shared" si="11"/>
        <v>147456.36254599999</v>
      </c>
      <c r="I72" s="213">
        <v>147456.36254599999</v>
      </c>
      <c r="J72" s="213"/>
      <c r="K72" s="518">
        <f t="shared" si="18"/>
        <v>0</v>
      </c>
      <c r="L72" s="219"/>
      <c r="M72" s="213"/>
      <c r="N72" s="518">
        <f t="shared" si="12"/>
        <v>0</v>
      </c>
      <c r="O72" s="219"/>
      <c r="P72" s="213"/>
      <c r="Q72" s="1083">
        <f t="shared" si="16"/>
        <v>37.039565578427798</v>
      </c>
      <c r="R72" s="1093">
        <f t="shared" si="15"/>
        <v>37.039565578427798</v>
      </c>
      <c r="S72" s="1114">
        <f t="shared" si="1"/>
        <v>37.039565578427798</v>
      </c>
      <c r="T72" s="305">
        <v>0</v>
      </c>
    </row>
    <row r="73" spans="1:20" s="299" customFormat="1" ht="30">
      <c r="A73" s="280" t="s">
        <v>274</v>
      </c>
      <c r="B73" s="296" t="s">
        <v>968</v>
      </c>
      <c r="C73" s="533">
        <v>135433</v>
      </c>
      <c r="D73" s="532">
        <v>135433</v>
      </c>
      <c r="E73" s="532">
        <f t="shared" si="17"/>
        <v>135433</v>
      </c>
      <c r="F73" s="279">
        <v>0</v>
      </c>
      <c r="G73" s="219">
        <f t="shared" si="14"/>
        <v>103542.33500000001</v>
      </c>
      <c r="H73" s="213">
        <f t="shared" si="11"/>
        <v>103542.33500000001</v>
      </c>
      <c r="I73" s="213">
        <v>103542.33500000001</v>
      </c>
      <c r="J73" s="213"/>
      <c r="K73" s="518">
        <f t="shared" si="18"/>
        <v>0</v>
      </c>
      <c r="L73" s="219"/>
      <c r="M73" s="213"/>
      <c r="N73" s="518">
        <f t="shared" si="12"/>
        <v>0</v>
      </c>
      <c r="O73" s="219"/>
      <c r="P73" s="213"/>
      <c r="Q73" s="1083">
        <f t="shared" si="16"/>
        <v>76.452810614842775</v>
      </c>
      <c r="R73" s="1093">
        <f t="shared" si="15"/>
        <v>76.452810614842775</v>
      </c>
      <c r="S73" s="1114">
        <f t="shared" si="1"/>
        <v>76.452810614842775</v>
      </c>
      <c r="T73" s="305">
        <v>0</v>
      </c>
    </row>
    <row r="74" spans="1:20" s="299" customFormat="1" ht="30">
      <c r="A74" s="280" t="s">
        <v>276</v>
      </c>
      <c r="B74" s="296" t="s">
        <v>969</v>
      </c>
      <c r="C74" s="533">
        <v>26800</v>
      </c>
      <c r="D74" s="532">
        <v>26800</v>
      </c>
      <c r="E74" s="532">
        <f t="shared" si="17"/>
        <v>26800</v>
      </c>
      <c r="F74" s="279">
        <v>0</v>
      </c>
      <c r="G74" s="219">
        <f t="shared" si="14"/>
        <v>15100</v>
      </c>
      <c r="H74" s="213">
        <f t="shared" si="11"/>
        <v>15100</v>
      </c>
      <c r="I74" s="213">
        <v>15100</v>
      </c>
      <c r="J74" s="213"/>
      <c r="K74" s="518">
        <f t="shared" si="18"/>
        <v>0</v>
      </c>
      <c r="L74" s="219"/>
      <c r="M74" s="213"/>
      <c r="N74" s="518">
        <f t="shared" si="12"/>
        <v>0</v>
      </c>
      <c r="O74" s="219"/>
      <c r="P74" s="213"/>
      <c r="Q74" s="1083">
        <f t="shared" si="16"/>
        <v>56.343283582089555</v>
      </c>
      <c r="R74" s="1093">
        <f t="shared" si="15"/>
        <v>56.343283582089555</v>
      </c>
      <c r="S74" s="1114">
        <f t="shared" si="15"/>
        <v>56.343283582089555</v>
      </c>
      <c r="T74" s="305">
        <v>0</v>
      </c>
    </row>
    <row r="75" spans="1:20" s="299" customFormat="1" ht="45">
      <c r="A75" s="280" t="s">
        <v>278</v>
      </c>
      <c r="B75" s="296" t="s">
        <v>970</v>
      </c>
      <c r="C75" s="533">
        <v>73503</v>
      </c>
      <c r="D75" s="532">
        <v>73503</v>
      </c>
      <c r="E75" s="532">
        <f t="shared" si="17"/>
        <v>73503</v>
      </c>
      <c r="F75" s="279">
        <v>0</v>
      </c>
      <c r="G75" s="219">
        <f t="shared" si="14"/>
        <v>72373.925873999993</v>
      </c>
      <c r="H75" s="213">
        <f t="shared" si="11"/>
        <v>72373.925873999993</v>
      </c>
      <c r="I75" s="213">
        <v>72373.925873999993</v>
      </c>
      <c r="J75" s="213"/>
      <c r="K75" s="518">
        <f t="shared" si="18"/>
        <v>0</v>
      </c>
      <c r="L75" s="219"/>
      <c r="M75" s="213"/>
      <c r="N75" s="518">
        <f t="shared" si="12"/>
        <v>0</v>
      </c>
      <c r="O75" s="219"/>
      <c r="P75" s="213"/>
      <c r="Q75" s="1083">
        <f t="shared" si="16"/>
        <v>98.463907424186758</v>
      </c>
      <c r="R75" s="1093">
        <f t="shared" si="15"/>
        <v>98.463907424186758</v>
      </c>
      <c r="S75" s="1114">
        <f t="shared" si="15"/>
        <v>98.463907424186758</v>
      </c>
      <c r="T75" s="305">
        <v>0</v>
      </c>
    </row>
    <row r="76" spans="1:20" s="299" customFormat="1">
      <c r="A76" s="280" t="s">
        <v>972</v>
      </c>
      <c r="B76" s="296" t="s">
        <v>971</v>
      </c>
      <c r="C76" s="533">
        <v>27000</v>
      </c>
      <c r="D76" s="532">
        <v>27000</v>
      </c>
      <c r="E76" s="532">
        <f t="shared" si="17"/>
        <v>27000</v>
      </c>
      <c r="F76" s="279">
        <v>0</v>
      </c>
      <c r="G76" s="219">
        <f t="shared" si="14"/>
        <v>26031.25</v>
      </c>
      <c r="H76" s="213">
        <f>I76+J76</f>
        <v>26031.25</v>
      </c>
      <c r="I76" s="213">
        <v>26031.25</v>
      </c>
      <c r="J76" s="213"/>
      <c r="K76" s="518">
        <f t="shared" si="18"/>
        <v>0</v>
      </c>
      <c r="L76" s="219"/>
      <c r="M76" s="213"/>
      <c r="N76" s="518">
        <f t="shared" si="12"/>
        <v>0</v>
      </c>
      <c r="O76" s="219"/>
      <c r="P76" s="213"/>
      <c r="Q76" s="1083">
        <f t="shared" si="16"/>
        <v>96.412037037037038</v>
      </c>
      <c r="R76" s="1093">
        <f t="shared" si="15"/>
        <v>96.412037037037038</v>
      </c>
      <c r="S76" s="1114">
        <f t="shared" si="15"/>
        <v>96.412037037037038</v>
      </c>
      <c r="T76" s="305">
        <v>0</v>
      </c>
    </row>
    <row r="77" spans="1:20" s="302" customFormat="1" ht="16.5" customHeight="1">
      <c r="A77" s="280" t="s">
        <v>973</v>
      </c>
      <c r="B77" s="217" t="s">
        <v>332</v>
      </c>
      <c r="C77" s="523">
        <f>340378+C78+1002164-135433-25000-69232-73503-5458-27000-30574-26800-6958-1115-1380-3507-1126</f>
        <v>1014468</v>
      </c>
      <c r="D77" s="471">
        <f>1674369-398105-135433-25000-69232-73503-5458-27000-30574-26800-6958-1115-1380-3507-1126</f>
        <v>869178</v>
      </c>
      <c r="E77" s="471">
        <f>+D77</f>
        <v>869178</v>
      </c>
      <c r="F77" s="279">
        <v>0</v>
      </c>
      <c r="G77" s="213">
        <f>H77+K77</f>
        <v>226926.56017300001</v>
      </c>
      <c r="H77" s="213">
        <f>+I77+J77</f>
        <v>179020.56017300001</v>
      </c>
      <c r="I77" s="213">
        <f>165347.560173+I78</f>
        <v>165347.56017300001</v>
      </c>
      <c r="J77" s="213">
        <f>J78+560+110+9153+3850</f>
        <v>13673</v>
      </c>
      <c r="K77" s="213">
        <f>+L77+M77+N77</f>
        <v>47906</v>
      </c>
      <c r="L77" s="213"/>
      <c r="M77" s="213">
        <f>37493+8942</f>
        <v>46435</v>
      </c>
      <c r="N77" s="213">
        <f>+O77+P77</f>
        <v>1471</v>
      </c>
      <c r="O77" s="213"/>
      <c r="P77" s="213">
        <v>1471</v>
      </c>
      <c r="Q77" s="1083">
        <f>G77/C77*100</f>
        <v>22.369021021165775</v>
      </c>
      <c r="R77" s="1093">
        <f>G77/D77*100</f>
        <v>26.108180392623836</v>
      </c>
      <c r="S77" s="1114">
        <f t="shared" si="15"/>
        <v>20.596536057401359</v>
      </c>
      <c r="T77" s="305">
        <v>0</v>
      </c>
    </row>
    <row r="78" spans="1:20" s="117" customFormat="1" ht="15" hidden="1" customHeight="1">
      <c r="A78" s="217"/>
      <c r="B78" s="404" t="s">
        <v>941</v>
      </c>
      <c r="C78" s="519">
        <f>477117-398105</f>
        <v>79012</v>
      </c>
      <c r="D78" s="405">
        <f>477117-398105</f>
        <v>79012</v>
      </c>
      <c r="E78" s="279">
        <v>0</v>
      </c>
      <c r="F78" s="279">
        <v>0</v>
      </c>
      <c r="G78" s="518">
        <f>+H78</f>
        <v>0</v>
      </c>
      <c r="H78" s="518">
        <v>0</v>
      </c>
      <c r="I78" s="518"/>
      <c r="J78" s="518">
        <v>0</v>
      </c>
      <c r="K78" s="518">
        <v>0</v>
      </c>
      <c r="L78" s="518"/>
      <c r="M78" s="518"/>
      <c r="N78" s="518">
        <v>0</v>
      </c>
      <c r="O78" s="286"/>
      <c r="P78" s="286"/>
      <c r="Q78" s="1082">
        <v>0</v>
      </c>
      <c r="R78" s="1048">
        <v>0</v>
      </c>
      <c r="S78" s="305">
        <v>0</v>
      </c>
      <c r="T78" s="305">
        <v>0</v>
      </c>
    </row>
    <row r="79" spans="1:20" s="117" customFormat="1" ht="21" customHeight="1">
      <c r="A79" s="270" t="s">
        <v>121</v>
      </c>
      <c r="B79" s="275" t="s">
        <v>2850</v>
      </c>
      <c r="C79" s="517"/>
      <c r="D79" s="305">
        <v>0</v>
      </c>
      <c r="E79" s="279">
        <v>0</v>
      </c>
      <c r="F79" s="279">
        <v>0</v>
      </c>
      <c r="G79" s="273">
        <f>H79+K79</f>
        <v>1937171.8458830002</v>
      </c>
      <c r="H79" s="205">
        <f>1356884.374032+15074+352681-6143.397308+19245.629-1336.875703</f>
        <v>1736404.7300210001</v>
      </c>
      <c r="I79" s="205"/>
      <c r="J79" s="205"/>
      <c r="K79" s="205">
        <f>179265.127346+N79</f>
        <v>200767.11586200001</v>
      </c>
      <c r="L79" s="205"/>
      <c r="M79" s="205"/>
      <c r="N79" s="205">
        <v>21501.988516000001</v>
      </c>
      <c r="O79" s="273"/>
      <c r="P79" s="205"/>
      <c r="Q79" s="1080"/>
      <c r="R79" s="305">
        <v>0</v>
      </c>
      <c r="S79" s="305">
        <v>0</v>
      </c>
      <c r="T79" s="305">
        <v>0</v>
      </c>
    </row>
    <row r="80" spans="1:20" s="117" customFormat="1" ht="15" hidden="1" customHeight="1">
      <c r="A80" s="270" t="s">
        <v>428</v>
      </c>
      <c r="B80" s="1038" t="s">
        <v>338</v>
      </c>
      <c r="C80" s="518">
        <v>0</v>
      </c>
      <c r="D80" s="305">
        <v>0</v>
      </c>
      <c r="E80" s="279">
        <v>0</v>
      </c>
      <c r="F80" s="279">
        <v>0</v>
      </c>
      <c r="G80" s="273">
        <v>0</v>
      </c>
      <c r="H80" s="594"/>
      <c r="I80" s="205"/>
      <c r="J80" s="205"/>
      <c r="K80" s="273"/>
      <c r="L80" s="273"/>
      <c r="M80" s="205"/>
      <c r="N80" s="518">
        <v>0</v>
      </c>
      <c r="O80" s="273"/>
      <c r="P80" s="205"/>
      <c r="Q80" s="1081">
        <v>0</v>
      </c>
      <c r="R80" s="1052">
        <v>0</v>
      </c>
      <c r="S80" s="305">
        <v>0</v>
      </c>
      <c r="T80" s="305">
        <v>0</v>
      </c>
    </row>
    <row r="81" spans="1:22" s="117" customFormat="1" ht="15" hidden="1" customHeight="1">
      <c r="A81" s="270"/>
      <c r="B81" s="275"/>
      <c r="C81" s="518"/>
      <c r="D81" s="305"/>
      <c r="E81" s="279">
        <v>0</v>
      </c>
      <c r="F81" s="279">
        <v>0</v>
      </c>
      <c r="G81" s="273"/>
      <c r="H81" s="594"/>
      <c r="I81" s="205"/>
      <c r="J81" s="205"/>
      <c r="K81" s="273"/>
      <c r="L81" s="273"/>
      <c r="M81" s="205"/>
      <c r="N81" s="518"/>
      <c r="O81" s="273"/>
      <c r="P81" s="205"/>
      <c r="Q81" s="1081"/>
      <c r="R81" s="1052"/>
      <c r="S81" s="305">
        <v>0</v>
      </c>
      <c r="T81" s="305">
        <v>0</v>
      </c>
    </row>
    <row r="82" spans="1:22" ht="15" hidden="1" customHeight="1">
      <c r="A82" s="270" t="s">
        <v>80</v>
      </c>
      <c r="B82" s="271" t="s">
        <v>333</v>
      </c>
      <c r="C82" s="518">
        <f>+C83+C84</f>
        <v>0</v>
      </c>
      <c r="D82" s="305">
        <f>+D83+D84</f>
        <v>0</v>
      </c>
      <c r="E82" s="279">
        <v>0</v>
      </c>
      <c r="F82" s="279">
        <v>0</v>
      </c>
      <c r="G82" s="273"/>
      <c r="H82" s="205"/>
      <c r="I82" s="205">
        <f t="shared" ref="I82:O82" si="19">+I83+I84</f>
        <v>0</v>
      </c>
      <c r="J82" s="205">
        <f t="shared" si="19"/>
        <v>0</v>
      </c>
      <c r="K82" s="273"/>
      <c r="L82" s="273">
        <f t="shared" si="19"/>
        <v>0</v>
      </c>
      <c r="M82" s="205">
        <f t="shared" si="19"/>
        <v>0</v>
      </c>
      <c r="N82" s="518">
        <f t="shared" si="19"/>
        <v>0</v>
      </c>
      <c r="O82" s="273">
        <f t="shared" si="19"/>
        <v>0</v>
      </c>
      <c r="P82" s="205"/>
      <c r="Q82" s="1081">
        <v>0</v>
      </c>
      <c r="R82" s="1052">
        <v>0</v>
      </c>
      <c r="S82" s="305">
        <v>0</v>
      </c>
      <c r="T82" s="305">
        <v>0</v>
      </c>
    </row>
    <row r="83" spans="1:22" ht="15" hidden="1" customHeight="1">
      <c r="A83" s="304">
        <v>1</v>
      </c>
      <c r="B83" s="281" t="s">
        <v>334</v>
      </c>
      <c r="C83" s="518">
        <v>0</v>
      </c>
      <c r="D83" s="305">
        <v>0</v>
      </c>
      <c r="E83" s="279">
        <v>0</v>
      </c>
      <c r="F83" s="279">
        <v>0</v>
      </c>
      <c r="G83" s="219">
        <f>H83+K83+N83</f>
        <v>3379385.2131139999</v>
      </c>
      <c r="H83" s="213">
        <v>2795442.0380000002</v>
      </c>
      <c r="I83" s="213"/>
      <c r="J83" s="213"/>
      <c r="K83" s="218">
        <v>583943.17511399998</v>
      </c>
      <c r="L83" s="219"/>
      <c r="M83" s="213"/>
      <c r="N83" s="518">
        <v>0</v>
      </c>
      <c r="O83" s="219"/>
      <c r="P83" s="213"/>
      <c r="Q83" s="1081">
        <v>0</v>
      </c>
      <c r="R83" s="1052">
        <v>0</v>
      </c>
      <c r="S83" s="305">
        <v>0</v>
      </c>
      <c r="T83" s="305">
        <v>0</v>
      </c>
    </row>
    <row r="84" spans="1:22" ht="15.75" hidden="1" customHeight="1">
      <c r="A84" s="304">
        <v>2</v>
      </c>
      <c r="B84" s="281" t="s">
        <v>335</v>
      </c>
      <c r="C84" s="518">
        <f>+C85+C86</f>
        <v>0</v>
      </c>
      <c r="D84" s="305">
        <f>+D85+D86</f>
        <v>0</v>
      </c>
      <c r="E84" s="279">
        <v>0</v>
      </c>
      <c r="F84" s="279">
        <v>0</v>
      </c>
      <c r="G84" s="219">
        <f>H84+K84+N84</f>
        <v>1823444.8353929999</v>
      </c>
      <c r="H84" s="213">
        <f>+H85+H86</f>
        <v>1373917.5312719999</v>
      </c>
      <c r="I84" s="213"/>
      <c r="J84" s="213"/>
      <c r="K84" s="213">
        <f>+K85+K86</f>
        <v>449527.30412099999</v>
      </c>
      <c r="L84" s="219"/>
      <c r="M84" s="213"/>
      <c r="N84" s="518">
        <f>+N85+N86</f>
        <v>0</v>
      </c>
      <c r="O84" s="219"/>
      <c r="P84" s="213"/>
      <c r="Q84" s="1081">
        <v>0</v>
      </c>
      <c r="R84" s="1052">
        <v>0</v>
      </c>
      <c r="S84" s="305">
        <v>0</v>
      </c>
      <c r="T84" s="305">
        <v>0</v>
      </c>
    </row>
    <row r="85" spans="1:22" ht="15.75" hidden="1" customHeight="1">
      <c r="A85" s="304" t="s">
        <v>291</v>
      </c>
      <c r="B85" s="281" t="s">
        <v>336</v>
      </c>
      <c r="C85" s="518">
        <v>0</v>
      </c>
      <c r="D85" s="305">
        <v>0</v>
      </c>
      <c r="E85" s="279">
        <v>0</v>
      </c>
      <c r="F85" s="279">
        <v>0</v>
      </c>
      <c r="G85" s="219">
        <f>H85+K85+N85</f>
        <v>1823444.8353929999</v>
      </c>
      <c r="H85" s="213">
        <v>1373917.5312719999</v>
      </c>
      <c r="I85" s="213"/>
      <c r="J85" s="213"/>
      <c r="K85" s="218">
        <v>449527.30412099999</v>
      </c>
      <c r="L85" s="219"/>
      <c r="M85" s="213"/>
      <c r="N85" s="518">
        <v>0</v>
      </c>
      <c r="O85" s="219"/>
      <c r="P85" s="213"/>
      <c r="Q85" s="1081">
        <v>0</v>
      </c>
      <c r="R85" s="1052">
        <v>0</v>
      </c>
      <c r="S85" s="305">
        <v>0</v>
      </c>
      <c r="T85" s="305">
        <v>0</v>
      </c>
    </row>
    <row r="86" spans="1:22" ht="14.25" hidden="1" customHeight="1">
      <c r="A86" s="304" t="s">
        <v>293</v>
      </c>
      <c r="B86" s="281" t="s">
        <v>337</v>
      </c>
      <c r="C86" s="518">
        <v>0</v>
      </c>
      <c r="D86" s="305">
        <v>0</v>
      </c>
      <c r="E86" s="279">
        <v>0</v>
      </c>
      <c r="F86" s="279">
        <v>0</v>
      </c>
      <c r="G86" s="305">
        <v>0</v>
      </c>
      <c r="H86" s="305">
        <v>0</v>
      </c>
      <c r="I86" s="305"/>
      <c r="J86" s="305"/>
      <c r="K86" s="305">
        <v>0</v>
      </c>
      <c r="L86" s="219"/>
      <c r="M86" s="213"/>
      <c r="N86" s="518">
        <v>0</v>
      </c>
      <c r="O86" s="219"/>
      <c r="P86" s="213"/>
      <c r="Q86" s="1081">
        <v>0</v>
      </c>
      <c r="R86" s="1052">
        <v>0</v>
      </c>
      <c r="S86" s="305">
        <v>0</v>
      </c>
      <c r="T86" s="305">
        <v>0</v>
      </c>
      <c r="U86" s="103"/>
    </row>
    <row r="87" spans="1:22" s="119" customFormat="1" ht="14.25" hidden="1" customHeight="1">
      <c r="E87" s="279">
        <v>0</v>
      </c>
      <c r="F87" s="279">
        <v>0</v>
      </c>
      <c r="R87" s="1074"/>
      <c r="S87" s="305">
        <v>0</v>
      </c>
      <c r="T87" s="305">
        <v>0</v>
      </c>
    </row>
    <row r="88" spans="1:22" s="126" customFormat="1" ht="17.25" hidden="1" customHeight="1">
      <c r="A88" s="281"/>
      <c r="B88" s="270" t="s">
        <v>339</v>
      </c>
      <c r="C88" s="517">
        <f>+C10+C85</f>
        <v>7211277</v>
      </c>
      <c r="D88" s="276">
        <f>+D10+D82</f>
        <v>7614234</v>
      </c>
      <c r="E88" s="279">
        <v>0</v>
      </c>
      <c r="F88" s="279">
        <v>0</v>
      </c>
      <c r="G88" s="273">
        <f>+H88+K88+N88</f>
        <v>9674298.5926159993</v>
      </c>
      <c r="H88" s="205">
        <f>H10+H82+H80</f>
        <v>3798217.7427130002</v>
      </c>
      <c r="I88" s="205">
        <f>+I82+I10</f>
        <v>0</v>
      </c>
      <c r="J88" s="205">
        <f>+J82+J10</f>
        <v>0</v>
      </c>
      <c r="K88" s="205">
        <f>K10+K82+K80</f>
        <v>4717748.0606079996</v>
      </c>
      <c r="L88" s="205">
        <f>+L82+L10</f>
        <v>0</v>
      </c>
      <c r="M88" s="205">
        <f>+M82+M10</f>
        <v>0</v>
      </c>
      <c r="N88" s="205">
        <f>N10+N82+N80</f>
        <v>1158332.789295</v>
      </c>
      <c r="O88" s="273"/>
      <c r="P88" s="205"/>
      <c r="Q88" s="1080">
        <f>G88/C88*100</f>
        <v>134.15513774628266</v>
      </c>
      <c r="R88" s="1053">
        <f>G88/D88*100</f>
        <v>127.05544106755846</v>
      </c>
      <c r="S88" s="305">
        <v>0</v>
      </c>
      <c r="T88" s="305">
        <v>0</v>
      </c>
      <c r="U88" s="309"/>
    </row>
    <row r="89" spans="1:22" s="126" customFormat="1" ht="16.5" customHeight="1">
      <c r="A89" s="310"/>
      <c r="B89" s="311"/>
      <c r="C89" s="312"/>
      <c r="D89" s="313"/>
      <c r="E89" s="313"/>
      <c r="F89" s="313"/>
      <c r="G89" s="312"/>
      <c r="H89" s="314"/>
      <c r="I89" s="314"/>
      <c r="J89" s="314"/>
      <c r="K89" s="314"/>
      <c r="L89" s="314"/>
      <c r="M89" s="314"/>
      <c r="N89" s="314"/>
      <c r="O89" s="314"/>
      <c r="P89" s="314"/>
      <c r="Q89" s="312"/>
      <c r="R89" s="312"/>
      <c r="S89" s="1118"/>
    </row>
    <row r="90" spans="1:22" s="126" customFormat="1" ht="16.5" hidden="1">
      <c r="A90" s="315"/>
      <c r="B90" s="316" t="s">
        <v>984</v>
      </c>
      <c r="C90" s="1681" t="s">
        <v>985</v>
      </c>
      <c r="D90" s="1681"/>
      <c r="E90" s="1681"/>
      <c r="F90" s="1681"/>
      <c r="G90" s="1681"/>
      <c r="H90" s="1681"/>
      <c r="I90" s="317"/>
      <c r="J90" s="399"/>
      <c r="K90" s="1682" t="s">
        <v>985</v>
      </c>
      <c r="L90" s="1682"/>
      <c r="M90" s="1682"/>
      <c r="N90" s="1682"/>
      <c r="O90" s="1682"/>
      <c r="P90" s="1682"/>
      <c r="Q90" s="1682"/>
      <c r="R90" s="1682"/>
      <c r="S90" s="1118"/>
    </row>
    <row r="91" spans="1:22" s="126" customFormat="1" ht="16.5" hidden="1">
      <c r="A91" s="315"/>
      <c r="B91" s="318" t="s">
        <v>340</v>
      </c>
      <c r="C91" s="1675" t="s">
        <v>239</v>
      </c>
      <c r="D91" s="1675"/>
      <c r="E91" s="1675"/>
      <c r="F91" s="1675"/>
      <c r="G91" s="1675"/>
      <c r="H91" s="1675"/>
      <c r="I91" s="317"/>
      <c r="J91" s="317"/>
      <c r="K91" s="1676" t="s">
        <v>85</v>
      </c>
      <c r="L91" s="1676"/>
      <c r="M91" s="1676"/>
      <c r="N91" s="1676"/>
      <c r="O91" s="1676"/>
      <c r="P91" s="1676"/>
      <c r="Q91" s="1676"/>
      <c r="R91" s="1676"/>
      <c r="S91" s="1118"/>
    </row>
    <row r="92" spans="1:22" s="126" customFormat="1" ht="16.5" hidden="1">
      <c r="A92" s="315"/>
      <c r="B92" s="318"/>
      <c r="C92" s="319"/>
      <c r="D92" s="320"/>
      <c r="E92" s="320"/>
      <c r="F92" s="320"/>
      <c r="G92" s="319"/>
      <c r="H92" s="472"/>
      <c r="I92" s="399"/>
      <c r="J92" s="399"/>
      <c r="K92" s="1676" t="s">
        <v>86</v>
      </c>
      <c r="L92" s="1676"/>
      <c r="M92" s="1676"/>
      <c r="N92" s="1676"/>
      <c r="O92" s="1676"/>
      <c r="P92" s="1676"/>
      <c r="Q92" s="1676"/>
      <c r="R92" s="1676"/>
      <c r="S92" s="1118"/>
      <c r="T92" s="926">
        <f>+'TH CHI_62_342_BTC'!E108</f>
        <v>16564755.349519003</v>
      </c>
      <c r="U92" s="927" t="s">
        <v>2723</v>
      </c>
    </row>
    <row r="93" spans="1:22" s="126" customFormat="1" ht="22.5" hidden="1" customHeight="1">
      <c r="A93" s="310"/>
      <c r="B93" s="311"/>
      <c r="C93" s="312"/>
      <c r="D93" s="313"/>
      <c r="E93" s="313"/>
      <c r="F93" s="313"/>
      <c r="G93" s="472">
        <v>16231065.309237</v>
      </c>
      <c r="H93" s="534">
        <v>10085385.322849</v>
      </c>
      <c r="I93" s="314"/>
      <c r="J93" s="399"/>
      <c r="K93" s="314">
        <v>4987347.1970929997</v>
      </c>
      <c r="L93" s="314"/>
      <c r="M93" s="314"/>
      <c r="N93" s="314"/>
      <c r="O93" s="314"/>
      <c r="P93" s="314"/>
      <c r="Q93" s="312"/>
      <c r="R93" s="312"/>
      <c r="S93" s="1118"/>
      <c r="T93" s="309">
        <f>+G88-T92</f>
        <v>-6890456.7569030039</v>
      </c>
    </row>
    <row r="94" spans="1:22" ht="16.5" hidden="1">
      <c r="B94" s="515"/>
      <c r="C94" s="325"/>
      <c r="D94" s="321"/>
      <c r="E94" s="321"/>
      <c r="F94" s="321"/>
      <c r="G94" s="572">
        <f>+G88-G93</f>
        <v>-6556766.7166210003</v>
      </c>
      <c r="H94" s="572">
        <f>+H93-H88</f>
        <v>6287167.5801359992</v>
      </c>
      <c r="I94" s="577"/>
      <c r="J94" s="578"/>
      <c r="K94" s="572">
        <f>+K88-K93</f>
        <v>-269599.13648500014</v>
      </c>
      <c r="L94" s="1118"/>
      <c r="M94" s="324"/>
      <c r="N94" s="448">
        <v>1158332.789295</v>
      </c>
      <c r="O94" s="1118"/>
      <c r="P94" s="324"/>
      <c r="Q94" s="1118"/>
      <c r="R94" s="1118"/>
      <c r="S94" s="1117"/>
      <c r="T94" s="103"/>
      <c r="V94" s="506"/>
    </row>
    <row r="95" spans="1:22">
      <c r="B95" s="1119"/>
      <c r="C95" s="324"/>
      <c r="D95" s="1117"/>
      <c r="E95" s="1117"/>
      <c r="F95" s="1117"/>
      <c r="G95" s="103"/>
      <c r="H95" s="509"/>
      <c r="I95" s="325"/>
      <c r="J95" s="325"/>
      <c r="K95" s="131"/>
      <c r="L95" s="1119"/>
      <c r="M95" s="326"/>
      <c r="N95" s="572">
        <f>+N88-N94</f>
        <v>0</v>
      </c>
      <c r="O95" s="1119"/>
      <c r="P95" s="326"/>
      <c r="Q95" s="1119"/>
      <c r="R95" s="1119"/>
    </row>
    <row r="96" spans="1:22" ht="15" customHeight="1">
      <c r="G96" s="125"/>
      <c r="H96" s="327"/>
      <c r="I96" s="327"/>
      <c r="J96" s="327"/>
      <c r="K96" s="1117"/>
      <c r="L96" s="1117"/>
      <c r="M96" s="328"/>
      <c r="N96" s="1117"/>
      <c r="O96" s="1117"/>
      <c r="P96" s="328"/>
      <c r="Q96" s="1117"/>
      <c r="R96" s="1117"/>
    </row>
    <row r="97" spans="2:20">
      <c r="G97" s="329"/>
      <c r="H97" s="327"/>
      <c r="K97" s="506"/>
      <c r="N97" s="103"/>
    </row>
    <row r="98" spans="2:20">
      <c r="G98" s="125"/>
      <c r="H98" s="330"/>
      <c r="K98" s="103"/>
      <c r="N98" s="103"/>
      <c r="T98" s="103"/>
    </row>
    <row r="99" spans="2:20">
      <c r="G99" s="103"/>
      <c r="K99" s="103"/>
      <c r="M99" s="330"/>
      <c r="N99" s="103"/>
    </row>
    <row r="100" spans="2:20">
      <c r="H100" s="330"/>
      <c r="K100" s="103"/>
    </row>
    <row r="101" spans="2:20">
      <c r="G101" s="103"/>
      <c r="H101" s="330"/>
    </row>
    <row r="102" spans="2:20">
      <c r="H102" s="330"/>
      <c r="K102" s="103"/>
    </row>
    <row r="103" spans="2:20">
      <c r="H103" s="330"/>
    </row>
    <row r="107" spans="2:20">
      <c r="B107" s="103">
        <v>123456789</v>
      </c>
    </row>
  </sheetData>
  <sheetProtection selectLockedCells="1" selectUnlockedCells="1"/>
  <mergeCells count="21">
    <mergeCell ref="G1:T1"/>
    <mergeCell ref="A2:T2"/>
    <mergeCell ref="K4:T4"/>
    <mergeCell ref="D5:D7"/>
    <mergeCell ref="E5:F5"/>
    <mergeCell ref="G5:G7"/>
    <mergeCell ref="H5:K5"/>
    <mergeCell ref="R5:T5"/>
    <mergeCell ref="E6:E7"/>
    <mergeCell ref="F6:F7"/>
    <mergeCell ref="C91:H91"/>
    <mergeCell ref="K91:R91"/>
    <mergeCell ref="K92:R92"/>
    <mergeCell ref="A3:T3"/>
    <mergeCell ref="H6:H7"/>
    <mergeCell ref="K6:K7"/>
    <mergeCell ref="R6:R7"/>
    <mergeCell ref="S6:S7"/>
    <mergeCell ref="T6:T7"/>
    <mergeCell ref="C90:H90"/>
    <mergeCell ref="K90:R90"/>
  </mergeCells>
  <pageMargins left="0" right="0" top="0.25" bottom="0.25" header="0" footer="0"/>
  <pageSetup paperSize="9" firstPageNumber="0" orientation="landscape"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20"/>
  <sheetViews>
    <sheetView zoomScaleNormal="100" workbookViewId="0">
      <selection activeCell="A4" sqref="A4:G4"/>
    </sheetView>
  </sheetViews>
  <sheetFormatPr defaultRowHeight="16.5"/>
  <cols>
    <col min="1" max="1" width="7" style="573" customWidth="1"/>
    <col min="2" max="2" width="31.85546875" style="573" customWidth="1"/>
    <col min="3" max="3" width="21.85546875" style="573" customWidth="1"/>
    <col min="4" max="4" width="23.5703125" style="573" customWidth="1"/>
    <col min="5" max="5" width="17.42578125" style="573" customWidth="1"/>
    <col min="6" max="6" width="20.42578125" style="573" customWidth="1"/>
    <col min="7" max="7" width="19.140625" style="573" customWidth="1"/>
    <col min="8" max="8" width="13.7109375" style="573" customWidth="1"/>
    <col min="9" max="16384" width="9.140625" style="573"/>
  </cols>
  <sheetData>
    <row r="1" spans="1:8" ht="17.100000000000001" customHeight="1">
      <c r="A1" s="1467" t="s">
        <v>2876</v>
      </c>
      <c r="E1" s="1740" t="s">
        <v>3103</v>
      </c>
      <c r="F1" s="1740"/>
      <c r="G1" s="1740"/>
    </row>
    <row r="2" spans="1:8" ht="17.100000000000001" customHeight="1">
      <c r="A2" s="1467" t="s">
        <v>2878</v>
      </c>
      <c r="E2" s="1740"/>
      <c r="F2" s="1740"/>
      <c r="G2" s="1740"/>
    </row>
    <row r="3" spans="1:8" ht="54" customHeight="1"/>
    <row r="4" spans="1:8" ht="23.25" customHeight="1">
      <c r="A4" s="1745" t="s">
        <v>1039</v>
      </c>
      <c r="B4" s="1745"/>
      <c r="C4" s="1745"/>
      <c r="D4" s="1745"/>
      <c r="E4" s="1745"/>
      <c r="F4" s="1745"/>
      <c r="G4" s="1745"/>
    </row>
    <row r="5" spans="1:8" ht="21.75" customHeight="1">
      <c r="A5" s="1741" t="s">
        <v>2976</v>
      </c>
      <c r="B5" s="1741"/>
      <c r="C5" s="1741"/>
      <c r="D5" s="1741"/>
      <c r="E5" s="1741"/>
      <c r="F5" s="1741"/>
      <c r="G5" s="1741"/>
    </row>
    <row r="6" spans="1:8" ht="43.5" customHeight="1">
      <c r="A6" s="1496"/>
      <c r="B6" s="1496"/>
      <c r="C6" s="1496"/>
      <c r="D6" s="1496"/>
      <c r="E6" s="1496"/>
      <c r="F6" s="1496"/>
      <c r="G6" s="1496"/>
    </row>
    <row r="7" spans="1:8" ht="27" customHeight="1">
      <c r="E7" s="1743" t="s">
        <v>44</v>
      </c>
      <c r="F7" s="1743"/>
      <c r="G7" s="1743"/>
    </row>
    <row r="8" spans="1:8" ht="24.95" customHeight="1">
      <c r="A8" s="1742" t="s">
        <v>45</v>
      </c>
      <c r="B8" s="1742" t="s">
        <v>3096</v>
      </c>
      <c r="C8" s="1742" t="s">
        <v>3097</v>
      </c>
      <c r="D8" s="1742" t="s">
        <v>3099</v>
      </c>
      <c r="E8" s="1742" t="s">
        <v>96</v>
      </c>
      <c r="F8" s="1742" t="s">
        <v>3098</v>
      </c>
      <c r="G8" s="1742"/>
    </row>
    <row r="9" spans="1:8" ht="41.25" customHeight="1">
      <c r="A9" s="1742"/>
      <c r="B9" s="1742"/>
      <c r="C9" s="1742"/>
      <c r="D9" s="1742"/>
      <c r="E9" s="1742"/>
      <c r="F9" s="1430" t="s">
        <v>3100</v>
      </c>
      <c r="G9" s="1430" t="s">
        <v>3101</v>
      </c>
    </row>
    <row r="10" spans="1:8" ht="24.95" customHeight="1">
      <c r="A10" s="1431" t="s">
        <v>57</v>
      </c>
      <c r="B10" s="1431" t="s">
        <v>80</v>
      </c>
      <c r="C10" s="1431">
        <v>1</v>
      </c>
      <c r="D10" s="1431">
        <v>2</v>
      </c>
      <c r="E10" s="1431">
        <v>3</v>
      </c>
      <c r="F10" s="1431" t="s">
        <v>1037</v>
      </c>
      <c r="G10" s="1431" t="s">
        <v>1038</v>
      </c>
    </row>
    <row r="11" spans="1:8" ht="24.95" customHeight="1">
      <c r="A11" s="1497">
        <v>1</v>
      </c>
      <c r="B11" s="1498" t="s">
        <v>3093</v>
      </c>
      <c r="C11" s="1499">
        <v>198491</v>
      </c>
      <c r="D11" s="1499">
        <v>198491</v>
      </c>
      <c r="E11" s="1499">
        <f>+D11</f>
        <v>198491</v>
      </c>
      <c r="F11" s="1500">
        <f>E11/C11*100</f>
        <v>100</v>
      </c>
      <c r="G11" s="1500">
        <f>E11/D11*100</f>
        <v>100</v>
      </c>
      <c r="H11" s="575"/>
    </row>
    <row r="12" spans="1:8" ht="24.95" customHeight="1">
      <c r="A12" s="1497">
        <v>2</v>
      </c>
      <c r="B12" s="1498" t="s">
        <v>3094</v>
      </c>
      <c r="C12" s="1499">
        <v>137500</v>
      </c>
      <c r="D12" s="1499">
        <v>137500</v>
      </c>
      <c r="E12" s="1499">
        <v>0</v>
      </c>
      <c r="F12" s="1500">
        <f t="shared" ref="F12:F14" si="0">E12/C12*100</f>
        <v>0</v>
      </c>
      <c r="G12" s="1500">
        <f t="shared" ref="G12:G14" si="1">E12/D12*100</f>
        <v>0</v>
      </c>
    </row>
    <row r="13" spans="1:8" ht="24.95" customHeight="1">
      <c r="A13" s="1497">
        <v>3</v>
      </c>
      <c r="B13" s="1498" t="s">
        <v>3095</v>
      </c>
      <c r="C13" s="1499">
        <v>86500</v>
      </c>
      <c r="D13" s="1499">
        <v>86500</v>
      </c>
      <c r="E13" s="1499">
        <v>86597.686707000001</v>
      </c>
      <c r="F13" s="1500">
        <f t="shared" si="0"/>
        <v>100.11293260924856</v>
      </c>
      <c r="G13" s="1500">
        <f>E13/D13*100</f>
        <v>100.11293260924856</v>
      </c>
    </row>
    <row r="14" spans="1:8" ht="24.95" customHeight="1">
      <c r="A14" s="1497">
        <v>4</v>
      </c>
      <c r="B14" s="1498" t="s">
        <v>3102</v>
      </c>
      <c r="C14" s="1499">
        <f>C11+C12-C13</f>
        <v>249491</v>
      </c>
      <c r="D14" s="1499">
        <f>D11+D12-D13</f>
        <v>249491</v>
      </c>
      <c r="E14" s="1499">
        <f>E11+E12-E13</f>
        <v>111893.313293</v>
      </c>
      <c r="F14" s="1500">
        <f t="shared" si="0"/>
        <v>44.848637142421971</v>
      </c>
      <c r="G14" s="1500">
        <f t="shared" si="1"/>
        <v>44.848637142421971</v>
      </c>
    </row>
    <row r="15" spans="1:8" ht="37.5" customHeight="1"/>
    <row r="16" spans="1:8" hidden="1">
      <c r="A16" s="1746" t="s">
        <v>1046</v>
      </c>
      <c r="B16" s="1746"/>
      <c r="C16" s="1748" t="s">
        <v>2720</v>
      </c>
      <c r="D16" s="1748"/>
      <c r="E16" s="1748" t="s">
        <v>2720</v>
      </c>
      <c r="F16" s="1748"/>
      <c r="G16" s="1748"/>
    </row>
    <row r="17" spans="1:7" hidden="1">
      <c r="A17" s="1747" t="s">
        <v>1040</v>
      </c>
      <c r="B17" s="1747"/>
      <c r="C17" s="1744" t="s">
        <v>239</v>
      </c>
      <c r="D17" s="1744"/>
      <c r="E17" s="1744" t="s">
        <v>85</v>
      </c>
      <c r="F17" s="1744"/>
      <c r="G17" s="1744"/>
    </row>
    <row r="18" spans="1:7" hidden="1">
      <c r="C18" s="574"/>
      <c r="D18" s="574"/>
      <c r="E18" s="1744" t="s">
        <v>86</v>
      </c>
      <c r="F18" s="1744"/>
      <c r="G18" s="1744"/>
    </row>
    <row r="19" spans="1:7" hidden="1">
      <c r="C19" s="574"/>
      <c r="D19" s="574"/>
      <c r="E19" s="574"/>
      <c r="F19" s="574"/>
      <c r="G19" s="574"/>
    </row>
    <row r="20" spans="1:7" hidden="1"/>
  </sheetData>
  <mergeCells count="17">
    <mergeCell ref="E18:G18"/>
    <mergeCell ref="A4:G4"/>
    <mergeCell ref="A16:B16"/>
    <mergeCell ref="A17:B17"/>
    <mergeCell ref="C16:D16"/>
    <mergeCell ref="C17:D17"/>
    <mergeCell ref="E16:G16"/>
    <mergeCell ref="E17:G17"/>
    <mergeCell ref="F8:G8"/>
    <mergeCell ref="E8:E9"/>
    <mergeCell ref="D8:D9"/>
    <mergeCell ref="C8:C9"/>
    <mergeCell ref="E1:G2"/>
    <mergeCell ref="A5:G5"/>
    <mergeCell ref="B8:B9"/>
    <mergeCell ref="A8:A9"/>
    <mergeCell ref="E7:G7"/>
  </mergeCells>
  <printOptions horizontalCentered="1"/>
  <pageMargins left="0.19685039370078741" right="0.19685039370078741" top="0.59055118110236227" bottom="0.19685039370078741" header="0" footer="0.31496062992125984"/>
  <pageSetup paperSize="9" orientation="landscape" r:id="rId1"/>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O30"/>
  <sheetViews>
    <sheetView zoomScaleNormal="100" workbookViewId="0">
      <selection activeCell="A4" sqref="A4:U4"/>
    </sheetView>
  </sheetViews>
  <sheetFormatPr defaultColWidth="13.140625" defaultRowHeight="16.5"/>
  <cols>
    <col min="1" max="1" width="3.85546875" style="331" customWidth="1"/>
    <col min="2" max="2" width="13.42578125" style="331" customWidth="1"/>
    <col min="3" max="3" width="6.42578125" style="331" customWidth="1"/>
    <col min="4" max="4" width="5.85546875" style="331" customWidth="1"/>
    <col min="5" max="5" width="6.42578125" style="331" customWidth="1"/>
    <col min="6" max="6" width="5.42578125" style="331" customWidth="1"/>
    <col min="7" max="7" width="8.28515625" style="331" customWidth="1"/>
    <col min="8" max="8" width="7.5703125" style="331" customWidth="1"/>
    <col min="9" max="9" width="7.28515625" style="331" customWidth="1"/>
    <col min="10" max="10" width="5.28515625" style="331" customWidth="1"/>
    <col min="11" max="11" width="8.42578125" style="331" customWidth="1"/>
    <col min="12" max="12" width="8.5703125" style="331" customWidth="1"/>
    <col min="13" max="13" width="5.85546875" style="331" customWidth="1"/>
    <col min="14" max="15" width="7.28515625" style="331" customWidth="1"/>
    <col min="16" max="16" width="6.5703125" style="331" customWidth="1"/>
    <col min="17" max="17" width="6" style="331" customWidth="1"/>
    <col min="18" max="18" width="7.28515625" style="331" customWidth="1"/>
    <col min="19" max="20" width="5.5703125" style="331" customWidth="1"/>
    <col min="21" max="21" width="5.42578125" style="331" customWidth="1"/>
    <col min="22" max="22" width="0" style="331" hidden="1" customWidth="1"/>
    <col min="23" max="16384" width="13.140625" style="331"/>
  </cols>
  <sheetData>
    <row r="1" spans="1:41" s="1444" customFormat="1" ht="17.100000000000001" customHeight="1">
      <c r="A1" s="1420" t="s">
        <v>2876</v>
      </c>
      <c r="B1" s="1421"/>
      <c r="P1" s="1758" t="s">
        <v>2975</v>
      </c>
      <c r="Q1" s="1758"/>
      <c r="R1" s="1758"/>
      <c r="S1" s="1758"/>
      <c r="T1" s="1758"/>
      <c r="U1" s="1758"/>
    </row>
    <row r="2" spans="1:41" s="1444" customFormat="1" ht="17.100000000000001" customHeight="1">
      <c r="A2" s="1420" t="s">
        <v>2878</v>
      </c>
      <c r="B2" s="1422"/>
    </row>
    <row r="3" spans="1:41" ht="38.25" customHeight="1">
      <c r="A3" s="1445"/>
      <c r="B3" s="1446"/>
      <c r="C3" s="332"/>
      <c r="D3" s="332"/>
      <c r="E3" s="332"/>
      <c r="F3" s="332"/>
      <c r="G3" s="332"/>
      <c r="H3" s="332"/>
      <c r="I3" s="332"/>
      <c r="J3" s="332"/>
      <c r="K3" s="332"/>
      <c r="L3" s="332"/>
      <c r="M3" s="332"/>
      <c r="N3" s="332"/>
      <c r="O3" s="332"/>
      <c r="P3" s="332"/>
      <c r="Q3" s="332"/>
      <c r="R3" s="332"/>
      <c r="S3" s="332"/>
      <c r="T3" s="332"/>
      <c r="U3" s="332"/>
      <c r="V3" s="332"/>
      <c r="W3" s="332"/>
      <c r="X3" s="332"/>
      <c r="Y3" s="333"/>
      <c r="Z3" s="333"/>
      <c r="AA3" s="333"/>
      <c r="AB3" s="333"/>
      <c r="AC3" s="333"/>
      <c r="AD3" s="333"/>
      <c r="AE3" s="333"/>
      <c r="AF3" s="333"/>
      <c r="AG3" s="333"/>
      <c r="AH3" s="333"/>
      <c r="AI3" s="333"/>
      <c r="AJ3" s="333"/>
      <c r="AK3" s="333"/>
    </row>
    <row r="4" spans="1:41" ht="23.25" customHeight="1">
      <c r="A4" s="1760" t="s">
        <v>2979</v>
      </c>
      <c r="B4" s="1760"/>
      <c r="C4" s="1760"/>
      <c r="D4" s="1760"/>
      <c r="E4" s="1760"/>
      <c r="F4" s="1760"/>
      <c r="G4" s="1760"/>
      <c r="H4" s="1760"/>
      <c r="I4" s="1760"/>
      <c r="J4" s="1760"/>
      <c r="K4" s="1760"/>
      <c r="L4" s="1760"/>
      <c r="M4" s="1760"/>
      <c r="N4" s="1760"/>
      <c r="O4" s="1760"/>
      <c r="P4" s="1760"/>
      <c r="Q4" s="1760"/>
      <c r="R4" s="1760"/>
      <c r="S4" s="1760"/>
      <c r="T4" s="1760"/>
      <c r="U4" s="1760"/>
      <c r="V4" s="1447"/>
      <c r="W4" s="1447"/>
      <c r="X4" s="1447"/>
      <c r="Y4" s="1447"/>
      <c r="Z4" s="1447"/>
      <c r="AA4" s="1447"/>
      <c r="AB4" s="1447"/>
      <c r="AC4" s="1447"/>
      <c r="AD4" s="1447"/>
      <c r="AE4" s="1447"/>
      <c r="AF4" s="1447"/>
      <c r="AG4" s="1447"/>
      <c r="AH4" s="1447"/>
      <c r="AI4" s="1447"/>
      <c r="AJ4" s="1447"/>
      <c r="AK4" s="1447"/>
      <c r="AL4" s="1447"/>
      <c r="AM4" s="1447"/>
      <c r="AN4" s="1447"/>
      <c r="AO4" s="1447"/>
    </row>
    <row r="5" spans="1:41" ht="22.5" customHeight="1">
      <c r="A5" s="1761" t="s">
        <v>2976</v>
      </c>
      <c r="B5" s="1761"/>
      <c r="C5" s="1761"/>
      <c r="D5" s="1761"/>
      <c r="E5" s="1761"/>
      <c r="F5" s="1761"/>
      <c r="G5" s="1761"/>
      <c r="H5" s="1761"/>
      <c r="I5" s="1761"/>
      <c r="J5" s="1761"/>
      <c r="K5" s="1761"/>
      <c r="L5" s="1761"/>
      <c r="M5" s="1761"/>
      <c r="N5" s="1761"/>
      <c r="O5" s="1761"/>
      <c r="P5" s="1761"/>
      <c r="Q5" s="1761"/>
      <c r="R5" s="1761"/>
      <c r="S5" s="1761"/>
      <c r="T5" s="1761"/>
      <c r="U5" s="1761"/>
      <c r="V5" s="1448"/>
      <c r="W5" s="1448"/>
      <c r="X5" s="1448"/>
      <c r="Y5" s="1448"/>
      <c r="Z5" s="1448"/>
      <c r="AA5" s="1448"/>
      <c r="AB5" s="1448"/>
      <c r="AC5" s="1448"/>
      <c r="AD5" s="1448"/>
      <c r="AE5" s="1448"/>
      <c r="AF5" s="1448"/>
      <c r="AG5" s="1448"/>
      <c r="AH5" s="1448"/>
      <c r="AI5" s="1448"/>
      <c r="AJ5" s="1448"/>
      <c r="AK5" s="1448"/>
      <c r="AL5" s="1448"/>
      <c r="AM5" s="1448"/>
      <c r="AN5" s="1448"/>
      <c r="AO5" s="1448"/>
    </row>
    <row r="6" spans="1:41" ht="25.5" customHeight="1">
      <c r="A6" s="1261"/>
      <c r="B6" s="1261"/>
      <c r="C6" s="1261"/>
      <c r="D6" s="1261"/>
      <c r="E6" s="1261"/>
      <c r="F6" s="1261"/>
      <c r="G6" s="1261"/>
      <c r="H6" s="1261"/>
      <c r="I6" s="1261"/>
      <c r="J6" s="1261"/>
      <c r="K6" s="1261"/>
      <c r="L6" s="1261"/>
      <c r="M6" s="1261"/>
      <c r="N6" s="1261"/>
      <c r="O6" s="1261"/>
      <c r="P6" s="1261"/>
      <c r="Q6" s="1261"/>
      <c r="R6" s="1261"/>
      <c r="S6" s="1261"/>
      <c r="T6" s="1261"/>
      <c r="U6" s="1261"/>
      <c r="V6" s="1261"/>
      <c r="W6" s="1261"/>
      <c r="X6" s="1261"/>
      <c r="Y6" s="1261"/>
      <c r="Z6" s="1261"/>
      <c r="AA6" s="1261"/>
      <c r="AB6" s="1261"/>
      <c r="AC6" s="1261"/>
      <c r="AD6" s="1261"/>
      <c r="AE6" s="1261"/>
      <c r="AF6" s="1261"/>
      <c r="AG6" s="1261"/>
      <c r="AH6" s="1261"/>
      <c r="AI6" s="1261"/>
      <c r="AJ6" s="1261"/>
      <c r="AK6" s="1261"/>
      <c r="AL6" s="1261"/>
      <c r="AM6" s="1261"/>
      <c r="AN6" s="1261"/>
      <c r="AO6" s="1261"/>
    </row>
    <row r="7" spans="1:41" ht="21.75" customHeight="1">
      <c r="A7" s="334"/>
      <c r="B7" s="334"/>
      <c r="C7" s="334"/>
      <c r="D7" s="334"/>
      <c r="E7" s="334"/>
      <c r="F7" s="334"/>
      <c r="G7" s="334"/>
      <c r="H7" s="334"/>
      <c r="I7" s="334"/>
      <c r="J7" s="334"/>
      <c r="K7" s="334"/>
      <c r="L7" s="334"/>
      <c r="M7" s="334"/>
      <c r="N7" s="1759" t="s">
        <v>44</v>
      </c>
      <c r="O7" s="1759"/>
      <c r="P7" s="1759"/>
      <c r="Q7" s="1759"/>
      <c r="R7" s="1759"/>
      <c r="S7" s="1759"/>
      <c r="T7" s="1759"/>
      <c r="U7" s="1759"/>
      <c r="V7" s="334"/>
      <c r="W7" s="335"/>
      <c r="X7" s="335"/>
      <c r="Y7" s="334"/>
      <c r="Z7" s="334"/>
      <c r="AA7" s="334"/>
      <c r="AB7" s="334"/>
      <c r="AC7" s="334"/>
      <c r="AD7" s="334"/>
      <c r="AE7" s="334"/>
      <c r="AF7" s="334"/>
      <c r="AG7" s="334"/>
      <c r="AH7" s="334"/>
      <c r="AI7" s="334"/>
      <c r="AJ7" s="334"/>
    </row>
    <row r="8" spans="1:41" s="336" customFormat="1" ht="20.100000000000001" customHeight="1">
      <c r="A8" s="1762" t="s">
        <v>45</v>
      </c>
      <c r="B8" s="1762" t="s">
        <v>543</v>
      </c>
      <c r="C8" s="1762" t="s">
        <v>939</v>
      </c>
      <c r="D8" s="1762"/>
      <c r="E8" s="1762"/>
      <c r="F8" s="1762"/>
      <c r="G8" s="1762" t="s">
        <v>2826</v>
      </c>
      <c r="H8" s="1762"/>
      <c r="I8" s="1762"/>
      <c r="J8" s="1762"/>
      <c r="K8" s="1762"/>
      <c r="L8" s="1762"/>
      <c r="M8" s="1762"/>
      <c r="N8" s="1762"/>
      <c r="O8" s="1762"/>
      <c r="P8" s="1762"/>
      <c r="Q8" s="1762"/>
      <c r="R8" s="1762"/>
      <c r="S8" s="1762" t="s">
        <v>544</v>
      </c>
      <c r="T8" s="1762"/>
      <c r="U8" s="1762"/>
    </row>
    <row r="9" spans="1:41" s="336" customFormat="1" ht="20.100000000000001" customHeight="1">
      <c r="A9" s="1762"/>
      <c r="B9" s="1762"/>
      <c r="C9" s="1763" t="s">
        <v>240</v>
      </c>
      <c r="D9" s="1763" t="s">
        <v>2824</v>
      </c>
      <c r="E9" s="1763" t="s">
        <v>2823</v>
      </c>
      <c r="F9" s="1763" t="s">
        <v>2825</v>
      </c>
      <c r="G9" s="1763" t="s">
        <v>240</v>
      </c>
      <c r="H9" s="1762" t="s">
        <v>59</v>
      </c>
      <c r="I9" s="1762"/>
      <c r="J9" s="1762"/>
      <c r="K9" s="1762" t="s">
        <v>66</v>
      </c>
      <c r="L9" s="1762"/>
      <c r="M9" s="1762"/>
      <c r="N9" s="1762" t="s">
        <v>2822</v>
      </c>
      <c r="O9" s="1762"/>
      <c r="P9" s="1762"/>
      <c r="Q9" s="1762" t="s">
        <v>76</v>
      </c>
      <c r="R9" s="1762" t="s">
        <v>2978</v>
      </c>
      <c r="S9" s="1762" t="s">
        <v>240</v>
      </c>
      <c r="T9" s="1762" t="s">
        <v>59</v>
      </c>
      <c r="U9" s="1762" t="s">
        <v>2823</v>
      </c>
    </row>
    <row r="10" spans="1:41" s="336" customFormat="1" ht="20.100000000000001" customHeight="1">
      <c r="A10" s="1762"/>
      <c r="B10" s="1762"/>
      <c r="C10" s="1763"/>
      <c r="D10" s="1763"/>
      <c r="E10" s="1763"/>
      <c r="F10" s="1763"/>
      <c r="G10" s="1763"/>
      <c r="H10" s="1763" t="s">
        <v>240</v>
      </c>
      <c r="I10" s="1762" t="s">
        <v>342</v>
      </c>
      <c r="J10" s="1762"/>
      <c r="K10" s="1762" t="s">
        <v>240</v>
      </c>
      <c r="L10" s="1762" t="s">
        <v>342</v>
      </c>
      <c r="M10" s="1762"/>
      <c r="N10" s="1762" t="s">
        <v>240</v>
      </c>
      <c r="O10" s="1762" t="s">
        <v>342</v>
      </c>
      <c r="P10" s="1762"/>
      <c r="Q10" s="1762"/>
      <c r="R10" s="1762"/>
      <c r="S10" s="1762"/>
      <c r="T10" s="1762"/>
      <c r="U10" s="1762"/>
    </row>
    <row r="11" spans="1:41" s="336" customFormat="1" ht="66.75" customHeight="1">
      <c r="A11" s="1762"/>
      <c r="B11" s="1762"/>
      <c r="C11" s="1763"/>
      <c r="D11" s="1763"/>
      <c r="E11" s="1763"/>
      <c r="F11" s="1763"/>
      <c r="G11" s="1763"/>
      <c r="H11" s="1763"/>
      <c r="I11" s="1456" t="s">
        <v>2827</v>
      </c>
      <c r="J11" s="1456" t="s">
        <v>2828</v>
      </c>
      <c r="K11" s="1762"/>
      <c r="L11" s="1456" t="s">
        <v>2977</v>
      </c>
      <c r="M11" s="1456" t="s">
        <v>2828</v>
      </c>
      <c r="N11" s="1762"/>
      <c r="O11" s="1456" t="s">
        <v>550</v>
      </c>
      <c r="P11" s="1456" t="s">
        <v>2823</v>
      </c>
      <c r="Q11" s="1762"/>
      <c r="R11" s="1762"/>
      <c r="S11" s="1762"/>
      <c r="T11" s="1762"/>
      <c r="U11" s="1762"/>
    </row>
    <row r="12" spans="1:41" s="337" customFormat="1" ht="20.100000000000001" customHeight="1">
      <c r="A12" s="1457" t="s">
        <v>57</v>
      </c>
      <c r="B12" s="1457" t="s">
        <v>80</v>
      </c>
      <c r="C12" s="1457">
        <v>1</v>
      </c>
      <c r="D12" s="1457">
        <v>2</v>
      </c>
      <c r="E12" s="1457">
        <v>3</v>
      </c>
      <c r="F12" s="1457">
        <v>4</v>
      </c>
      <c r="G12" s="1457">
        <v>5</v>
      </c>
      <c r="H12" s="1457">
        <v>6</v>
      </c>
      <c r="I12" s="1457">
        <v>7</v>
      </c>
      <c r="J12" s="1457">
        <v>8</v>
      </c>
      <c r="K12" s="1457">
        <v>9</v>
      </c>
      <c r="L12" s="1457">
        <v>10</v>
      </c>
      <c r="M12" s="1457">
        <v>11</v>
      </c>
      <c r="N12" s="1457">
        <v>12</v>
      </c>
      <c r="O12" s="1457">
        <v>13</v>
      </c>
      <c r="P12" s="1457">
        <v>14</v>
      </c>
      <c r="Q12" s="1457">
        <v>15</v>
      </c>
      <c r="R12" s="1457">
        <v>16</v>
      </c>
      <c r="S12" s="1458" t="s">
        <v>2829</v>
      </c>
      <c r="T12" s="1458" t="s">
        <v>2830</v>
      </c>
      <c r="U12" s="1458" t="s">
        <v>2831</v>
      </c>
    </row>
    <row r="13" spans="1:41" s="338" customFormat="1" ht="20.100000000000001" customHeight="1">
      <c r="A13" s="1456"/>
      <c r="B13" s="1456" t="s">
        <v>343</v>
      </c>
      <c r="C13" s="1459">
        <f>SUM(C14:C22)</f>
        <v>3524331</v>
      </c>
      <c r="D13" s="1459">
        <f t="shared" ref="D13:F13" si="0">SUM(D14:D22)</f>
        <v>279580</v>
      </c>
      <c r="E13" s="1459">
        <f t="shared" si="0"/>
        <v>3177006</v>
      </c>
      <c r="F13" s="1459">
        <f t="shared" si="0"/>
        <v>67745</v>
      </c>
      <c r="G13" s="1460">
        <f>SUM(G14:G22)</f>
        <v>5112209.5082719997</v>
      </c>
      <c r="H13" s="1460">
        <f t="shared" ref="H13:R13" si="1">SUM(H14:H22)</f>
        <v>570374.90928200004</v>
      </c>
      <c r="I13" s="1460">
        <f t="shared" si="1"/>
        <v>163474.25341100001</v>
      </c>
      <c r="J13" s="1460">
        <f t="shared" si="1"/>
        <v>0</v>
      </c>
      <c r="K13" s="1460">
        <f t="shared" si="1"/>
        <v>4202584.0324090002</v>
      </c>
      <c r="L13" s="1460">
        <f t="shared" si="1"/>
        <v>1910267.1600520001</v>
      </c>
      <c r="M13" s="1460">
        <f t="shared" si="1"/>
        <v>5447.5056629999999</v>
      </c>
      <c r="N13" s="1461">
        <f t="shared" si="1"/>
        <v>136667.627011</v>
      </c>
      <c r="O13" s="1461">
        <f t="shared" si="1"/>
        <v>109056.67176099999</v>
      </c>
      <c r="P13" s="1461">
        <f t="shared" si="1"/>
        <v>27610.955250000003</v>
      </c>
      <c r="Q13" s="1460">
        <f t="shared" si="1"/>
        <v>1815.826802</v>
      </c>
      <c r="R13" s="1460">
        <f t="shared" si="1"/>
        <v>200767.11276800002</v>
      </c>
      <c r="S13" s="1462">
        <f>G13/C13*100</f>
        <v>145.05474963254017</v>
      </c>
      <c r="T13" s="1462">
        <f>H13/D13*100</f>
        <v>204.01134175620575</v>
      </c>
      <c r="U13" s="1462">
        <f>K13/E13*100</f>
        <v>132.28127464691599</v>
      </c>
    </row>
    <row r="14" spans="1:41" s="336" customFormat="1" ht="20.100000000000001" customHeight="1">
      <c r="A14" s="1463">
        <v>1</v>
      </c>
      <c r="B14" s="1464" t="s">
        <v>344</v>
      </c>
      <c r="C14" s="1465">
        <f>D14+E14+F14</f>
        <v>636571</v>
      </c>
      <c r="D14" s="1465">
        <v>79531</v>
      </c>
      <c r="E14" s="1465">
        <v>544803</v>
      </c>
      <c r="F14" s="1465">
        <v>12237</v>
      </c>
      <c r="G14" s="1466">
        <f>H14+K14+Q14+R14+N14</f>
        <v>780228.36576899991</v>
      </c>
      <c r="H14" s="1466">
        <f>117745.88-O14</f>
        <v>115295.66320000001</v>
      </c>
      <c r="I14" s="1466">
        <v>16383.52</v>
      </c>
      <c r="J14" s="1466">
        <v>0</v>
      </c>
      <c r="K14" s="1466">
        <f>657115.675769-P14</f>
        <v>655700.89276999992</v>
      </c>
      <c r="L14" s="1466">
        <f>296672.68-520.263999</f>
        <v>296152.41600099998</v>
      </c>
      <c r="M14" s="1466">
        <v>480.29300000000001</v>
      </c>
      <c r="N14" s="1466">
        <f>O14+P14</f>
        <v>3864.9997990000002</v>
      </c>
      <c r="O14" s="1466">
        <v>2450.2168000000001</v>
      </c>
      <c r="P14" s="1466">
        <v>1414.782999</v>
      </c>
      <c r="Q14" s="1466">
        <v>0</v>
      </c>
      <c r="R14" s="1466">
        <v>5366.81</v>
      </c>
      <c r="S14" s="1462">
        <f t="shared" ref="S14:S22" si="2">G14/C14*100</f>
        <v>122.5673751661637</v>
      </c>
      <c r="T14" s="1462">
        <f t="shared" ref="T14:T22" si="3">H14/D14*100</f>
        <v>144.96946247375237</v>
      </c>
      <c r="U14" s="1462">
        <f t="shared" ref="U14:U22" si="4">K14/E14*100</f>
        <v>120.35559509951301</v>
      </c>
    </row>
    <row r="15" spans="1:41" s="336" customFormat="1" ht="20.100000000000001" customHeight="1">
      <c r="A15" s="1463">
        <v>2</v>
      </c>
      <c r="B15" s="1464" t="s">
        <v>346</v>
      </c>
      <c r="C15" s="1465">
        <f t="shared" ref="C15:C22" si="5">D15+E15+F15</f>
        <v>389962</v>
      </c>
      <c r="D15" s="1465">
        <v>28755</v>
      </c>
      <c r="E15" s="1465">
        <v>353645</v>
      </c>
      <c r="F15" s="1465">
        <v>7562</v>
      </c>
      <c r="G15" s="1466">
        <f t="shared" ref="G15:G22" si="6">H15+K15+Q15+R15+N15</f>
        <v>596443.60496699996</v>
      </c>
      <c r="H15" s="1466">
        <f>100721.088713-O15</f>
        <v>87106.469150000004</v>
      </c>
      <c r="I15" s="1466">
        <f>34264.278-1143.139</f>
        <v>33121.138999999996</v>
      </c>
      <c r="J15" s="1466">
        <v>0</v>
      </c>
      <c r="K15" s="1466">
        <f>459472.394576-P15</f>
        <v>456683.19509599998</v>
      </c>
      <c r="L15" s="1466">
        <f>213919.294376-171.501-334.312</f>
        <v>213413.48137600001</v>
      </c>
      <c r="M15" s="1466">
        <v>496.892</v>
      </c>
      <c r="N15" s="1466">
        <f t="shared" ref="N15:N22" si="7">O15+P15</f>
        <v>16403.819043000003</v>
      </c>
      <c r="O15" s="1466">
        <v>13614.619563000002</v>
      </c>
      <c r="P15" s="1466">
        <v>2789.1994800000002</v>
      </c>
      <c r="Q15" s="1466">
        <v>0</v>
      </c>
      <c r="R15" s="1466">
        <v>36250.121678000003</v>
      </c>
      <c r="S15" s="1462">
        <f>G15/C15*100</f>
        <v>152.94916042255397</v>
      </c>
      <c r="T15" s="1462">
        <f t="shared" si="3"/>
        <v>302.92634028864546</v>
      </c>
      <c r="U15" s="1462">
        <f t="shared" si="4"/>
        <v>129.13605313124742</v>
      </c>
    </row>
    <row r="16" spans="1:41" s="336" customFormat="1" ht="20.100000000000001" customHeight="1">
      <c r="A16" s="1463">
        <v>3</v>
      </c>
      <c r="B16" s="1464" t="s">
        <v>345</v>
      </c>
      <c r="C16" s="1465">
        <f t="shared" si="5"/>
        <v>331717</v>
      </c>
      <c r="D16" s="1465">
        <v>25384</v>
      </c>
      <c r="E16" s="1465">
        <v>300040</v>
      </c>
      <c r="F16" s="1465">
        <v>6293</v>
      </c>
      <c r="G16" s="1466">
        <f t="shared" si="6"/>
        <v>551829.79138399998</v>
      </c>
      <c r="H16" s="1466">
        <f>59334.903415-O16</f>
        <v>42205.428623</v>
      </c>
      <c r="I16" s="1466">
        <f>17108.413-120</f>
        <v>16988.413</v>
      </c>
      <c r="J16" s="1466">
        <v>0</v>
      </c>
      <c r="K16" s="1466">
        <f>471433.722358-P16</f>
        <v>467589.43346799997</v>
      </c>
      <c r="L16" s="1466">
        <f>200358.210779-459.439</f>
        <v>199898.77177899997</v>
      </c>
      <c r="M16" s="1466">
        <v>583.79600000000005</v>
      </c>
      <c r="N16" s="1466">
        <f t="shared" si="7"/>
        <v>20973.763682000001</v>
      </c>
      <c r="O16" s="1466">
        <v>17129.474792000001</v>
      </c>
      <c r="P16" s="1466">
        <v>3844.2888899999998</v>
      </c>
      <c r="Q16" s="1466">
        <v>472.54563000000002</v>
      </c>
      <c r="R16" s="1466">
        <v>20588.619981</v>
      </c>
      <c r="S16" s="1462">
        <f t="shared" si="2"/>
        <v>166.3555956987432</v>
      </c>
      <c r="T16" s="1462">
        <f t="shared" si="3"/>
        <v>166.26784046249605</v>
      </c>
      <c r="U16" s="1462">
        <f t="shared" si="4"/>
        <v>155.8423655072657</v>
      </c>
      <c r="V16" s="336">
        <v>551829.79</v>
      </c>
    </row>
    <row r="17" spans="1:22" s="336" customFormat="1" ht="20.100000000000001" customHeight="1">
      <c r="A17" s="1463">
        <v>4</v>
      </c>
      <c r="B17" s="1464" t="s">
        <v>347</v>
      </c>
      <c r="C17" s="1465">
        <f t="shared" si="5"/>
        <v>519112</v>
      </c>
      <c r="D17" s="1465">
        <v>34431</v>
      </c>
      <c r="E17" s="1465">
        <v>474663</v>
      </c>
      <c r="F17" s="1465">
        <v>10018</v>
      </c>
      <c r="G17" s="1466">
        <f t="shared" si="6"/>
        <v>837371.0186569998</v>
      </c>
      <c r="H17" s="1466">
        <f>80617.981121-O17</f>
        <v>63879.706867000001</v>
      </c>
      <c r="I17" s="1466">
        <v>24478.728999999999</v>
      </c>
      <c r="J17" s="1466">
        <v>0</v>
      </c>
      <c r="K17" s="1466">
        <f>702705.648065-P17</f>
        <v>697387.08776499995</v>
      </c>
      <c r="L17" s="1466">
        <f>298801.88296-540.2835</f>
        <v>298261.59946</v>
      </c>
      <c r="M17" s="1466">
        <v>596.62699999999995</v>
      </c>
      <c r="N17" s="1466">
        <f t="shared" si="7"/>
        <v>22056.834554000001</v>
      </c>
      <c r="O17" s="1466">
        <v>16738.274254</v>
      </c>
      <c r="P17" s="1466">
        <v>5318.5603000000001</v>
      </c>
      <c r="Q17" s="1466">
        <v>1343.281172</v>
      </c>
      <c r="R17" s="1466">
        <v>52704.108299</v>
      </c>
      <c r="S17" s="1462">
        <f t="shared" si="2"/>
        <v>161.30835323725898</v>
      </c>
      <c r="T17" s="1462">
        <f t="shared" si="3"/>
        <v>185.52962988876303</v>
      </c>
      <c r="U17" s="1462">
        <f t="shared" si="4"/>
        <v>146.92257196474131</v>
      </c>
      <c r="V17" s="996">
        <f>+V16-G16</f>
        <v>-1.3839999446645379E-3</v>
      </c>
    </row>
    <row r="18" spans="1:22" s="337" customFormat="1" ht="20.100000000000001" customHeight="1">
      <c r="A18" s="1463">
        <v>5</v>
      </c>
      <c r="B18" s="1464" t="s">
        <v>348</v>
      </c>
      <c r="C18" s="1465">
        <f t="shared" si="5"/>
        <v>385308</v>
      </c>
      <c r="D18" s="1465">
        <v>24416</v>
      </c>
      <c r="E18" s="1465">
        <v>353325</v>
      </c>
      <c r="F18" s="1465">
        <v>7567</v>
      </c>
      <c r="G18" s="1466">
        <f t="shared" si="6"/>
        <v>529793.839545</v>
      </c>
      <c r="H18" s="1466">
        <f>82762.986-O18</f>
        <v>77439.622000000003</v>
      </c>
      <c r="I18" s="1466">
        <v>15082.812</v>
      </c>
      <c r="J18" s="1466">
        <v>0</v>
      </c>
      <c r="K18" s="1466">
        <f>435661.434444-P18</f>
        <v>433873.41244400002</v>
      </c>
      <c r="L18" s="1466">
        <v>215785.035053</v>
      </c>
      <c r="M18" s="1466">
        <v>769.883915</v>
      </c>
      <c r="N18" s="1466">
        <f t="shared" si="7"/>
        <v>7111.3859999999995</v>
      </c>
      <c r="O18" s="1466">
        <v>5323.3639999999996</v>
      </c>
      <c r="P18" s="1466">
        <v>1788.0219999999999</v>
      </c>
      <c r="Q18" s="1466">
        <v>0</v>
      </c>
      <c r="R18" s="1466">
        <v>11369.419101</v>
      </c>
      <c r="S18" s="1462">
        <f t="shared" si="2"/>
        <v>137.49879045983994</v>
      </c>
      <c r="T18" s="1462">
        <f t="shared" si="3"/>
        <v>317.16752129750984</v>
      </c>
      <c r="U18" s="1462">
        <f t="shared" si="4"/>
        <v>122.79725817420221</v>
      </c>
    </row>
    <row r="19" spans="1:22" s="337" customFormat="1" ht="20.100000000000001" customHeight="1">
      <c r="A19" s="1463">
        <v>6</v>
      </c>
      <c r="B19" s="1464" t="s">
        <v>351</v>
      </c>
      <c r="C19" s="1465">
        <f t="shared" si="5"/>
        <v>289286</v>
      </c>
      <c r="D19" s="1465">
        <v>16426</v>
      </c>
      <c r="E19" s="1465">
        <v>267367</v>
      </c>
      <c r="F19" s="1465">
        <v>5493</v>
      </c>
      <c r="G19" s="1466">
        <f t="shared" si="6"/>
        <v>400633.46385199996</v>
      </c>
      <c r="H19" s="1466">
        <f>40363.279219-O19</f>
        <v>29626.652218999996</v>
      </c>
      <c r="I19" s="1466">
        <v>14551.272000000001</v>
      </c>
      <c r="J19" s="1466">
        <v>0</v>
      </c>
      <c r="K19" s="1466">
        <f>357080.028157-P19</f>
        <v>354719.636276</v>
      </c>
      <c r="L19" s="1466">
        <f>151173.100645-67.066-352.44</f>
        <v>150753.594645</v>
      </c>
      <c r="M19" s="1466">
        <v>556.42600000000004</v>
      </c>
      <c r="N19" s="1466">
        <f t="shared" si="7"/>
        <v>13097.018881</v>
      </c>
      <c r="O19" s="1466">
        <v>10736.627</v>
      </c>
      <c r="P19" s="1466">
        <v>2360.391881</v>
      </c>
      <c r="Q19" s="1466">
        <v>0</v>
      </c>
      <c r="R19" s="1466">
        <v>3190.1564760000001</v>
      </c>
      <c r="S19" s="1462">
        <f t="shared" si="2"/>
        <v>138.4904433163029</v>
      </c>
      <c r="T19" s="1462">
        <f t="shared" si="3"/>
        <v>180.36437488737366</v>
      </c>
      <c r="U19" s="1462">
        <f t="shared" si="4"/>
        <v>132.67143524668339</v>
      </c>
    </row>
    <row r="20" spans="1:22" s="336" customFormat="1" ht="20.100000000000001" customHeight="1">
      <c r="A20" s="1463">
        <v>7</v>
      </c>
      <c r="B20" s="1464" t="s">
        <v>349</v>
      </c>
      <c r="C20" s="1465">
        <f t="shared" si="5"/>
        <v>508231</v>
      </c>
      <c r="D20" s="1465">
        <v>33689</v>
      </c>
      <c r="E20" s="1465">
        <v>464842</v>
      </c>
      <c r="F20" s="1465">
        <v>9700</v>
      </c>
      <c r="G20" s="1466">
        <f t="shared" si="6"/>
        <v>698473.81295100006</v>
      </c>
      <c r="H20" s="1466">
        <f>100214.21953-O20</f>
        <v>77464.412530000001</v>
      </c>
      <c r="I20" s="1466">
        <v>24673.039199999999</v>
      </c>
      <c r="J20" s="1466">
        <v>0</v>
      </c>
      <c r="K20" s="1466">
        <f>583188.040782-P20</f>
        <v>578001.12808200007</v>
      </c>
      <c r="L20" s="1466">
        <f>296610.824269-285.2169</f>
        <v>296325.60736899998</v>
      </c>
      <c r="M20" s="1466">
        <v>754</v>
      </c>
      <c r="N20" s="1466">
        <f t="shared" si="7"/>
        <v>27936.719700000001</v>
      </c>
      <c r="O20" s="1466">
        <v>22749.807000000001</v>
      </c>
      <c r="P20" s="1466">
        <v>5186.9127000000008</v>
      </c>
      <c r="Q20" s="1466">
        <v>0</v>
      </c>
      <c r="R20" s="1466">
        <v>15071.552639</v>
      </c>
      <c r="S20" s="1462">
        <f t="shared" si="2"/>
        <v>137.43235122434484</v>
      </c>
      <c r="T20" s="1462">
        <f t="shared" si="3"/>
        <v>229.93978013594943</v>
      </c>
      <c r="U20" s="1462">
        <f t="shared" si="4"/>
        <v>124.34356793964403</v>
      </c>
    </row>
    <row r="21" spans="1:22" s="336" customFormat="1" ht="20.100000000000001" customHeight="1">
      <c r="A21" s="1463">
        <v>8</v>
      </c>
      <c r="B21" s="1464" t="s">
        <v>350</v>
      </c>
      <c r="C21" s="1465">
        <f t="shared" si="5"/>
        <v>237591</v>
      </c>
      <c r="D21" s="1465">
        <v>18405</v>
      </c>
      <c r="E21" s="1465">
        <v>214547</v>
      </c>
      <c r="F21" s="1465">
        <v>4639</v>
      </c>
      <c r="G21" s="1466">
        <f t="shared" si="6"/>
        <v>337653.56347399997</v>
      </c>
      <c r="H21" s="1466">
        <f>40774.566069-O21</f>
        <v>35525.280364999999</v>
      </c>
      <c r="I21" s="1466">
        <v>9106.2050999999992</v>
      </c>
      <c r="J21" s="1466">
        <v>0</v>
      </c>
      <c r="K21" s="1466">
        <f>266602.943056-P21</f>
        <v>265517.49305599998</v>
      </c>
      <c r="L21" s="1466">
        <f>109653.76229-341</f>
        <v>109312.76229</v>
      </c>
      <c r="M21" s="1466">
        <v>331.30500000000001</v>
      </c>
      <c r="N21" s="1466">
        <f t="shared" si="7"/>
        <v>6334.7357039999997</v>
      </c>
      <c r="O21" s="1466">
        <v>5249.2857039999999</v>
      </c>
      <c r="P21" s="1466">
        <v>1085.45</v>
      </c>
      <c r="Q21" s="1466">
        <v>0</v>
      </c>
      <c r="R21" s="1466">
        <v>30276.054348999998</v>
      </c>
      <c r="S21" s="1462">
        <f t="shared" si="2"/>
        <v>142.1154687989023</v>
      </c>
      <c r="T21" s="1462">
        <f t="shared" si="3"/>
        <v>193.01972488454226</v>
      </c>
      <c r="U21" s="1462">
        <f t="shared" si="4"/>
        <v>123.75726207124778</v>
      </c>
    </row>
    <row r="22" spans="1:22" s="336" customFormat="1" ht="20.100000000000001" customHeight="1">
      <c r="A22" s="1463">
        <v>9</v>
      </c>
      <c r="B22" s="1464" t="s">
        <v>352</v>
      </c>
      <c r="C22" s="1465">
        <f t="shared" si="5"/>
        <v>226553</v>
      </c>
      <c r="D22" s="1465">
        <v>18543</v>
      </c>
      <c r="E22" s="1465">
        <v>203774</v>
      </c>
      <c r="F22" s="1465">
        <v>4236</v>
      </c>
      <c r="G22" s="1466">
        <f t="shared" si="6"/>
        <v>379782.04767299996</v>
      </c>
      <c r="H22" s="1466">
        <f>56896.676976-O22</f>
        <v>41831.674328000001</v>
      </c>
      <c r="I22" s="1466">
        <v>9089.1241109999992</v>
      </c>
      <c r="J22" s="1466">
        <v>0</v>
      </c>
      <c r="K22" s="1466">
        <f>296935.100452-P22</f>
        <v>293111.75345199998</v>
      </c>
      <c r="L22" s="1466">
        <f>130728.076079-13.605-350.579</f>
        <v>130363.89207900001</v>
      </c>
      <c r="M22" s="1466">
        <v>878.28274799999997</v>
      </c>
      <c r="N22" s="1466">
        <f t="shared" si="7"/>
        <v>18888.349647999999</v>
      </c>
      <c r="O22" s="1466">
        <v>15065.002648</v>
      </c>
      <c r="P22" s="1466">
        <v>3823.3470000000002</v>
      </c>
      <c r="Q22" s="1466">
        <v>0</v>
      </c>
      <c r="R22" s="1466">
        <v>25950.270245</v>
      </c>
      <c r="S22" s="1462">
        <f t="shared" si="2"/>
        <v>167.63496739085332</v>
      </c>
      <c r="T22" s="1462">
        <f t="shared" si="3"/>
        <v>225.59280767944779</v>
      </c>
      <c r="U22" s="1462">
        <f t="shared" si="4"/>
        <v>143.8415859982137</v>
      </c>
    </row>
    <row r="23" spans="1:22" hidden="1">
      <c r="A23" s="1449"/>
      <c r="B23" s="1449"/>
      <c r="C23" s="1450"/>
      <c r="D23" s="1450"/>
      <c r="E23" s="1450"/>
      <c r="F23" s="1450"/>
      <c r="G23" s="1449">
        <v>5112209.5082719997</v>
      </c>
      <c r="H23" s="1449"/>
      <c r="I23" s="1449"/>
      <c r="J23" s="1449"/>
      <c r="K23" s="1449"/>
      <c r="L23" s="1451"/>
      <c r="M23" s="1451"/>
      <c r="N23" s="1449"/>
      <c r="O23" s="1449"/>
      <c r="P23" s="1449"/>
      <c r="Q23" s="1449"/>
      <c r="R23" s="1449"/>
      <c r="S23" s="1449"/>
      <c r="T23" s="1449"/>
      <c r="U23" s="1449"/>
    </row>
    <row r="24" spans="1:22" s="336" customFormat="1" ht="15.75" hidden="1">
      <c r="A24" s="1449"/>
      <c r="B24" s="1452">
        <f>G23-G13</f>
        <v>0</v>
      </c>
      <c r="C24" s="1449"/>
      <c r="D24" s="1449"/>
      <c r="E24" s="1449"/>
      <c r="F24" s="1449"/>
      <c r="G24" s="1451"/>
      <c r="H24" s="1451"/>
      <c r="I24" s="1449"/>
      <c r="J24" s="1449"/>
      <c r="K24" s="1451"/>
      <c r="L24" s="1451"/>
      <c r="M24" s="1453"/>
      <c r="N24" s="1453" t="s">
        <v>526</v>
      </c>
      <c r="O24" s="1453"/>
      <c r="P24" s="1453"/>
      <c r="Q24" s="1451"/>
      <c r="R24" s="1449"/>
      <c r="S24" s="1449"/>
      <c r="T24" s="1449"/>
      <c r="U24" s="1449"/>
    </row>
    <row r="25" spans="1:22" hidden="1">
      <c r="A25" s="1449"/>
      <c r="B25" s="1449"/>
      <c r="C25" s="1449"/>
      <c r="D25" s="1449"/>
      <c r="E25" s="1449"/>
      <c r="F25" s="1449"/>
      <c r="G25" s="1451"/>
      <c r="H25" s="1451"/>
      <c r="I25" s="1449"/>
      <c r="J25" s="1449"/>
      <c r="K25" s="1451"/>
      <c r="L25" s="1449"/>
      <c r="M25" s="1454"/>
      <c r="N25" s="1454" t="s">
        <v>85</v>
      </c>
      <c r="O25" s="1454"/>
      <c r="P25" s="1454"/>
      <c r="Q25" s="1449"/>
      <c r="R25" s="1449"/>
      <c r="S25" s="1449"/>
      <c r="T25" s="1449"/>
      <c r="U25" s="1449"/>
    </row>
    <row r="26" spans="1:22" hidden="1">
      <c r="A26" s="1449"/>
      <c r="B26" s="1449"/>
      <c r="C26" s="1449"/>
      <c r="D26" s="1449"/>
      <c r="E26" s="1449"/>
      <c r="F26" s="1449"/>
      <c r="G26" s="1451"/>
      <c r="H26" s="1449"/>
      <c r="I26" s="1449"/>
      <c r="J26" s="1449"/>
      <c r="K26" s="1449"/>
      <c r="L26" s="1449"/>
      <c r="M26" s="1455"/>
      <c r="N26" s="1455" t="s">
        <v>86</v>
      </c>
      <c r="O26" s="1455"/>
      <c r="P26" s="1455"/>
      <c r="Q26" s="1449"/>
      <c r="R26" s="1449"/>
      <c r="S26" s="1449"/>
      <c r="T26" s="1449"/>
      <c r="U26" s="1449"/>
    </row>
    <row r="27" spans="1:22" hidden="1">
      <c r="A27" s="1449"/>
      <c r="B27" s="1449"/>
      <c r="C27" s="1449"/>
      <c r="D27" s="1449"/>
      <c r="E27" s="1449"/>
      <c r="F27" s="1449"/>
      <c r="G27" s="1449"/>
      <c r="H27" s="1449"/>
      <c r="I27" s="1449"/>
      <c r="J27" s="1449"/>
      <c r="K27" s="1449"/>
      <c r="L27" s="1449"/>
      <c r="M27" s="1449"/>
      <c r="N27" s="1449"/>
      <c r="O27" s="1449"/>
      <c r="P27" s="1449"/>
      <c r="Q27" s="1449"/>
      <c r="R27" s="1449"/>
      <c r="S27" s="1449"/>
      <c r="T27" s="1449"/>
      <c r="U27" s="1449"/>
    </row>
    <row r="28" spans="1:22" hidden="1"/>
    <row r="29" spans="1:22" hidden="1"/>
    <row r="30" spans="1:22" hidden="1"/>
  </sheetData>
  <sheetProtection selectLockedCells="1" selectUnlockedCells="1"/>
  <mergeCells count="28">
    <mergeCell ref="G8:R8"/>
    <mergeCell ref="R9:R11"/>
    <mergeCell ref="Q9:Q11"/>
    <mergeCell ref="S8:U8"/>
    <mergeCell ref="T9:T11"/>
    <mergeCell ref="S9:S11"/>
    <mergeCell ref="U9:U11"/>
    <mergeCell ref="L10:M10"/>
    <mergeCell ref="O10:P10"/>
    <mergeCell ref="N10:N11"/>
    <mergeCell ref="K10:K11"/>
    <mergeCell ref="G9:G11"/>
    <mergeCell ref="P1:U1"/>
    <mergeCell ref="N7:U7"/>
    <mergeCell ref="A4:U4"/>
    <mergeCell ref="A5:U5"/>
    <mergeCell ref="H9:J9"/>
    <mergeCell ref="K9:M9"/>
    <mergeCell ref="N9:P9"/>
    <mergeCell ref="C8:F8"/>
    <mergeCell ref="C9:C11"/>
    <mergeCell ref="D9:D11"/>
    <mergeCell ref="E9:E11"/>
    <mergeCell ref="B8:B11"/>
    <mergeCell ref="A8:A11"/>
    <mergeCell ref="F9:F11"/>
    <mergeCell ref="H10:H11"/>
    <mergeCell ref="I10:J10"/>
  </mergeCells>
  <phoneticPr fontId="160" type="noConversion"/>
  <printOptions horizontalCentered="1"/>
  <pageMargins left="0.19685039370078741" right="0.19685039370078741" top="0.59055118110236227" bottom="0.59055118110236227" header="0" footer="0.19685039370078741"/>
  <pageSetup paperSize="9" firstPageNumber="0"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77"/>
  <sheetViews>
    <sheetView zoomScale="75" zoomScaleNormal="75" zoomScalePageLayoutView="55" workbookViewId="0">
      <selection activeCell="E2" sqref="E2"/>
    </sheetView>
  </sheetViews>
  <sheetFormatPr defaultColWidth="9" defaultRowHeight="15.75"/>
  <cols>
    <col min="1" max="1" width="5.42578125" style="718" customWidth="1"/>
    <col min="2" max="2" width="47.42578125" style="652" customWidth="1"/>
    <col min="3" max="3" width="6" style="653" customWidth="1"/>
    <col min="4" max="4" width="7.28515625" style="646" customWidth="1"/>
    <col min="5" max="5" width="13.28515625" style="647" customWidth="1"/>
    <col min="6" max="6" width="12.85546875" style="647" customWidth="1"/>
    <col min="7" max="7" width="11.85546875" style="647" customWidth="1"/>
    <col min="8" max="8" width="10.5703125" style="647" customWidth="1"/>
    <col min="9" max="9" width="11.28515625" style="647" customWidth="1"/>
    <col min="10" max="10" width="10.7109375" style="647" customWidth="1"/>
    <col min="11" max="11" width="11.28515625" style="647" customWidth="1"/>
    <col min="12" max="12" width="10.85546875" style="647" customWidth="1"/>
    <col min="13" max="13" width="10.28515625" style="647" customWidth="1"/>
    <col min="14" max="14" width="6.5703125" style="647" customWidth="1"/>
    <col min="15" max="15" width="8.5703125" style="647" customWidth="1"/>
    <col min="16" max="16" width="15.85546875" style="647" customWidth="1"/>
    <col min="17" max="17" width="15.140625" style="647" customWidth="1"/>
    <col min="18" max="18" width="15.42578125" style="647" customWidth="1"/>
    <col min="19" max="19" width="14.5703125" style="647" customWidth="1"/>
    <col min="20" max="20" width="12.85546875" style="647" customWidth="1"/>
    <col min="21" max="21" width="15.42578125" style="647" customWidth="1"/>
    <col min="22" max="22" width="14.85546875" style="647" customWidth="1"/>
    <col min="23" max="23" width="13.42578125" style="647" customWidth="1"/>
    <col min="24" max="24" width="13.28515625" style="647" customWidth="1"/>
    <col min="25" max="25" width="32.85546875" style="648" customWidth="1"/>
    <col min="26" max="256" width="9" style="648"/>
    <col min="257" max="257" width="5.42578125" style="648" customWidth="1"/>
    <col min="258" max="258" width="47.42578125" style="648" customWidth="1"/>
    <col min="259" max="259" width="8.140625" style="648" customWidth="1"/>
    <col min="260" max="260" width="11.28515625" style="648" customWidth="1"/>
    <col min="261" max="261" width="19.28515625" style="648" customWidth="1"/>
    <col min="262" max="262" width="20.28515625" style="648" customWidth="1"/>
    <col min="263" max="263" width="17" style="648" customWidth="1"/>
    <col min="264" max="264" width="15.85546875" style="648" customWidth="1"/>
    <col min="265" max="265" width="18.85546875" style="648" customWidth="1"/>
    <col min="266" max="266" width="15.85546875" style="648" customWidth="1"/>
    <col min="267" max="267" width="15.7109375" style="648" customWidth="1"/>
    <col min="268" max="268" width="16.140625" style="648" customWidth="1"/>
    <col min="269" max="269" width="14.42578125" style="648" customWidth="1"/>
    <col min="270" max="270" width="12.7109375" style="648" customWidth="1"/>
    <col min="271" max="271" width="14.5703125" style="648" customWidth="1"/>
    <col min="272" max="272" width="19" style="648" customWidth="1"/>
    <col min="273" max="273" width="19.140625" style="648" customWidth="1"/>
    <col min="274" max="274" width="18.5703125" style="648" customWidth="1"/>
    <col min="275" max="275" width="17" style="648" customWidth="1"/>
    <col min="276" max="276" width="16.5703125" style="648" customWidth="1"/>
    <col min="277" max="277" width="15.85546875" style="648" customWidth="1"/>
    <col min="278" max="278" width="18.28515625" style="648" customWidth="1"/>
    <col min="279" max="279" width="17" style="648" customWidth="1"/>
    <col min="280" max="280" width="20" style="648" customWidth="1"/>
    <col min="281" max="281" width="32.85546875" style="648" customWidth="1"/>
    <col min="282" max="512" width="9" style="648"/>
    <col min="513" max="513" width="5.42578125" style="648" customWidth="1"/>
    <col min="514" max="514" width="47.42578125" style="648" customWidth="1"/>
    <col min="515" max="515" width="8.140625" style="648" customWidth="1"/>
    <col min="516" max="516" width="11.28515625" style="648" customWidth="1"/>
    <col min="517" max="517" width="19.28515625" style="648" customWidth="1"/>
    <col min="518" max="518" width="20.28515625" style="648" customWidth="1"/>
    <col min="519" max="519" width="17" style="648" customWidth="1"/>
    <col min="520" max="520" width="15.85546875" style="648" customWidth="1"/>
    <col min="521" max="521" width="18.85546875" style="648" customWidth="1"/>
    <col min="522" max="522" width="15.85546875" style="648" customWidth="1"/>
    <col min="523" max="523" width="15.7109375" style="648" customWidth="1"/>
    <col min="524" max="524" width="16.140625" style="648" customWidth="1"/>
    <col min="525" max="525" width="14.42578125" style="648" customWidth="1"/>
    <col min="526" max="526" width="12.7109375" style="648" customWidth="1"/>
    <col min="527" max="527" width="14.5703125" style="648" customWidth="1"/>
    <col min="528" max="528" width="19" style="648" customWidth="1"/>
    <col min="529" max="529" width="19.140625" style="648" customWidth="1"/>
    <col min="530" max="530" width="18.5703125" style="648" customWidth="1"/>
    <col min="531" max="531" width="17" style="648" customWidth="1"/>
    <col min="532" max="532" width="16.5703125" style="648" customWidth="1"/>
    <col min="533" max="533" width="15.85546875" style="648" customWidth="1"/>
    <col min="534" max="534" width="18.28515625" style="648" customWidth="1"/>
    <col min="535" max="535" width="17" style="648" customWidth="1"/>
    <col min="536" max="536" width="20" style="648" customWidth="1"/>
    <col min="537" max="537" width="32.85546875" style="648" customWidth="1"/>
    <col min="538" max="768" width="9" style="648"/>
    <col min="769" max="769" width="5.42578125" style="648" customWidth="1"/>
    <col min="770" max="770" width="47.42578125" style="648" customWidth="1"/>
    <col min="771" max="771" width="8.140625" style="648" customWidth="1"/>
    <col min="772" max="772" width="11.28515625" style="648" customWidth="1"/>
    <col min="773" max="773" width="19.28515625" style="648" customWidth="1"/>
    <col min="774" max="774" width="20.28515625" style="648" customWidth="1"/>
    <col min="775" max="775" width="17" style="648" customWidth="1"/>
    <col min="776" max="776" width="15.85546875" style="648" customWidth="1"/>
    <col min="777" max="777" width="18.85546875" style="648" customWidth="1"/>
    <col min="778" max="778" width="15.85546875" style="648" customWidth="1"/>
    <col min="779" max="779" width="15.7109375" style="648" customWidth="1"/>
    <col min="780" max="780" width="16.140625" style="648" customWidth="1"/>
    <col min="781" max="781" width="14.42578125" style="648" customWidth="1"/>
    <col min="782" max="782" width="12.7109375" style="648" customWidth="1"/>
    <col min="783" max="783" width="14.5703125" style="648" customWidth="1"/>
    <col min="784" max="784" width="19" style="648" customWidth="1"/>
    <col min="785" max="785" width="19.140625" style="648" customWidth="1"/>
    <col min="786" max="786" width="18.5703125" style="648" customWidth="1"/>
    <col min="787" max="787" width="17" style="648" customWidth="1"/>
    <col min="788" max="788" width="16.5703125" style="648" customWidth="1"/>
    <col min="789" max="789" width="15.85546875" style="648" customWidth="1"/>
    <col min="790" max="790" width="18.28515625" style="648" customWidth="1"/>
    <col min="791" max="791" width="17" style="648" customWidth="1"/>
    <col min="792" max="792" width="20" style="648" customWidth="1"/>
    <col min="793" max="793" width="32.85546875" style="648" customWidth="1"/>
    <col min="794" max="1024" width="9" style="648"/>
    <col min="1025" max="1025" width="5.42578125" style="648" customWidth="1"/>
    <col min="1026" max="1026" width="47.42578125" style="648" customWidth="1"/>
    <col min="1027" max="1027" width="8.140625" style="648" customWidth="1"/>
    <col min="1028" max="1028" width="11.28515625" style="648" customWidth="1"/>
    <col min="1029" max="1029" width="19.28515625" style="648" customWidth="1"/>
    <col min="1030" max="1030" width="20.28515625" style="648" customWidth="1"/>
    <col min="1031" max="1031" width="17" style="648" customWidth="1"/>
    <col min="1032" max="1032" width="15.85546875" style="648" customWidth="1"/>
    <col min="1033" max="1033" width="18.85546875" style="648" customWidth="1"/>
    <col min="1034" max="1034" width="15.85546875" style="648" customWidth="1"/>
    <col min="1035" max="1035" width="15.7109375" style="648" customWidth="1"/>
    <col min="1036" max="1036" width="16.140625" style="648" customWidth="1"/>
    <col min="1037" max="1037" width="14.42578125" style="648" customWidth="1"/>
    <col min="1038" max="1038" width="12.7109375" style="648" customWidth="1"/>
    <col min="1039" max="1039" width="14.5703125" style="648" customWidth="1"/>
    <col min="1040" max="1040" width="19" style="648" customWidth="1"/>
    <col min="1041" max="1041" width="19.140625" style="648" customWidth="1"/>
    <col min="1042" max="1042" width="18.5703125" style="648" customWidth="1"/>
    <col min="1043" max="1043" width="17" style="648" customWidth="1"/>
    <col min="1044" max="1044" width="16.5703125" style="648" customWidth="1"/>
    <col min="1045" max="1045" width="15.85546875" style="648" customWidth="1"/>
    <col min="1046" max="1046" width="18.28515625" style="648" customWidth="1"/>
    <col min="1047" max="1047" width="17" style="648" customWidth="1"/>
    <col min="1048" max="1048" width="20" style="648" customWidth="1"/>
    <col min="1049" max="1049" width="32.85546875" style="648" customWidth="1"/>
    <col min="1050" max="1280" width="9" style="648"/>
    <col min="1281" max="1281" width="5.42578125" style="648" customWidth="1"/>
    <col min="1282" max="1282" width="47.42578125" style="648" customWidth="1"/>
    <col min="1283" max="1283" width="8.140625" style="648" customWidth="1"/>
    <col min="1284" max="1284" width="11.28515625" style="648" customWidth="1"/>
    <col min="1285" max="1285" width="19.28515625" style="648" customWidth="1"/>
    <col min="1286" max="1286" width="20.28515625" style="648" customWidth="1"/>
    <col min="1287" max="1287" width="17" style="648" customWidth="1"/>
    <col min="1288" max="1288" width="15.85546875" style="648" customWidth="1"/>
    <col min="1289" max="1289" width="18.85546875" style="648" customWidth="1"/>
    <col min="1290" max="1290" width="15.85546875" style="648" customWidth="1"/>
    <col min="1291" max="1291" width="15.7109375" style="648" customWidth="1"/>
    <col min="1292" max="1292" width="16.140625" style="648" customWidth="1"/>
    <col min="1293" max="1293" width="14.42578125" style="648" customWidth="1"/>
    <col min="1294" max="1294" width="12.7109375" style="648" customWidth="1"/>
    <col min="1295" max="1295" width="14.5703125" style="648" customWidth="1"/>
    <col min="1296" max="1296" width="19" style="648" customWidth="1"/>
    <col min="1297" max="1297" width="19.140625" style="648" customWidth="1"/>
    <col min="1298" max="1298" width="18.5703125" style="648" customWidth="1"/>
    <col min="1299" max="1299" width="17" style="648" customWidth="1"/>
    <col min="1300" max="1300" width="16.5703125" style="648" customWidth="1"/>
    <col min="1301" max="1301" width="15.85546875" style="648" customWidth="1"/>
    <col min="1302" max="1302" width="18.28515625" style="648" customWidth="1"/>
    <col min="1303" max="1303" width="17" style="648" customWidth="1"/>
    <col min="1304" max="1304" width="20" style="648" customWidth="1"/>
    <col min="1305" max="1305" width="32.85546875" style="648" customWidth="1"/>
    <col min="1306" max="1536" width="9" style="648"/>
    <col min="1537" max="1537" width="5.42578125" style="648" customWidth="1"/>
    <col min="1538" max="1538" width="47.42578125" style="648" customWidth="1"/>
    <col min="1539" max="1539" width="8.140625" style="648" customWidth="1"/>
    <col min="1540" max="1540" width="11.28515625" style="648" customWidth="1"/>
    <col min="1541" max="1541" width="19.28515625" style="648" customWidth="1"/>
    <col min="1542" max="1542" width="20.28515625" style="648" customWidth="1"/>
    <col min="1543" max="1543" width="17" style="648" customWidth="1"/>
    <col min="1544" max="1544" width="15.85546875" style="648" customWidth="1"/>
    <col min="1545" max="1545" width="18.85546875" style="648" customWidth="1"/>
    <col min="1546" max="1546" width="15.85546875" style="648" customWidth="1"/>
    <col min="1547" max="1547" width="15.7109375" style="648" customWidth="1"/>
    <col min="1548" max="1548" width="16.140625" style="648" customWidth="1"/>
    <col min="1549" max="1549" width="14.42578125" style="648" customWidth="1"/>
    <col min="1550" max="1550" width="12.7109375" style="648" customWidth="1"/>
    <col min="1551" max="1551" width="14.5703125" style="648" customWidth="1"/>
    <col min="1552" max="1552" width="19" style="648" customWidth="1"/>
    <col min="1553" max="1553" width="19.140625" style="648" customWidth="1"/>
    <col min="1554" max="1554" width="18.5703125" style="648" customWidth="1"/>
    <col min="1555" max="1555" width="17" style="648" customWidth="1"/>
    <col min="1556" max="1556" width="16.5703125" style="648" customWidth="1"/>
    <col min="1557" max="1557" width="15.85546875" style="648" customWidth="1"/>
    <col min="1558" max="1558" width="18.28515625" style="648" customWidth="1"/>
    <col min="1559" max="1559" width="17" style="648" customWidth="1"/>
    <col min="1560" max="1560" width="20" style="648" customWidth="1"/>
    <col min="1561" max="1561" width="32.85546875" style="648" customWidth="1"/>
    <col min="1562" max="1792" width="9" style="648"/>
    <col min="1793" max="1793" width="5.42578125" style="648" customWidth="1"/>
    <col min="1794" max="1794" width="47.42578125" style="648" customWidth="1"/>
    <col min="1795" max="1795" width="8.140625" style="648" customWidth="1"/>
    <col min="1796" max="1796" width="11.28515625" style="648" customWidth="1"/>
    <col min="1797" max="1797" width="19.28515625" style="648" customWidth="1"/>
    <col min="1798" max="1798" width="20.28515625" style="648" customWidth="1"/>
    <col min="1799" max="1799" width="17" style="648" customWidth="1"/>
    <col min="1800" max="1800" width="15.85546875" style="648" customWidth="1"/>
    <col min="1801" max="1801" width="18.85546875" style="648" customWidth="1"/>
    <col min="1802" max="1802" width="15.85546875" style="648" customWidth="1"/>
    <col min="1803" max="1803" width="15.7109375" style="648" customWidth="1"/>
    <col min="1804" max="1804" width="16.140625" style="648" customWidth="1"/>
    <col min="1805" max="1805" width="14.42578125" style="648" customWidth="1"/>
    <col min="1806" max="1806" width="12.7109375" style="648" customWidth="1"/>
    <col min="1807" max="1807" width="14.5703125" style="648" customWidth="1"/>
    <col min="1808" max="1808" width="19" style="648" customWidth="1"/>
    <col min="1809" max="1809" width="19.140625" style="648" customWidth="1"/>
    <col min="1810" max="1810" width="18.5703125" style="648" customWidth="1"/>
    <col min="1811" max="1811" width="17" style="648" customWidth="1"/>
    <col min="1812" max="1812" width="16.5703125" style="648" customWidth="1"/>
    <col min="1813" max="1813" width="15.85546875" style="648" customWidth="1"/>
    <col min="1814" max="1814" width="18.28515625" style="648" customWidth="1"/>
    <col min="1815" max="1815" width="17" style="648" customWidth="1"/>
    <col min="1816" max="1816" width="20" style="648" customWidth="1"/>
    <col min="1817" max="1817" width="32.85546875" style="648" customWidth="1"/>
    <col min="1818" max="2048" width="9" style="648"/>
    <col min="2049" max="2049" width="5.42578125" style="648" customWidth="1"/>
    <col min="2050" max="2050" width="47.42578125" style="648" customWidth="1"/>
    <col min="2051" max="2051" width="8.140625" style="648" customWidth="1"/>
    <col min="2052" max="2052" width="11.28515625" style="648" customWidth="1"/>
    <col min="2053" max="2053" width="19.28515625" style="648" customWidth="1"/>
    <col min="2054" max="2054" width="20.28515625" style="648" customWidth="1"/>
    <col min="2055" max="2055" width="17" style="648" customWidth="1"/>
    <col min="2056" max="2056" width="15.85546875" style="648" customWidth="1"/>
    <col min="2057" max="2057" width="18.85546875" style="648" customWidth="1"/>
    <col min="2058" max="2058" width="15.85546875" style="648" customWidth="1"/>
    <col min="2059" max="2059" width="15.7109375" style="648" customWidth="1"/>
    <col min="2060" max="2060" width="16.140625" style="648" customWidth="1"/>
    <col min="2061" max="2061" width="14.42578125" style="648" customWidth="1"/>
    <col min="2062" max="2062" width="12.7109375" style="648" customWidth="1"/>
    <col min="2063" max="2063" width="14.5703125" style="648" customWidth="1"/>
    <col min="2064" max="2064" width="19" style="648" customWidth="1"/>
    <col min="2065" max="2065" width="19.140625" style="648" customWidth="1"/>
    <col min="2066" max="2066" width="18.5703125" style="648" customWidth="1"/>
    <col min="2067" max="2067" width="17" style="648" customWidth="1"/>
    <col min="2068" max="2068" width="16.5703125" style="648" customWidth="1"/>
    <col min="2069" max="2069" width="15.85546875" style="648" customWidth="1"/>
    <col min="2070" max="2070" width="18.28515625" style="648" customWidth="1"/>
    <col min="2071" max="2071" width="17" style="648" customWidth="1"/>
    <col min="2072" max="2072" width="20" style="648" customWidth="1"/>
    <col min="2073" max="2073" width="32.85546875" style="648" customWidth="1"/>
    <col min="2074" max="2304" width="9" style="648"/>
    <col min="2305" max="2305" width="5.42578125" style="648" customWidth="1"/>
    <col min="2306" max="2306" width="47.42578125" style="648" customWidth="1"/>
    <col min="2307" max="2307" width="8.140625" style="648" customWidth="1"/>
    <col min="2308" max="2308" width="11.28515625" style="648" customWidth="1"/>
    <col min="2309" max="2309" width="19.28515625" style="648" customWidth="1"/>
    <col min="2310" max="2310" width="20.28515625" style="648" customWidth="1"/>
    <col min="2311" max="2311" width="17" style="648" customWidth="1"/>
    <col min="2312" max="2312" width="15.85546875" style="648" customWidth="1"/>
    <col min="2313" max="2313" width="18.85546875" style="648" customWidth="1"/>
    <col min="2314" max="2314" width="15.85546875" style="648" customWidth="1"/>
    <col min="2315" max="2315" width="15.7109375" style="648" customWidth="1"/>
    <col min="2316" max="2316" width="16.140625" style="648" customWidth="1"/>
    <col min="2317" max="2317" width="14.42578125" style="648" customWidth="1"/>
    <col min="2318" max="2318" width="12.7109375" style="648" customWidth="1"/>
    <col min="2319" max="2319" width="14.5703125" style="648" customWidth="1"/>
    <col min="2320" max="2320" width="19" style="648" customWidth="1"/>
    <col min="2321" max="2321" width="19.140625" style="648" customWidth="1"/>
    <col min="2322" max="2322" width="18.5703125" style="648" customWidth="1"/>
    <col min="2323" max="2323" width="17" style="648" customWidth="1"/>
    <col min="2324" max="2324" width="16.5703125" style="648" customWidth="1"/>
    <col min="2325" max="2325" width="15.85546875" style="648" customWidth="1"/>
    <col min="2326" max="2326" width="18.28515625" style="648" customWidth="1"/>
    <col min="2327" max="2327" width="17" style="648" customWidth="1"/>
    <col min="2328" max="2328" width="20" style="648" customWidth="1"/>
    <col min="2329" max="2329" width="32.85546875" style="648" customWidth="1"/>
    <col min="2330" max="2560" width="9" style="648"/>
    <col min="2561" max="2561" width="5.42578125" style="648" customWidth="1"/>
    <col min="2562" max="2562" width="47.42578125" style="648" customWidth="1"/>
    <col min="2563" max="2563" width="8.140625" style="648" customWidth="1"/>
    <col min="2564" max="2564" width="11.28515625" style="648" customWidth="1"/>
    <col min="2565" max="2565" width="19.28515625" style="648" customWidth="1"/>
    <col min="2566" max="2566" width="20.28515625" style="648" customWidth="1"/>
    <col min="2567" max="2567" width="17" style="648" customWidth="1"/>
    <col min="2568" max="2568" width="15.85546875" style="648" customWidth="1"/>
    <col min="2569" max="2569" width="18.85546875" style="648" customWidth="1"/>
    <col min="2570" max="2570" width="15.85546875" style="648" customWidth="1"/>
    <col min="2571" max="2571" width="15.7109375" style="648" customWidth="1"/>
    <col min="2572" max="2572" width="16.140625" style="648" customWidth="1"/>
    <col min="2573" max="2573" width="14.42578125" style="648" customWidth="1"/>
    <col min="2574" max="2574" width="12.7109375" style="648" customWidth="1"/>
    <col min="2575" max="2575" width="14.5703125" style="648" customWidth="1"/>
    <col min="2576" max="2576" width="19" style="648" customWidth="1"/>
    <col min="2577" max="2577" width="19.140625" style="648" customWidth="1"/>
    <col min="2578" max="2578" width="18.5703125" style="648" customWidth="1"/>
    <col min="2579" max="2579" width="17" style="648" customWidth="1"/>
    <col min="2580" max="2580" width="16.5703125" style="648" customWidth="1"/>
    <col min="2581" max="2581" width="15.85546875" style="648" customWidth="1"/>
    <col min="2582" max="2582" width="18.28515625" style="648" customWidth="1"/>
    <col min="2583" max="2583" width="17" style="648" customWidth="1"/>
    <col min="2584" max="2584" width="20" style="648" customWidth="1"/>
    <col min="2585" max="2585" width="32.85546875" style="648" customWidth="1"/>
    <col min="2586" max="2816" width="9" style="648"/>
    <col min="2817" max="2817" width="5.42578125" style="648" customWidth="1"/>
    <col min="2818" max="2818" width="47.42578125" style="648" customWidth="1"/>
    <col min="2819" max="2819" width="8.140625" style="648" customWidth="1"/>
    <col min="2820" max="2820" width="11.28515625" style="648" customWidth="1"/>
    <col min="2821" max="2821" width="19.28515625" style="648" customWidth="1"/>
    <col min="2822" max="2822" width="20.28515625" style="648" customWidth="1"/>
    <col min="2823" max="2823" width="17" style="648" customWidth="1"/>
    <col min="2824" max="2824" width="15.85546875" style="648" customWidth="1"/>
    <col min="2825" max="2825" width="18.85546875" style="648" customWidth="1"/>
    <col min="2826" max="2826" width="15.85546875" style="648" customWidth="1"/>
    <col min="2827" max="2827" width="15.7109375" style="648" customWidth="1"/>
    <col min="2828" max="2828" width="16.140625" style="648" customWidth="1"/>
    <col min="2829" max="2829" width="14.42578125" style="648" customWidth="1"/>
    <col min="2830" max="2830" width="12.7109375" style="648" customWidth="1"/>
    <col min="2831" max="2831" width="14.5703125" style="648" customWidth="1"/>
    <col min="2832" max="2832" width="19" style="648" customWidth="1"/>
    <col min="2833" max="2833" width="19.140625" style="648" customWidth="1"/>
    <col min="2834" max="2834" width="18.5703125" style="648" customWidth="1"/>
    <col min="2835" max="2835" width="17" style="648" customWidth="1"/>
    <col min="2836" max="2836" width="16.5703125" style="648" customWidth="1"/>
    <col min="2837" max="2837" width="15.85546875" style="648" customWidth="1"/>
    <col min="2838" max="2838" width="18.28515625" style="648" customWidth="1"/>
    <col min="2839" max="2839" width="17" style="648" customWidth="1"/>
    <col min="2840" max="2840" width="20" style="648" customWidth="1"/>
    <col min="2841" max="2841" width="32.85546875" style="648" customWidth="1"/>
    <col min="2842" max="3072" width="9" style="648"/>
    <col min="3073" max="3073" width="5.42578125" style="648" customWidth="1"/>
    <col min="3074" max="3074" width="47.42578125" style="648" customWidth="1"/>
    <col min="3075" max="3075" width="8.140625" style="648" customWidth="1"/>
    <col min="3076" max="3076" width="11.28515625" style="648" customWidth="1"/>
    <col min="3077" max="3077" width="19.28515625" style="648" customWidth="1"/>
    <col min="3078" max="3078" width="20.28515625" style="648" customWidth="1"/>
    <col min="3079" max="3079" width="17" style="648" customWidth="1"/>
    <col min="3080" max="3080" width="15.85546875" style="648" customWidth="1"/>
    <col min="3081" max="3081" width="18.85546875" style="648" customWidth="1"/>
    <col min="3082" max="3082" width="15.85546875" style="648" customWidth="1"/>
    <col min="3083" max="3083" width="15.7109375" style="648" customWidth="1"/>
    <col min="3084" max="3084" width="16.140625" style="648" customWidth="1"/>
    <col min="3085" max="3085" width="14.42578125" style="648" customWidth="1"/>
    <col min="3086" max="3086" width="12.7109375" style="648" customWidth="1"/>
    <col min="3087" max="3087" width="14.5703125" style="648" customWidth="1"/>
    <col min="3088" max="3088" width="19" style="648" customWidth="1"/>
    <col min="3089" max="3089" width="19.140625" style="648" customWidth="1"/>
    <col min="3090" max="3090" width="18.5703125" style="648" customWidth="1"/>
    <col min="3091" max="3091" width="17" style="648" customWidth="1"/>
    <col min="3092" max="3092" width="16.5703125" style="648" customWidth="1"/>
    <col min="3093" max="3093" width="15.85546875" style="648" customWidth="1"/>
    <col min="3094" max="3094" width="18.28515625" style="648" customWidth="1"/>
    <col min="3095" max="3095" width="17" style="648" customWidth="1"/>
    <col min="3096" max="3096" width="20" style="648" customWidth="1"/>
    <col min="3097" max="3097" width="32.85546875" style="648" customWidth="1"/>
    <col min="3098" max="3328" width="9" style="648"/>
    <col min="3329" max="3329" width="5.42578125" style="648" customWidth="1"/>
    <col min="3330" max="3330" width="47.42578125" style="648" customWidth="1"/>
    <col min="3331" max="3331" width="8.140625" style="648" customWidth="1"/>
    <col min="3332" max="3332" width="11.28515625" style="648" customWidth="1"/>
    <col min="3333" max="3333" width="19.28515625" style="648" customWidth="1"/>
    <col min="3334" max="3334" width="20.28515625" style="648" customWidth="1"/>
    <col min="3335" max="3335" width="17" style="648" customWidth="1"/>
    <col min="3336" max="3336" width="15.85546875" style="648" customWidth="1"/>
    <col min="3337" max="3337" width="18.85546875" style="648" customWidth="1"/>
    <col min="3338" max="3338" width="15.85546875" style="648" customWidth="1"/>
    <col min="3339" max="3339" width="15.7109375" style="648" customWidth="1"/>
    <col min="3340" max="3340" width="16.140625" style="648" customWidth="1"/>
    <col min="3341" max="3341" width="14.42578125" style="648" customWidth="1"/>
    <col min="3342" max="3342" width="12.7109375" style="648" customWidth="1"/>
    <col min="3343" max="3343" width="14.5703125" style="648" customWidth="1"/>
    <col min="3344" max="3344" width="19" style="648" customWidth="1"/>
    <col min="3345" max="3345" width="19.140625" style="648" customWidth="1"/>
    <col min="3346" max="3346" width="18.5703125" style="648" customWidth="1"/>
    <col min="3347" max="3347" width="17" style="648" customWidth="1"/>
    <col min="3348" max="3348" width="16.5703125" style="648" customWidth="1"/>
    <col min="3349" max="3349" width="15.85546875" style="648" customWidth="1"/>
    <col min="3350" max="3350" width="18.28515625" style="648" customWidth="1"/>
    <col min="3351" max="3351" width="17" style="648" customWidth="1"/>
    <col min="3352" max="3352" width="20" style="648" customWidth="1"/>
    <col min="3353" max="3353" width="32.85546875" style="648" customWidth="1"/>
    <col min="3354" max="3584" width="9" style="648"/>
    <col min="3585" max="3585" width="5.42578125" style="648" customWidth="1"/>
    <col min="3586" max="3586" width="47.42578125" style="648" customWidth="1"/>
    <col min="3587" max="3587" width="8.140625" style="648" customWidth="1"/>
    <col min="3588" max="3588" width="11.28515625" style="648" customWidth="1"/>
    <col min="3589" max="3589" width="19.28515625" style="648" customWidth="1"/>
    <col min="3590" max="3590" width="20.28515625" style="648" customWidth="1"/>
    <col min="3591" max="3591" width="17" style="648" customWidth="1"/>
    <col min="3592" max="3592" width="15.85546875" style="648" customWidth="1"/>
    <col min="3593" max="3593" width="18.85546875" style="648" customWidth="1"/>
    <col min="3594" max="3594" width="15.85546875" style="648" customWidth="1"/>
    <col min="3595" max="3595" width="15.7109375" style="648" customWidth="1"/>
    <col min="3596" max="3596" width="16.140625" style="648" customWidth="1"/>
    <col min="3597" max="3597" width="14.42578125" style="648" customWidth="1"/>
    <col min="3598" max="3598" width="12.7109375" style="648" customWidth="1"/>
    <col min="3599" max="3599" width="14.5703125" style="648" customWidth="1"/>
    <col min="3600" max="3600" width="19" style="648" customWidth="1"/>
    <col min="3601" max="3601" width="19.140625" style="648" customWidth="1"/>
    <col min="3602" max="3602" width="18.5703125" style="648" customWidth="1"/>
    <col min="3603" max="3603" width="17" style="648" customWidth="1"/>
    <col min="3604" max="3604" width="16.5703125" style="648" customWidth="1"/>
    <col min="3605" max="3605" width="15.85546875" style="648" customWidth="1"/>
    <col min="3606" max="3606" width="18.28515625" style="648" customWidth="1"/>
    <col min="3607" max="3607" width="17" style="648" customWidth="1"/>
    <col min="3608" max="3608" width="20" style="648" customWidth="1"/>
    <col min="3609" max="3609" width="32.85546875" style="648" customWidth="1"/>
    <col min="3610" max="3840" width="9" style="648"/>
    <col min="3841" max="3841" width="5.42578125" style="648" customWidth="1"/>
    <col min="3842" max="3842" width="47.42578125" style="648" customWidth="1"/>
    <col min="3843" max="3843" width="8.140625" style="648" customWidth="1"/>
    <col min="3844" max="3844" width="11.28515625" style="648" customWidth="1"/>
    <col min="3845" max="3845" width="19.28515625" style="648" customWidth="1"/>
    <col min="3846" max="3846" width="20.28515625" style="648" customWidth="1"/>
    <col min="3847" max="3847" width="17" style="648" customWidth="1"/>
    <col min="3848" max="3848" width="15.85546875" style="648" customWidth="1"/>
    <col min="3849" max="3849" width="18.85546875" style="648" customWidth="1"/>
    <col min="3850" max="3850" width="15.85546875" style="648" customWidth="1"/>
    <col min="3851" max="3851" width="15.7109375" style="648" customWidth="1"/>
    <col min="3852" max="3852" width="16.140625" style="648" customWidth="1"/>
    <col min="3853" max="3853" width="14.42578125" style="648" customWidth="1"/>
    <col min="3854" max="3854" width="12.7109375" style="648" customWidth="1"/>
    <col min="3855" max="3855" width="14.5703125" style="648" customWidth="1"/>
    <col min="3856" max="3856" width="19" style="648" customWidth="1"/>
    <col min="3857" max="3857" width="19.140625" style="648" customWidth="1"/>
    <col min="3858" max="3858" width="18.5703125" style="648" customWidth="1"/>
    <col min="3859" max="3859" width="17" style="648" customWidth="1"/>
    <col min="3860" max="3860" width="16.5703125" style="648" customWidth="1"/>
    <col min="3861" max="3861" width="15.85546875" style="648" customWidth="1"/>
    <col min="3862" max="3862" width="18.28515625" style="648" customWidth="1"/>
    <col min="3863" max="3863" width="17" style="648" customWidth="1"/>
    <col min="3864" max="3864" width="20" style="648" customWidth="1"/>
    <col min="3865" max="3865" width="32.85546875" style="648" customWidth="1"/>
    <col min="3866" max="4096" width="9" style="648"/>
    <col min="4097" max="4097" width="5.42578125" style="648" customWidth="1"/>
    <col min="4098" max="4098" width="47.42578125" style="648" customWidth="1"/>
    <col min="4099" max="4099" width="8.140625" style="648" customWidth="1"/>
    <col min="4100" max="4100" width="11.28515625" style="648" customWidth="1"/>
    <col min="4101" max="4101" width="19.28515625" style="648" customWidth="1"/>
    <col min="4102" max="4102" width="20.28515625" style="648" customWidth="1"/>
    <col min="4103" max="4103" width="17" style="648" customWidth="1"/>
    <col min="4104" max="4104" width="15.85546875" style="648" customWidth="1"/>
    <col min="4105" max="4105" width="18.85546875" style="648" customWidth="1"/>
    <col min="4106" max="4106" width="15.85546875" style="648" customWidth="1"/>
    <col min="4107" max="4107" width="15.7109375" style="648" customWidth="1"/>
    <col min="4108" max="4108" width="16.140625" style="648" customWidth="1"/>
    <col min="4109" max="4109" width="14.42578125" style="648" customWidth="1"/>
    <col min="4110" max="4110" width="12.7109375" style="648" customWidth="1"/>
    <col min="4111" max="4111" width="14.5703125" style="648" customWidth="1"/>
    <col min="4112" max="4112" width="19" style="648" customWidth="1"/>
    <col min="4113" max="4113" width="19.140625" style="648" customWidth="1"/>
    <col min="4114" max="4114" width="18.5703125" style="648" customWidth="1"/>
    <col min="4115" max="4115" width="17" style="648" customWidth="1"/>
    <col min="4116" max="4116" width="16.5703125" style="648" customWidth="1"/>
    <col min="4117" max="4117" width="15.85546875" style="648" customWidth="1"/>
    <col min="4118" max="4118" width="18.28515625" style="648" customWidth="1"/>
    <col min="4119" max="4119" width="17" style="648" customWidth="1"/>
    <col min="4120" max="4120" width="20" style="648" customWidth="1"/>
    <col min="4121" max="4121" width="32.85546875" style="648" customWidth="1"/>
    <col min="4122" max="4352" width="9" style="648"/>
    <col min="4353" max="4353" width="5.42578125" style="648" customWidth="1"/>
    <col min="4354" max="4354" width="47.42578125" style="648" customWidth="1"/>
    <col min="4355" max="4355" width="8.140625" style="648" customWidth="1"/>
    <col min="4356" max="4356" width="11.28515625" style="648" customWidth="1"/>
    <col min="4357" max="4357" width="19.28515625" style="648" customWidth="1"/>
    <col min="4358" max="4358" width="20.28515625" style="648" customWidth="1"/>
    <col min="4359" max="4359" width="17" style="648" customWidth="1"/>
    <col min="4360" max="4360" width="15.85546875" style="648" customWidth="1"/>
    <col min="4361" max="4361" width="18.85546875" style="648" customWidth="1"/>
    <col min="4362" max="4362" width="15.85546875" style="648" customWidth="1"/>
    <col min="4363" max="4363" width="15.7109375" style="648" customWidth="1"/>
    <col min="4364" max="4364" width="16.140625" style="648" customWidth="1"/>
    <col min="4365" max="4365" width="14.42578125" style="648" customWidth="1"/>
    <col min="4366" max="4366" width="12.7109375" style="648" customWidth="1"/>
    <col min="4367" max="4367" width="14.5703125" style="648" customWidth="1"/>
    <col min="4368" max="4368" width="19" style="648" customWidth="1"/>
    <col min="4369" max="4369" width="19.140625" style="648" customWidth="1"/>
    <col min="4370" max="4370" width="18.5703125" style="648" customWidth="1"/>
    <col min="4371" max="4371" width="17" style="648" customWidth="1"/>
    <col min="4372" max="4372" width="16.5703125" style="648" customWidth="1"/>
    <col min="4373" max="4373" width="15.85546875" style="648" customWidth="1"/>
    <col min="4374" max="4374" width="18.28515625" style="648" customWidth="1"/>
    <col min="4375" max="4375" width="17" style="648" customWidth="1"/>
    <col min="4376" max="4376" width="20" style="648" customWidth="1"/>
    <col min="4377" max="4377" width="32.85546875" style="648" customWidth="1"/>
    <col min="4378" max="4608" width="9" style="648"/>
    <col min="4609" max="4609" width="5.42578125" style="648" customWidth="1"/>
    <col min="4610" max="4610" width="47.42578125" style="648" customWidth="1"/>
    <col min="4611" max="4611" width="8.140625" style="648" customWidth="1"/>
    <col min="4612" max="4612" width="11.28515625" style="648" customWidth="1"/>
    <col min="4613" max="4613" width="19.28515625" style="648" customWidth="1"/>
    <col min="4614" max="4614" width="20.28515625" style="648" customWidth="1"/>
    <col min="4615" max="4615" width="17" style="648" customWidth="1"/>
    <col min="4616" max="4616" width="15.85546875" style="648" customWidth="1"/>
    <col min="4617" max="4617" width="18.85546875" style="648" customWidth="1"/>
    <col min="4618" max="4618" width="15.85546875" style="648" customWidth="1"/>
    <col min="4619" max="4619" width="15.7109375" style="648" customWidth="1"/>
    <col min="4620" max="4620" width="16.140625" style="648" customWidth="1"/>
    <col min="4621" max="4621" width="14.42578125" style="648" customWidth="1"/>
    <col min="4622" max="4622" width="12.7109375" style="648" customWidth="1"/>
    <col min="4623" max="4623" width="14.5703125" style="648" customWidth="1"/>
    <col min="4624" max="4624" width="19" style="648" customWidth="1"/>
    <col min="4625" max="4625" width="19.140625" style="648" customWidth="1"/>
    <col min="4626" max="4626" width="18.5703125" style="648" customWidth="1"/>
    <col min="4627" max="4627" width="17" style="648" customWidth="1"/>
    <col min="4628" max="4628" width="16.5703125" style="648" customWidth="1"/>
    <col min="4629" max="4629" width="15.85546875" style="648" customWidth="1"/>
    <col min="4630" max="4630" width="18.28515625" style="648" customWidth="1"/>
    <col min="4631" max="4631" width="17" style="648" customWidth="1"/>
    <col min="4632" max="4632" width="20" style="648" customWidth="1"/>
    <col min="4633" max="4633" width="32.85546875" style="648" customWidth="1"/>
    <col min="4634" max="4864" width="9" style="648"/>
    <col min="4865" max="4865" width="5.42578125" style="648" customWidth="1"/>
    <col min="4866" max="4866" width="47.42578125" style="648" customWidth="1"/>
    <col min="4867" max="4867" width="8.140625" style="648" customWidth="1"/>
    <col min="4868" max="4868" width="11.28515625" style="648" customWidth="1"/>
    <col min="4869" max="4869" width="19.28515625" style="648" customWidth="1"/>
    <col min="4870" max="4870" width="20.28515625" style="648" customWidth="1"/>
    <col min="4871" max="4871" width="17" style="648" customWidth="1"/>
    <col min="4872" max="4872" width="15.85546875" style="648" customWidth="1"/>
    <col min="4873" max="4873" width="18.85546875" style="648" customWidth="1"/>
    <col min="4874" max="4874" width="15.85546875" style="648" customWidth="1"/>
    <col min="4875" max="4875" width="15.7109375" style="648" customWidth="1"/>
    <col min="4876" max="4876" width="16.140625" style="648" customWidth="1"/>
    <col min="4877" max="4877" width="14.42578125" style="648" customWidth="1"/>
    <col min="4878" max="4878" width="12.7109375" style="648" customWidth="1"/>
    <col min="4879" max="4879" width="14.5703125" style="648" customWidth="1"/>
    <col min="4880" max="4880" width="19" style="648" customWidth="1"/>
    <col min="4881" max="4881" width="19.140625" style="648" customWidth="1"/>
    <col min="4882" max="4882" width="18.5703125" style="648" customWidth="1"/>
    <col min="4883" max="4883" width="17" style="648" customWidth="1"/>
    <col min="4884" max="4884" width="16.5703125" style="648" customWidth="1"/>
    <col min="4885" max="4885" width="15.85546875" style="648" customWidth="1"/>
    <col min="4886" max="4886" width="18.28515625" style="648" customWidth="1"/>
    <col min="4887" max="4887" width="17" style="648" customWidth="1"/>
    <col min="4888" max="4888" width="20" style="648" customWidth="1"/>
    <col min="4889" max="4889" width="32.85546875" style="648" customWidth="1"/>
    <col min="4890" max="5120" width="9" style="648"/>
    <col min="5121" max="5121" width="5.42578125" style="648" customWidth="1"/>
    <col min="5122" max="5122" width="47.42578125" style="648" customWidth="1"/>
    <col min="5123" max="5123" width="8.140625" style="648" customWidth="1"/>
    <col min="5124" max="5124" width="11.28515625" style="648" customWidth="1"/>
    <col min="5125" max="5125" width="19.28515625" style="648" customWidth="1"/>
    <col min="5126" max="5126" width="20.28515625" style="648" customWidth="1"/>
    <col min="5127" max="5127" width="17" style="648" customWidth="1"/>
    <col min="5128" max="5128" width="15.85546875" style="648" customWidth="1"/>
    <col min="5129" max="5129" width="18.85546875" style="648" customWidth="1"/>
    <col min="5130" max="5130" width="15.85546875" style="648" customWidth="1"/>
    <col min="5131" max="5131" width="15.7109375" style="648" customWidth="1"/>
    <col min="5132" max="5132" width="16.140625" style="648" customWidth="1"/>
    <col min="5133" max="5133" width="14.42578125" style="648" customWidth="1"/>
    <col min="5134" max="5134" width="12.7109375" style="648" customWidth="1"/>
    <col min="5135" max="5135" width="14.5703125" style="648" customWidth="1"/>
    <col min="5136" max="5136" width="19" style="648" customWidth="1"/>
    <col min="5137" max="5137" width="19.140625" style="648" customWidth="1"/>
    <col min="5138" max="5138" width="18.5703125" style="648" customWidth="1"/>
    <col min="5139" max="5139" width="17" style="648" customWidth="1"/>
    <col min="5140" max="5140" width="16.5703125" style="648" customWidth="1"/>
    <col min="5141" max="5141" width="15.85546875" style="648" customWidth="1"/>
    <col min="5142" max="5142" width="18.28515625" style="648" customWidth="1"/>
    <col min="5143" max="5143" width="17" style="648" customWidth="1"/>
    <col min="5144" max="5144" width="20" style="648" customWidth="1"/>
    <col min="5145" max="5145" width="32.85546875" style="648" customWidth="1"/>
    <col min="5146" max="5376" width="9" style="648"/>
    <col min="5377" max="5377" width="5.42578125" style="648" customWidth="1"/>
    <col min="5378" max="5378" width="47.42578125" style="648" customWidth="1"/>
    <col min="5379" max="5379" width="8.140625" style="648" customWidth="1"/>
    <col min="5380" max="5380" width="11.28515625" style="648" customWidth="1"/>
    <col min="5381" max="5381" width="19.28515625" style="648" customWidth="1"/>
    <col min="5382" max="5382" width="20.28515625" style="648" customWidth="1"/>
    <col min="5383" max="5383" width="17" style="648" customWidth="1"/>
    <col min="5384" max="5384" width="15.85546875" style="648" customWidth="1"/>
    <col min="5385" max="5385" width="18.85546875" style="648" customWidth="1"/>
    <col min="5386" max="5386" width="15.85546875" style="648" customWidth="1"/>
    <col min="5387" max="5387" width="15.7109375" style="648" customWidth="1"/>
    <col min="5388" max="5388" width="16.140625" style="648" customWidth="1"/>
    <col min="5389" max="5389" width="14.42578125" style="648" customWidth="1"/>
    <col min="5390" max="5390" width="12.7109375" style="648" customWidth="1"/>
    <col min="5391" max="5391" width="14.5703125" style="648" customWidth="1"/>
    <col min="5392" max="5392" width="19" style="648" customWidth="1"/>
    <col min="5393" max="5393" width="19.140625" style="648" customWidth="1"/>
    <col min="5394" max="5394" width="18.5703125" style="648" customWidth="1"/>
    <col min="5395" max="5395" width="17" style="648" customWidth="1"/>
    <col min="5396" max="5396" width="16.5703125" style="648" customWidth="1"/>
    <col min="5397" max="5397" width="15.85546875" style="648" customWidth="1"/>
    <col min="5398" max="5398" width="18.28515625" style="648" customWidth="1"/>
    <col min="5399" max="5399" width="17" style="648" customWidth="1"/>
    <col min="5400" max="5400" width="20" style="648" customWidth="1"/>
    <col min="5401" max="5401" width="32.85546875" style="648" customWidth="1"/>
    <col min="5402" max="5632" width="9" style="648"/>
    <col min="5633" max="5633" width="5.42578125" style="648" customWidth="1"/>
    <col min="5634" max="5634" width="47.42578125" style="648" customWidth="1"/>
    <col min="5635" max="5635" width="8.140625" style="648" customWidth="1"/>
    <col min="5636" max="5636" width="11.28515625" style="648" customWidth="1"/>
    <col min="5637" max="5637" width="19.28515625" style="648" customWidth="1"/>
    <col min="5638" max="5638" width="20.28515625" style="648" customWidth="1"/>
    <col min="5639" max="5639" width="17" style="648" customWidth="1"/>
    <col min="5640" max="5640" width="15.85546875" style="648" customWidth="1"/>
    <col min="5641" max="5641" width="18.85546875" style="648" customWidth="1"/>
    <col min="5642" max="5642" width="15.85546875" style="648" customWidth="1"/>
    <col min="5643" max="5643" width="15.7109375" style="648" customWidth="1"/>
    <col min="5644" max="5644" width="16.140625" style="648" customWidth="1"/>
    <col min="5645" max="5645" width="14.42578125" style="648" customWidth="1"/>
    <col min="5646" max="5646" width="12.7109375" style="648" customWidth="1"/>
    <col min="5647" max="5647" width="14.5703125" style="648" customWidth="1"/>
    <col min="5648" max="5648" width="19" style="648" customWidth="1"/>
    <col min="5649" max="5649" width="19.140625" style="648" customWidth="1"/>
    <col min="5650" max="5650" width="18.5703125" style="648" customWidth="1"/>
    <col min="5651" max="5651" width="17" style="648" customWidth="1"/>
    <col min="5652" max="5652" width="16.5703125" style="648" customWidth="1"/>
    <col min="5653" max="5653" width="15.85546875" style="648" customWidth="1"/>
    <col min="5654" max="5654" width="18.28515625" style="648" customWidth="1"/>
    <col min="5655" max="5655" width="17" style="648" customWidth="1"/>
    <col min="5656" max="5656" width="20" style="648" customWidth="1"/>
    <col min="5657" max="5657" width="32.85546875" style="648" customWidth="1"/>
    <col min="5658" max="5888" width="9" style="648"/>
    <col min="5889" max="5889" width="5.42578125" style="648" customWidth="1"/>
    <col min="5890" max="5890" width="47.42578125" style="648" customWidth="1"/>
    <col min="5891" max="5891" width="8.140625" style="648" customWidth="1"/>
    <col min="5892" max="5892" width="11.28515625" style="648" customWidth="1"/>
    <col min="5893" max="5893" width="19.28515625" style="648" customWidth="1"/>
    <col min="5894" max="5894" width="20.28515625" style="648" customWidth="1"/>
    <col min="5895" max="5895" width="17" style="648" customWidth="1"/>
    <col min="5896" max="5896" width="15.85546875" style="648" customWidth="1"/>
    <col min="5897" max="5897" width="18.85546875" style="648" customWidth="1"/>
    <col min="5898" max="5898" width="15.85546875" style="648" customWidth="1"/>
    <col min="5899" max="5899" width="15.7109375" style="648" customWidth="1"/>
    <col min="5900" max="5900" width="16.140625" style="648" customWidth="1"/>
    <col min="5901" max="5901" width="14.42578125" style="648" customWidth="1"/>
    <col min="5902" max="5902" width="12.7109375" style="648" customWidth="1"/>
    <col min="5903" max="5903" width="14.5703125" style="648" customWidth="1"/>
    <col min="5904" max="5904" width="19" style="648" customWidth="1"/>
    <col min="5905" max="5905" width="19.140625" style="648" customWidth="1"/>
    <col min="5906" max="5906" width="18.5703125" style="648" customWidth="1"/>
    <col min="5907" max="5907" width="17" style="648" customWidth="1"/>
    <col min="5908" max="5908" width="16.5703125" style="648" customWidth="1"/>
    <col min="5909" max="5909" width="15.85546875" style="648" customWidth="1"/>
    <col min="5910" max="5910" width="18.28515625" style="648" customWidth="1"/>
    <col min="5911" max="5911" width="17" style="648" customWidth="1"/>
    <col min="5912" max="5912" width="20" style="648" customWidth="1"/>
    <col min="5913" max="5913" width="32.85546875" style="648" customWidth="1"/>
    <col min="5914" max="6144" width="9" style="648"/>
    <col min="6145" max="6145" width="5.42578125" style="648" customWidth="1"/>
    <col min="6146" max="6146" width="47.42578125" style="648" customWidth="1"/>
    <col min="6147" max="6147" width="8.140625" style="648" customWidth="1"/>
    <col min="6148" max="6148" width="11.28515625" style="648" customWidth="1"/>
    <col min="6149" max="6149" width="19.28515625" style="648" customWidth="1"/>
    <col min="6150" max="6150" width="20.28515625" style="648" customWidth="1"/>
    <col min="6151" max="6151" width="17" style="648" customWidth="1"/>
    <col min="6152" max="6152" width="15.85546875" style="648" customWidth="1"/>
    <col min="6153" max="6153" width="18.85546875" style="648" customWidth="1"/>
    <col min="6154" max="6154" width="15.85546875" style="648" customWidth="1"/>
    <col min="6155" max="6155" width="15.7109375" style="648" customWidth="1"/>
    <col min="6156" max="6156" width="16.140625" style="648" customWidth="1"/>
    <col min="6157" max="6157" width="14.42578125" style="648" customWidth="1"/>
    <col min="6158" max="6158" width="12.7109375" style="648" customWidth="1"/>
    <col min="6159" max="6159" width="14.5703125" style="648" customWidth="1"/>
    <col min="6160" max="6160" width="19" style="648" customWidth="1"/>
    <col min="6161" max="6161" width="19.140625" style="648" customWidth="1"/>
    <col min="6162" max="6162" width="18.5703125" style="648" customWidth="1"/>
    <col min="6163" max="6163" width="17" style="648" customWidth="1"/>
    <col min="6164" max="6164" width="16.5703125" style="648" customWidth="1"/>
    <col min="6165" max="6165" width="15.85546875" style="648" customWidth="1"/>
    <col min="6166" max="6166" width="18.28515625" style="648" customWidth="1"/>
    <col min="6167" max="6167" width="17" style="648" customWidth="1"/>
    <col min="6168" max="6168" width="20" style="648" customWidth="1"/>
    <col min="6169" max="6169" width="32.85546875" style="648" customWidth="1"/>
    <col min="6170" max="6400" width="9" style="648"/>
    <col min="6401" max="6401" width="5.42578125" style="648" customWidth="1"/>
    <col min="6402" max="6402" width="47.42578125" style="648" customWidth="1"/>
    <col min="6403" max="6403" width="8.140625" style="648" customWidth="1"/>
    <col min="6404" max="6404" width="11.28515625" style="648" customWidth="1"/>
    <col min="6405" max="6405" width="19.28515625" style="648" customWidth="1"/>
    <col min="6406" max="6406" width="20.28515625" style="648" customWidth="1"/>
    <col min="6407" max="6407" width="17" style="648" customWidth="1"/>
    <col min="6408" max="6408" width="15.85546875" style="648" customWidth="1"/>
    <col min="6409" max="6409" width="18.85546875" style="648" customWidth="1"/>
    <col min="6410" max="6410" width="15.85546875" style="648" customWidth="1"/>
    <col min="6411" max="6411" width="15.7109375" style="648" customWidth="1"/>
    <col min="6412" max="6412" width="16.140625" style="648" customWidth="1"/>
    <col min="6413" max="6413" width="14.42578125" style="648" customWidth="1"/>
    <col min="6414" max="6414" width="12.7109375" style="648" customWidth="1"/>
    <col min="6415" max="6415" width="14.5703125" style="648" customWidth="1"/>
    <col min="6416" max="6416" width="19" style="648" customWidth="1"/>
    <col min="6417" max="6417" width="19.140625" style="648" customWidth="1"/>
    <col min="6418" max="6418" width="18.5703125" style="648" customWidth="1"/>
    <col min="6419" max="6419" width="17" style="648" customWidth="1"/>
    <col min="6420" max="6420" width="16.5703125" style="648" customWidth="1"/>
    <col min="6421" max="6421" width="15.85546875" style="648" customWidth="1"/>
    <col min="6422" max="6422" width="18.28515625" style="648" customWidth="1"/>
    <col min="6423" max="6423" width="17" style="648" customWidth="1"/>
    <col min="6424" max="6424" width="20" style="648" customWidth="1"/>
    <col min="6425" max="6425" width="32.85546875" style="648" customWidth="1"/>
    <col min="6426" max="6656" width="9" style="648"/>
    <col min="6657" max="6657" width="5.42578125" style="648" customWidth="1"/>
    <col min="6658" max="6658" width="47.42578125" style="648" customWidth="1"/>
    <col min="6659" max="6659" width="8.140625" style="648" customWidth="1"/>
    <col min="6660" max="6660" width="11.28515625" style="648" customWidth="1"/>
    <col min="6661" max="6661" width="19.28515625" style="648" customWidth="1"/>
    <col min="6662" max="6662" width="20.28515625" style="648" customWidth="1"/>
    <col min="6663" max="6663" width="17" style="648" customWidth="1"/>
    <col min="6664" max="6664" width="15.85546875" style="648" customWidth="1"/>
    <col min="6665" max="6665" width="18.85546875" style="648" customWidth="1"/>
    <col min="6666" max="6666" width="15.85546875" style="648" customWidth="1"/>
    <col min="6667" max="6667" width="15.7109375" style="648" customWidth="1"/>
    <col min="6668" max="6668" width="16.140625" style="648" customWidth="1"/>
    <col min="6669" max="6669" width="14.42578125" style="648" customWidth="1"/>
    <col min="6670" max="6670" width="12.7109375" style="648" customWidth="1"/>
    <col min="6671" max="6671" width="14.5703125" style="648" customWidth="1"/>
    <col min="6672" max="6672" width="19" style="648" customWidth="1"/>
    <col min="6673" max="6673" width="19.140625" style="648" customWidth="1"/>
    <col min="6674" max="6674" width="18.5703125" style="648" customWidth="1"/>
    <col min="6675" max="6675" width="17" style="648" customWidth="1"/>
    <col min="6676" max="6676" width="16.5703125" style="648" customWidth="1"/>
    <col min="6677" max="6677" width="15.85546875" style="648" customWidth="1"/>
    <col min="6678" max="6678" width="18.28515625" style="648" customWidth="1"/>
    <col min="6679" max="6679" width="17" style="648" customWidth="1"/>
    <col min="6680" max="6680" width="20" style="648" customWidth="1"/>
    <col min="6681" max="6681" width="32.85546875" style="648" customWidth="1"/>
    <col min="6682" max="6912" width="9" style="648"/>
    <col min="6913" max="6913" width="5.42578125" style="648" customWidth="1"/>
    <col min="6914" max="6914" width="47.42578125" style="648" customWidth="1"/>
    <col min="6915" max="6915" width="8.140625" style="648" customWidth="1"/>
    <col min="6916" max="6916" width="11.28515625" style="648" customWidth="1"/>
    <col min="6917" max="6917" width="19.28515625" style="648" customWidth="1"/>
    <col min="6918" max="6918" width="20.28515625" style="648" customWidth="1"/>
    <col min="6919" max="6919" width="17" style="648" customWidth="1"/>
    <col min="6920" max="6920" width="15.85546875" style="648" customWidth="1"/>
    <col min="6921" max="6921" width="18.85546875" style="648" customWidth="1"/>
    <col min="6922" max="6922" width="15.85546875" style="648" customWidth="1"/>
    <col min="6923" max="6923" width="15.7109375" style="648" customWidth="1"/>
    <col min="6924" max="6924" width="16.140625" style="648" customWidth="1"/>
    <col min="6925" max="6925" width="14.42578125" style="648" customWidth="1"/>
    <col min="6926" max="6926" width="12.7109375" style="648" customWidth="1"/>
    <col min="6927" max="6927" width="14.5703125" style="648" customWidth="1"/>
    <col min="6928" max="6928" width="19" style="648" customWidth="1"/>
    <col min="6929" max="6929" width="19.140625" style="648" customWidth="1"/>
    <col min="6930" max="6930" width="18.5703125" style="648" customWidth="1"/>
    <col min="6931" max="6931" width="17" style="648" customWidth="1"/>
    <col min="6932" max="6932" width="16.5703125" style="648" customWidth="1"/>
    <col min="6933" max="6933" width="15.85546875" style="648" customWidth="1"/>
    <col min="6934" max="6934" width="18.28515625" style="648" customWidth="1"/>
    <col min="6935" max="6935" width="17" style="648" customWidth="1"/>
    <col min="6936" max="6936" width="20" style="648" customWidth="1"/>
    <col min="6937" max="6937" width="32.85546875" style="648" customWidth="1"/>
    <col min="6938" max="7168" width="9" style="648"/>
    <col min="7169" max="7169" width="5.42578125" style="648" customWidth="1"/>
    <col min="7170" max="7170" width="47.42578125" style="648" customWidth="1"/>
    <col min="7171" max="7171" width="8.140625" style="648" customWidth="1"/>
    <col min="7172" max="7172" width="11.28515625" style="648" customWidth="1"/>
    <col min="7173" max="7173" width="19.28515625" style="648" customWidth="1"/>
    <col min="7174" max="7174" width="20.28515625" style="648" customWidth="1"/>
    <col min="7175" max="7175" width="17" style="648" customWidth="1"/>
    <col min="7176" max="7176" width="15.85546875" style="648" customWidth="1"/>
    <col min="7177" max="7177" width="18.85546875" style="648" customWidth="1"/>
    <col min="7178" max="7178" width="15.85546875" style="648" customWidth="1"/>
    <col min="7179" max="7179" width="15.7109375" style="648" customWidth="1"/>
    <col min="7180" max="7180" width="16.140625" style="648" customWidth="1"/>
    <col min="7181" max="7181" width="14.42578125" style="648" customWidth="1"/>
    <col min="7182" max="7182" width="12.7109375" style="648" customWidth="1"/>
    <col min="7183" max="7183" width="14.5703125" style="648" customWidth="1"/>
    <col min="7184" max="7184" width="19" style="648" customWidth="1"/>
    <col min="7185" max="7185" width="19.140625" style="648" customWidth="1"/>
    <col min="7186" max="7186" width="18.5703125" style="648" customWidth="1"/>
    <col min="7187" max="7187" width="17" style="648" customWidth="1"/>
    <col min="7188" max="7188" width="16.5703125" style="648" customWidth="1"/>
    <col min="7189" max="7189" width="15.85546875" style="648" customWidth="1"/>
    <col min="7190" max="7190" width="18.28515625" style="648" customWidth="1"/>
    <col min="7191" max="7191" width="17" style="648" customWidth="1"/>
    <col min="7192" max="7192" width="20" style="648" customWidth="1"/>
    <col min="7193" max="7193" width="32.85546875" style="648" customWidth="1"/>
    <col min="7194" max="7424" width="9" style="648"/>
    <col min="7425" max="7425" width="5.42578125" style="648" customWidth="1"/>
    <col min="7426" max="7426" width="47.42578125" style="648" customWidth="1"/>
    <col min="7427" max="7427" width="8.140625" style="648" customWidth="1"/>
    <col min="7428" max="7428" width="11.28515625" style="648" customWidth="1"/>
    <col min="7429" max="7429" width="19.28515625" style="648" customWidth="1"/>
    <col min="7430" max="7430" width="20.28515625" style="648" customWidth="1"/>
    <col min="7431" max="7431" width="17" style="648" customWidth="1"/>
    <col min="7432" max="7432" width="15.85546875" style="648" customWidth="1"/>
    <col min="7433" max="7433" width="18.85546875" style="648" customWidth="1"/>
    <col min="7434" max="7434" width="15.85546875" style="648" customWidth="1"/>
    <col min="7435" max="7435" width="15.7109375" style="648" customWidth="1"/>
    <col min="7436" max="7436" width="16.140625" style="648" customWidth="1"/>
    <col min="7437" max="7437" width="14.42578125" style="648" customWidth="1"/>
    <col min="7438" max="7438" width="12.7109375" style="648" customWidth="1"/>
    <col min="7439" max="7439" width="14.5703125" style="648" customWidth="1"/>
    <col min="7440" max="7440" width="19" style="648" customWidth="1"/>
    <col min="7441" max="7441" width="19.140625" style="648" customWidth="1"/>
    <col min="7442" max="7442" width="18.5703125" style="648" customWidth="1"/>
    <col min="7443" max="7443" width="17" style="648" customWidth="1"/>
    <col min="7444" max="7444" width="16.5703125" style="648" customWidth="1"/>
    <col min="7445" max="7445" width="15.85546875" style="648" customWidth="1"/>
    <col min="7446" max="7446" width="18.28515625" style="648" customWidth="1"/>
    <col min="7447" max="7447" width="17" style="648" customWidth="1"/>
    <col min="7448" max="7448" width="20" style="648" customWidth="1"/>
    <col min="7449" max="7449" width="32.85546875" style="648" customWidth="1"/>
    <col min="7450" max="7680" width="9" style="648"/>
    <col min="7681" max="7681" width="5.42578125" style="648" customWidth="1"/>
    <col min="7682" max="7682" width="47.42578125" style="648" customWidth="1"/>
    <col min="7683" max="7683" width="8.140625" style="648" customWidth="1"/>
    <col min="7684" max="7684" width="11.28515625" style="648" customWidth="1"/>
    <col min="7685" max="7685" width="19.28515625" style="648" customWidth="1"/>
    <col min="7686" max="7686" width="20.28515625" style="648" customWidth="1"/>
    <col min="7687" max="7687" width="17" style="648" customWidth="1"/>
    <col min="7688" max="7688" width="15.85546875" style="648" customWidth="1"/>
    <col min="7689" max="7689" width="18.85546875" style="648" customWidth="1"/>
    <col min="7690" max="7690" width="15.85546875" style="648" customWidth="1"/>
    <col min="7691" max="7691" width="15.7109375" style="648" customWidth="1"/>
    <col min="7692" max="7692" width="16.140625" style="648" customWidth="1"/>
    <col min="7693" max="7693" width="14.42578125" style="648" customWidth="1"/>
    <col min="7694" max="7694" width="12.7109375" style="648" customWidth="1"/>
    <col min="7695" max="7695" width="14.5703125" style="648" customWidth="1"/>
    <col min="7696" max="7696" width="19" style="648" customWidth="1"/>
    <col min="7697" max="7697" width="19.140625" style="648" customWidth="1"/>
    <col min="7698" max="7698" width="18.5703125" style="648" customWidth="1"/>
    <col min="7699" max="7699" width="17" style="648" customWidth="1"/>
    <col min="7700" max="7700" width="16.5703125" style="648" customWidth="1"/>
    <col min="7701" max="7701" width="15.85546875" style="648" customWidth="1"/>
    <col min="7702" max="7702" width="18.28515625" style="648" customWidth="1"/>
    <col min="7703" max="7703" width="17" style="648" customWidth="1"/>
    <col min="7704" max="7704" width="20" style="648" customWidth="1"/>
    <col min="7705" max="7705" width="32.85546875" style="648" customWidth="1"/>
    <col min="7706" max="7936" width="9" style="648"/>
    <col min="7937" max="7937" width="5.42578125" style="648" customWidth="1"/>
    <col min="7938" max="7938" width="47.42578125" style="648" customWidth="1"/>
    <col min="7939" max="7939" width="8.140625" style="648" customWidth="1"/>
    <col min="7940" max="7940" width="11.28515625" style="648" customWidth="1"/>
    <col min="7941" max="7941" width="19.28515625" style="648" customWidth="1"/>
    <col min="7942" max="7942" width="20.28515625" style="648" customWidth="1"/>
    <col min="7943" max="7943" width="17" style="648" customWidth="1"/>
    <col min="7944" max="7944" width="15.85546875" style="648" customWidth="1"/>
    <col min="7945" max="7945" width="18.85546875" style="648" customWidth="1"/>
    <col min="7946" max="7946" width="15.85546875" style="648" customWidth="1"/>
    <col min="7947" max="7947" width="15.7109375" style="648" customWidth="1"/>
    <col min="7948" max="7948" width="16.140625" style="648" customWidth="1"/>
    <col min="7949" max="7949" width="14.42578125" style="648" customWidth="1"/>
    <col min="7950" max="7950" width="12.7109375" style="648" customWidth="1"/>
    <col min="7951" max="7951" width="14.5703125" style="648" customWidth="1"/>
    <col min="7952" max="7952" width="19" style="648" customWidth="1"/>
    <col min="7953" max="7953" width="19.140625" style="648" customWidth="1"/>
    <col min="7954" max="7954" width="18.5703125" style="648" customWidth="1"/>
    <col min="7955" max="7955" width="17" style="648" customWidth="1"/>
    <col min="7956" max="7956" width="16.5703125" style="648" customWidth="1"/>
    <col min="7957" max="7957" width="15.85546875" style="648" customWidth="1"/>
    <col min="7958" max="7958" width="18.28515625" style="648" customWidth="1"/>
    <col min="7959" max="7959" width="17" style="648" customWidth="1"/>
    <col min="7960" max="7960" width="20" style="648" customWidth="1"/>
    <col min="7961" max="7961" width="32.85546875" style="648" customWidth="1"/>
    <col min="7962" max="8192" width="9" style="648"/>
    <col min="8193" max="8193" width="5.42578125" style="648" customWidth="1"/>
    <col min="8194" max="8194" width="47.42578125" style="648" customWidth="1"/>
    <col min="8195" max="8195" width="8.140625" style="648" customWidth="1"/>
    <col min="8196" max="8196" width="11.28515625" style="648" customWidth="1"/>
    <col min="8197" max="8197" width="19.28515625" style="648" customWidth="1"/>
    <col min="8198" max="8198" width="20.28515625" style="648" customWidth="1"/>
    <col min="8199" max="8199" width="17" style="648" customWidth="1"/>
    <col min="8200" max="8200" width="15.85546875" style="648" customWidth="1"/>
    <col min="8201" max="8201" width="18.85546875" style="648" customWidth="1"/>
    <col min="8202" max="8202" width="15.85546875" style="648" customWidth="1"/>
    <col min="8203" max="8203" width="15.7109375" style="648" customWidth="1"/>
    <col min="8204" max="8204" width="16.140625" style="648" customWidth="1"/>
    <col min="8205" max="8205" width="14.42578125" style="648" customWidth="1"/>
    <col min="8206" max="8206" width="12.7109375" style="648" customWidth="1"/>
    <col min="8207" max="8207" width="14.5703125" style="648" customWidth="1"/>
    <col min="8208" max="8208" width="19" style="648" customWidth="1"/>
    <col min="8209" max="8209" width="19.140625" style="648" customWidth="1"/>
    <col min="8210" max="8210" width="18.5703125" style="648" customWidth="1"/>
    <col min="8211" max="8211" width="17" style="648" customWidth="1"/>
    <col min="8212" max="8212" width="16.5703125" style="648" customWidth="1"/>
    <col min="8213" max="8213" width="15.85546875" style="648" customWidth="1"/>
    <col min="8214" max="8214" width="18.28515625" style="648" customWidth="1"/>
    <col min="8215" max="8215" width="17" style="648" customWidth="1"/>
    <col min="8216" max="8216" width="20" style="648" customWidth="1"/>
    <col min="8217" max="8217" width="32.85546875" style="648" customWidth="1"/>
    <col min="8218" max="8448" width="9" style="648"/>
    <col min="8449" max="8449" width="5.42578125" style="648" customWidth="1"/>
    <col min="8450" max="8450" width="47.42578125" style="648" customWidth="1"/>
    <col min="8451" max="8451" width="8.140625" style="648" customWidth="1"/>
    <col min="8452" max="8452" width="11.28515625" style="648" customWidth="1"/>
    <col min="8453" max="8453" width="19.28515625" style="648" customWidth="1"/>
    <col min="8454" max="8454" width="20.28515625" style="648" customWidth="1"/>
    <col min="8455" max="8455" width="17" style="648" customWidth="1"/>
    <col min="8456" max="8456" width="15.85546875" style="648" customWidth="1"/>
    <col min="8457" max="8457" width="18.85546875" style="648" customWidth="1"/>
    <col min="8458" max="8458" width="15.85546875" style="648" customWidth="1"/>
    <col min="8459" max="8459" width="15.7109375" style="648" customWidth="1"/>
    <col min="8460" max="8460" width="16.140625" style="648" customWidth="1"/>
    <col min="8461" max="8461" width="14.42578125" style="648" customWidth="1"/>
    <col min="8462" max="8462" width="12.7109375" style="648" customWidth="1"/>
    <col min="8463" max="8463" width="14.5703125" style="648" customWidth="1"/>
    <col min="8464" max="8464" width="19" style="648" customWidth="1"/>
    <col min="8465" max="8465" width="19.140625" style="648" customWidth="1"/>
    <col min="8466" max="8466" width="18.5703125" style="648" customWidth="1"/>
    <col min="8467" max="8467" width="17" style="648" customWidth="1"/>
    <col min="8468" max="8468" width="16.5703125" style="648" customWidth="1"/>
    <col min="8469" max="8469" width="15.85546875" style="648" customWidth="1"/>
    <col min="8470" max="8470" width="18.28515625" style="648" customWidth="1"/>
    <col min="8471" max="8471" width="17" style="648" customWidth="1"/>
    <col min="8472" max="8472" width="20" style="648" customWidth="1"/>
    <col min="8473" max="8473" width="32.85546875" style="648" customWidth="1"/>
    <col min="8474" max="8704" width="9" style="648"/>
    <col min="8705" max="8705" width="5.42578125" style="648" customWidth="1"/>
    <col min="8706" max="8706" width="47.42578125" style="648" customWidth="1"/>
    <col min="8707" max="8707" width="8.140625" style="648" customWidth="1"/>
    <col min="8708" max="8708" width="11.28515625" style="648" customWidth="1"/>
    <col min="8709" max="8709" width="19.28515625" style="648" customWidth="1"/>
    <col min="8710" max="8710" width="20.28515625" style="648" customWidth="1"/>
    <col min="8711" max="8711" width="17" style="648" customWidth="1"/>
    <col min="8712" max="8712" width="15.85546875" style="648" customWidth="1"/>
    <col min="8713" max="8713" width="18.85546875" style="648" customWidth="1"/>
    <col min="8714" max="8714" width="15.85546875" style="648" customWidth="1"/>
    <col min="8715" max="8715" width="15.7109375" style="648" customWidth="1"/>
    <col min="8716" max="8716" width="16.140625" style="648" customWidth="1"/>
    <col min="8717" max="8717" width="14.42578125" style="648" customWidth="1"/>
    <col min="8718" max="8718" width="12.7109375" style="648" customWidth="1"/>
    <col min="8719" max="8719" width="14.5703125" style="648" customWidth="1"/>
    <col min="8720" max="8720" width="19" style="648" customWidth="1"/>
    <col min="8721" max="8721" width="19.140625" style="648" customWidth="1"/>
    <col min="8722" max="8722" width="18.5703125" style="648" customWidth="1"/>
    <col min="8723" max="8723" width="17" style="648" customWidth="1"/>
    <col min="8724" max="8724" width="16.5703125" style="648" customWidth="1"/>
    <col min="8725" max="8725" width="15.85546875" style="648" customWidth="1"/>
    <col min="8726" max="8726" width="18.28515625" style="648" customWidth="1"/>
    <col min="8727" max="8727" width="17" style="648" customWidth="1"/>
    <col min="8728" max="8728" width="20" style="648" customWidth="1"/>
    <col min="8729" max="8729" width="32.85546875" style="648" customWidth="1"/>
    <col min="8730" max="8960" width="9" style="648"/>
    <col min="8961" max="8961" width="5.42578125" style="648" customWidth="1"/>
    <col min="8962" max="8962" width="47.42578125" style="648" customWidth="1"/>
    <col min="8963" max="8963" width="8.140625" style="648" customWidth="1"/>
    <col min="8964" max="8964" width="11.28515625" style="648" customWidth="1"/>
    <col min="8965" max="8965" width="19.28515625" style="648" customWidth="1"/>
    <col min="8966" max="8966" width="20.28515625" style="648" customWidth="1"/>
    <col min="8967" max="8967" width="17" style="648" customWidth="1"/>
    <col min="8968" max="8968" width="15.85546875" style="648" customWidth="1"/>
    <col min="8969" max="8969" width="18.85546875" style="648" customWidth="1"/>
    <col min="8970" max="8970" width="15.85546875" style="648" customWidth="1"/>
    <col min="8971" max="8971" width="15.7109375" style="648" customWidth="1"/>
    <col min="8972" max="8972" width="16.140625" style="648" customWidth="1"/>
    <col min="8973" max="8973" width="14.42578125" style="648" customWidth="1"/>
    <col min="8974" max="8974" width="12.7109375" style="648" customWidth="1"/>
    <col min="8975" max="8975" width="14.5703125" style="648" customWidth="1"/>
    <col min="8976" max="8976" width="19" style="648" customWidth="1"/>
    <col min="8977" max="8977" width="19.140625" style="648" customWidth="1"/>
    <col min="8978" max="8978" width="18.5703125" style="648" customWidth="1"/>
    <col min="8979" max="8979" width="17" style="648" customWidth="1"/>
    <col min="8980" max="8980" width="16.5703125" style="648" customWidth="1"/>
    <col min="8981" max="8981" width="15.85546875" style="648" customWidth="1"/>
    <col min="8982" max="8982" width="18.28515625" style="648" customWidth="1"/>
    <col min="8983" max="8983" width="17" style="648" customWidth="1"/>
    <col min="8984" max="8984" width="20" style="648" customWidth="1"/>
    <col min="8985" max="8985" width="32.85546875" style="648" customWidth="1"/>
    <col min="8986" max="9216" width="9" style="648"/>
    <col min="9217" max="9217" width="5.42578125" style="648" customWidth="1"/>
    <col min="9218" max="9218" width="47.42578125" style="648" customWidth="1"/>
    <col min="9219" max="9219" width="8.140625" style="648" customWidth="1"/>
    <col min="9220" max="9220" width="11.28515625" style="648" customWidth="1"/>
    <col min="9221" max="9221" width="19.28515625" style="648" customWidth="1"/>
    <col min="9222" max="9222" width="20.28515625" style="648" customWidth="1"/>
    <col min="9223" max="9223" width="17" style="648" customWidth="1"/>
    <col min="9224" max="9224" width="15.85546875" style="648" customWidth="1"/>
    <col min="9225" max="9225" width="18.85546875" style="648" customWidth="1"/>
    <col min="9226" max="9226" width="15.85546875" style="648" customWidth="1"/>
    <col min="9227" max="9227" width="15.7109375" style="648" customWidth="1"/>
    <col min="9228" max="9228" width="16.140625" style="648" customWidth="1"/>
    <col min="9229" max="9229" width="14.42578125" style="648" customWidth="1"/>
    <col min="9230" max="9230" width="12.7109375" style="648" customWidth="1"/>
    <col min="9231" max="9231" width="14.5703125" style="648" customWidth="1"/>
    <col min="9232" max="9232" width="19" style="648" customWidth="1"/>
    <col min="9233" max="9233" width="19.140625" style="648" customWidth="1"/>
    <col min="9234" max="9234" width="18.5703125" style="648" customWidth="1"/>
    <col min="9235" max="9235" width="17" style="648" customWidth="1"/>
    <col min="9236" max="9236" width="16.5703125" style="648" customWidth="1"/>
    <col min="9237" max="9237" width="15.85546875" style="648" customWidth="1"/>
    <col min="9238" max="9238" width="18.28515625" style="648" customWidth="1"/>
    <col min="9239" max="9239" width="17" style="648" customWidth="1"/>
    <col min="9240" max="9240" width="20" style="648" customWidth="1"/>
    <col min="9241" max="9241" width="32.85546875" style="648" customWidth="1"/>
    <col min="9242" max="9472" width="9" style="648"/>
    <col min="9473" max="9473" width="5.42578125" style="648" customWidth="1"/>
    <col min="9474" max="9474" width="47.42578125" style="648" customWidth="1"/>
    <col min="9475" max="9475" width="8.140625" style="648" customWidth="1"/>
    <col min="9476" max="9476" width="11.28515625" style="648" customWidth="1"/>
    <col min="9477" max="9477" width="19.28515625" style="648" customWidth="1"/>
    <col min="9478" max="9478" width="20.28515625" style="648" customWidth="1"/>
    <col min="9479" max="9479" width="17" style="648" customWidth="1"/>
    <col min="9480" max="9480" width="15.85546875" style="648" customWidth="1"/>
    <col min="9481" max="9481" width="18.85546875" style="648" customWidth="1"/>
    <col min="9482" max="9482" width="15.85546875" style="648" customWidth="1"/>
    <col min="9483" max="9483" width="15.7109375" style="648" customWidth="1"/>
    <col min="9484" max="9484" width="16.140625" style="648" customWidth="1"/>
    <col min="9485" max="9485" width="14.42578125" style="648" customWidth="1"/>
    <col min="9486" max="9486" width="12.7109375" style="648" customWidth="1"/>
    <col min="9487" max="9487" width="14.5703125" style="648" customWidth="1"/>
    <col min="9488" max="9488" width="19" style="648" customWidth="1"/>
    <col min="9489" max="9489" width="19.140625" style="648" customWidth="1"/>
    <col min="9490" max="9490" width="18.5703125" style="648" customWidth="1"/>
    <col min="9491" max="9491" width="17" style="648" customWidth="1"/>
    <col min="9492" max="9492" width="16.5703125" style="648" customWidth="1"/>
    <col min="9493" max="9493" width="15.85546875" style="648" customWidth="1"/>
    <col min="9494" max="9494" width="18.28515625" style="648" customWidth="1"/>
    <col min="9495" max="9495" width="17" style="648" customWidth="1"/>
    <col min="9496" max="9496" width="20" style="648" customWidth="1"/>
    <col min="9497" max="9497" width="32.85546875" style="648" customWidth="1"/>
    <col min="9498" max="9728" width="9" style="648"/>
    <col min="9729" max="9729" width="5.42578125" style="648" customWidth="1"/>
    <col min="9730" max="9730" width="47.42578125" style="648" customWidth="1"/>
    <col min="9731" max="9731" width="8.140625" style="648" customWidth="1"/>
    <col min="9732" max="9732" width="11.28515625" style="648" customWidth="1"/>
    <col min="9733" max="9733" width="19.28515625" style="648" customWidth="1"/>
    <col min="9734" max="9734" width="20.28515625" style="648" customWidth="1"/>
    <col min="9735" max="9735" width="17" style="648" customWidth="1"/>
    <col min="9736" max="9736" width="15.85546875" style="648" customWidth="1"/>
    <col min="9737" max="9737" width="18.85546875" style="648" customWidth="1"/>
    <col min="9738" max="9738" width="15.85546875" style="648" customWidth="1"/>
    <col min="9739" max="9739" width="15.7109375" style="648" customWidth="1"/>
    <col min="9740" max="9740" width="16.140625" style="648" customWidth="1"/>
    <col min="9741" max="9741" width="14.42578125" style="648" customWidth="1"/>
    <col min="9742" max="9742" width="12.7109375" style="648" customWidth="1"/>
    <col min="9743" max="9743" width="14.5703125" style="648" customWidth="1"/>
    <col min="9744" max="9744" width="19" style="648" customWidth="1"/>
    <col min="9745" max="9745" width="19.140625" style="648" customWidth="1"/>
    <col min="9746" max="9746" width="18.5703125" style="648" customWidth="1"/>
    <col min="9747" max="9747" width="17" style="648" customWidth="1"/>
    <col min="9748" max="9748" width="16.5703125" style="648" customWidth="1"/>
    <col min="9749" max="9749" width="15.85546875" style="648" customWidth="1"/>
    <col min="9750" max="9750" width="18.28515625" style="648" customWidth="1"/>
    <col min="9751" max="9751" width="17" style="648" customWidth="1"/>
    <col min="9752" max="9752" width="20" style="648" customWidth="1"/>
    <col min="9753" max="9753" width="32.85546875" style="648" customWidth="1"/>
    <col min="9754" max="9984" width="9" style="648"/>
    <col min="9985" max="9985" width="5.42578125" style="648" customWidth="1"/>
    <col min="9986" max="9986" width="47.42578125" style="648" customWidth="1"/>
    <col min="9987" max="9987" width="8.140625" style="648" customWidth="1"/>
    <col min="9988" max="9988" width="11.28515625" style="648" customWidth="1"/>
    <col min="9989" max="9989" width="19.28515625" style="648" customWidth="1"/>
    <col min="9990" max="9990" width="20.28515625" style="648" customWidth="1"/>
    <col min="9991" max="9991" width="17" style="648" customWidth="1"/>
    <col min="9992" max="9992" width="15.85546875" style="648" customWidth="1"/>
    <col min="9993" max="9993" width="18.85546875" style="648" customWidth="1"/>
    <col min="9994" max="9994" width="15.85546875" style="648" customWidth="1"/>
    <col min="9995" max="9995" width="15.7109375" style="648" customWidth="1"/>
    <col min="9996" max="9996" width="16.140625" style="648" customWidth="1"/>
    <col min="9997" max="9997" width="14.42578125" style="648" customWidth="1"/>
    <col min="9998" max="9998" width="12.7109375" style="648" customWidth="1"/>
    <col min="9999" max="9999" width="14.5703125" style="648" customWidth="1"/>
    <col min="10000" max="10000" width="19" style="648" customWidth="1"/>
    <col min="10001" max="10001" width="19.140625" style="648" customWidth="1"/>
    <col min="10002" max="10002" width="18.5703125" style="648" customWidth="1"/>
    <col min="10003" max="10003" width="17" style="648" customWidth="1"/>
    <col min="10004" max="10004" width="16.5703125" style="648" customWidth="1"/>
    <col min="10005" max="10005" width="15.85546875" style="648" customWidth="1"/>
    <col min="10006" max="10006" width="18.28515625" style="648" customWidth="1"/>
    <col min="10007" max="10007" width="17" style="648" customWidth="1"/>
    <col min="10008" max="10008" width="20" style="648" customWidth="1"/>
    <col min="10009" max="10009" width="32.85546875" style="648" customWidth="1"/>
    <col min="10010" max="10240" width="9" style="648"/>
    <col min="10241" max="10241" width="5.42578125" style="648" customWidth="1"/>
    <col min="10242" max="10242" width="47.42578125" style="648" customWidth="1"/>
    <col min="10243" max="10243" width="8.140625" style="648" customWidth="1"/>
    <col min="10244" max="10244" width="11.28515625" style="648" customWidth="1"/>
    <col min="10245" max="10245" width="19.28515625" style="648" customWidth="1"/>
    <col min="10246" max="10246" width="20.28515625" style="648" customWidth="1"/>
    <col min="10247" max="10247" width="17" style="648" customWidth="1"/>
    <col min="10248" max="10248" width="15.85546875" style="648" customWidth="1"/>
    <col min="10249" max="10249" width="18.85546875" style="648" customWidth="1"/>
    <col min="10250" max="10250" width="15.85546875" style="648" customWidth="1"/>
    <col min="10251" max="10251" width="15.7109375" style="648" customWidth="1"/>
    <col min="10252" max="10252" width="16.140625" style="648" customWidth="1"/>
    <col min="10253" max="10253" width="14.42578125" style="648" customWidth="1"/>
    <col min="10254" max="10254" width="12.7109375" style="648" customWidth="1"/>
    <col min="10255" max="10255" width="14.5703125" style="648" customWidth="1"/>
    <col min="10256" max="10256" width="19" style="648" customWidth="1"/>
    <col min="10257" max="10257" width="19.140625" style="648" customWidth="1"/>
    <col min="10258" max="10258" width="18.5703125" style="648" customWidth="1"/>
    <col min="10259" max="10259" width="17" style="648" customWidth="1"/>
    <col min="10260" max="10260" width="16.5703125" style="648" customWidth="1"/>
    <col min="10261" max="10261" width="15.85546875" style="648" customWidth="1"/>
    <col min="10262" max="10262" width="18.28515625" style="648" customWidth="1"/>
    <col min="10263" max="10263" width="17" style="648" customWidth="1"/>
    <col min="10264" max="10264" width="20" style="648" customWidth="1"/>
    <col min="10265" max="10265" width="32.85546875" style="648" customWidth="1"/>
    <col min="10266" max="10496" width="9" style="648"/>
    <col min="10497" max="10497" width="5.42578125" style="648" customWidth="1"/>
    <col min="10498" max="10498" width="47.42578125" style="648" customWidth="1"/>
    <col min="10499" max="10499" width="8.140625" style="648" customWidth="1"/>
    <col min="10500" max="10500" width="11.28515625" style="648" customWidth="1"/>
    <col min="10501" max="10501" width="19.28515625" style="648" customWidth="1"/>
    <col min="10502" max="10502" width="20.28515625" style="648" customWidth="1"/>
    <col min="10503" max="10503" width="17" style="648" customWidth="1"/>
    <col min="10504" max="10504" width="15.85546875" style="648" customWidth="1"/>
    <col min="10505" max="10505" width="18.85546875" style="648" customWidth="1"/>
    <col min="10506" max="10506" width="15.85546875" style="648" customWidth="1"/>
    <col min="10507" max="10507" width="15.7109375" style="648" customWidth="1"/>
    <col min="10508" max="10508" width="16.140625" style="648" customWidth="1"/>
    <col min="10509" max="10509" width="14.42578125" style="648" customWidth="1"/>
    <col min="10510" max="10510" width="12.7109375" style="648" customWidth="1"/>
    <col min="10511" max="10511" width="14.5703125" style="648" customWidth="1"/>
    <col min="10512" max="10512" width="19" style="648" customWidth="1"/>
    <col min="10513" max="10513" width="19.140625" style="648" customWidth="1"/>
    <col min="10514" max="10514" width="18.5703125" style="648" customWidth="1"/>
    <col min="10515" max="10515" width="17" style="648" customWidth="1"/>
    <col min="10516" max="10516" width="16.5703125" style="648" customWidth="1"/>
    <col min="10517" max="10517" width="15.85546875" style="648" customWidth="1"/>
    <col min="10518" max="10518" width="18.28515625" style="648" customWidth="1"/>
    <col min="10519" max="10519" width="17" style="648" customWidth="1"/>
    <col min="10520" max="10520" width="20" style="648" customWidth="1"/>
    <col min="10521" max="10521" width="32.85546875" style="648" customWidth="1"/>
    <col min="10522" max="10752" width="9" style="648"/>
    <col min="10753" max="10753" width="5.42578125" style="648" customWidth="1"/>
    <col min="10754" max="10754" width="47.42578125" style="648" customWidth="1"/>
    <col min="10755" max="10755" width="8.140625" style="648" customWidth="1"/>
    <col min="10756" max="10756" width="11.28515625" style="648" customWidth="1"/>
    <col min="10757" max="10757" width="19.28515625" style="648" customWidth="1"/>
    <col min="10758" max="10758" width="20.28515625" style="648" customWidth="1"/>
    <col min="10759" max="10759" width="17" style="648" customWidth="1"/>
    <col min="10760" max="10760" width="15.85546875" style="648" customWidth="1"/>
    <col min="10761" max="10761" width="18.85546875" style="648" customWidth="1"/>
    <col min="10762" max="10762" width="15.85546875" style="648" customWidth="1"/>
    <col min="10763" max="10763" width="15.7109375" style="648" customWidth="1"/>
    <col min="10764" max="10764" width="16.140625" style="648" customWidth="1"/>
    <col min="10765" max="10765" width="14.42578125" style="648" customWidth="1"/>
    <col min="10766" max="10766" width="12.7109375" style="648" customWidth="1"/>
    <col min="10767" max="10767" width="14.5703125" style="648" customWidth="1"/>
    <col min="10768" max="10768" width="19" style="648" customWidth="1"/>
    <col min="10769" max="10769" width="19.140625" style="648" customWidth="1"/>
    <col min="10770" max="10770" width="18.5703125" style="648" customWidth="1"/>
    <col min="10771" max="10771" width="17" style="648" customWidth="1"/>
    <col min="10772" max="10772" width="16.5703125" style="648" customWidth="1"/>
    <col min="10773" max="10773" width="15.85546875" style="648" customWidth="1"/>
    <col min="10774" max="10774" width="18.28515625" style="648" customWidth="1"/>
    <col min="10775" max="10775" width="17" style="648" customWidth="1"/>
    <col min="10776" max="10776" width="20" style="648" customWidth="1"/>
    <col min="10777" max="10777" width="32.85546875" style="648" customWidth="1"/>
    <col min="10778" max="11008" width="9" style="648"/>
    <col min="11009" max="11009" width="5.42578125" style="648" customWidth="1"/>
    <col min="11010" max="11010" width="47.42578125" style="648" customWidth="1"/>
    <col min="11011" max="11011" width="8.140625" style="648" customWidth="1"/>
    <col min="11012" max="11012" width="11.28515625" style="648" customWidth="1"/>
    <col min="11013" max="11013" width="19.28515625" style="648" customWidth="1"/>
    <col min="11014" max="11014" width="20.28515625" style="648" customWidth="1"/>
    <col min="11015" max="11015" width="17" style="648" customWidth="1"/>
    <col min="11016" max="11016" width="15.85546875" style="648" customWidth="1"/>
    <col min="11017" max="11017" width="18.85546875" style="648" customWidth="1"/>
    <col min="11018" max="11018" width="15.85546875" style="648" customWidth="1"/>
    <col min="11019" max="11019" width="15.7109375" style="648" customWidth="1"/>
    <col min="11020" max="11020" width="16.140625" style="648" customWidth="1"/>
    <col min="11021" max="11021" width="14.42578125" style="648" customWidth="1"/>
    <col min="11022" max="11022" width="12.7109375" style="648" customWidth="1"/>
    <col min="11023" max="11023" width="14.5703125" style="648" customWidth="1"/>
    <col min="11024" max="11024" width="19" style="648" customWidth="1"/>
    <col min="11025" max="11025" width="19.140625" style="648" customWidth="1"/>
    <col min="11026" max="11026" width="18.5703125" style="648" customWidth="1"/>
    <col min="11027" max="11027" width="17" style="648" customWidth="1"/>
    <col min="11028" max="11028" width="16.5703125" style="648" customWidth="1"/>
    <col min="11029" max="11029" width="15.85546875" style="648" customWidth="1"/>
    <col min="11030" max="11030" width="18.28515625" style="648" customWidth="1"/>
    <col min="11031" max="11031" width="17" style="648" customWidth="1"/>
    <col min="11032" max="11032" width="20" style="648" customWidth="1"/>
    <col min="11033" max="11033" width="32.85546875" style="648" customWidth="1"/>
    <col min="11034" max="11264" width="9" style="648"/>
    <col min="11265" max="11265" width="5.42578125" style="648" customWidth="1"/>
    <col min="11266" max="11266" width="47.42578125" style="648" customWidth="1"/>
    <col min="11267" max="11267" width="8.140625" style="648" customWidth="1"/>
    <col min="11268" max="11268" width="11.28515625" style="648" customWidth="1"/>
    <col min="11269" max="11269" width="19.28515625" style="648" customWidth="1"/>
    <col min="11270" max="11270" width="20.28515625" style="648" customWidth="1"/>
    <col min="11271" max="11271" width="17" style="648" customWidth="1"/>
    <col min="11272" max="11272" width="15.85546875" style="648" customWidth="1"/>
    <col min="11273" max="11273" width="18.85546875" style="648" customWidth="1"/>
    <col min="11274" max="11274" width="15.85546875" style="648" customWidth="1"/>
    <col min="11275" max="11275" width="15.7109375" style="648" customWidth="1"/>
    <col min="11276" max="11276" width="16.140625" style="648" customWidth="1"/>
    <col min="11277" max="11277" width="14.42578125" style="648" customWidth="1"/>
    <col min="11278" max="11278" width="12.7109375" style="648" customWidth="1"/>
    <col min="11279" max="11279" width="14.5703125" style="648" customWidth="1"/>
    <col min="11280" max="11280" width="19" style="648" customWidth="1"/>
    <col min="11281" max="11281" width="19.140625" style="648" customWidth="1"/>
    <col min="11282" max="11282" width="18.5703125" style="648" customWidth="1"/>
    <col min="11283" max="11283" width="17" style="648" customWidth="1"/>
    <col min="11284" max="11284" width="16.5703125" style="648" customWidth="1"/>
    <col min="11285" max="11285" width="15.85546875" style="648" customWidth="1"/>
    <col min="11286" max="11286" width="18.28515625" style="648" customWidth="1"/>
    <col min="11287" max="11287" width="17" style="648" customWidth="1"/>
    <col min="11288" max="11288" width="20" style="648" customWidth="1"/>
    <col min="11289" max="11289" width="32.85546875" style="648" customWidth="1"/>
    <col min="11290" max="11520" width="9" style="648"/>
    <col min="11521" max="11521" width="5.42578125" style="648" customWidth="1"/>
    <col min="11522" max="11522" width="47.42578125" style="648" customWidth="1"/>
    <col min="11523" max="11523" width="8.140625" style="648" customWidth="1"/>
    <col min="11524" max="11524" width="11.28515625" style="648" customWidth="1"/>
    <col min="11525" max="11525" width="19.28515625" style="648" customWidth="1"/>
    <col min="11526" max="11526" width="20.28515625" style="648" customWidth="1"/>
    <col min="11527" max="11527" width="17" style="648" customWidth="1"/>
    <col min="11528" max="11528" width="15.85546875" style="648" customWidth="1"/>
    <col min="11529" max="11529" width="18.85546875" style="648" customWidth="1"/>
    <col min="11530" max="11530" width="15.85546875" style="648" customWidth="1"/>
    <col min="11531" max="11531" width="15.7109375" style="648" customWidth="1"/>
    <col min="11532" max="11532" width="16.140625" style="648" customWidth="1"/>
    <col min="11533" max="11533" width="14.42578125" style="648" customWidth="1"/>
    <col min="11534" max="11534" width="12.7109375" style="648" customWidth="1"/>
    <col min="11535" max="11535" width="14.5703125" style="648" customWidth="1"/>
    <col min="11536" max="11536" width="19" style="648" customWidth="1"/>
    <col min="11537" max="11537" width="19.140625" style="648" customWidth="1"/>
    <col min="11538" max="11538" width="18.5703125" style="648" customWidth="1"/>
    <col min="11539" max="11539" width="17" style="648" customWidth="1"/>
    <col min="11540" max="11540" width="16.5703125" style="648" customWidth="1"/>
    <col min="11541" max="11541" width="15.85546875" style="648" customWidth="1"/>
    <col min="11542" max="11542" width="18.28515625" style="648" customWidth="1"/>
    <col min="11543" max="11543" width="17" style="648" customWidth="1"/>
    <col min="11544" max="11544" width="20" style="648" customWidth="1"/>
    <col min="11545" max="11545" width="32.85546875" style="648" customWidth="1"/>
    <col min="11546" max="11776" width="9" style="648"/>
    <col min="11777" max="11777" width="5.42578125" style="648" customWidth="1"/>
    <col min="11778" max="11778" width="47.42578125" style="648" customWidth="1"/>
    <col min="11779" max="11779" width="8.140625" style="648" customWidth="1"/>
    <col min="11780" max="11780" width="11.28515625" style="648" customWidth="1"/>
    <col min="11781" max="11781" width="19.28515625" style="648" customWidth="1"/>
    <col min="11782" max="11782" width="20.28515625" style="648" customWidth="1"/>
    <col min="11783" max="11783" width="17" style="648" customWidth="1"/>
    <col min="11784" max="11784" width="15.85546875" style="648" customWidth="1"/>
    <col min="11785" max="11785" width="18.85546875" style="648" customWidth="1"/>
    <col min="11786" max="11786" width="15.85546875" style="648" customWidth="1"/>
    <col min="11787" max="11787" width="15.7109375" style="648" customWidth="1"/>
    <col min="11788" max="11788" width="16.140625" style="648" customWidth="1"/>
    <col min="11789" max="11789" width="14.42578125" style="648" customWidth="1"/>
    <col min="11790" max="11790" width="12.7109375" style="648" customWidth="1"/>
    <col min="11791" max="11791" width="14.5703125" style="648" customWidth="1"/>
    <col min="11792" max="11792" width="19" style="648" customWidth="1"/>
    <col min="11793" max="11793" width="19.140625" style="648" customWidth="1"/>
    <col min="11794" max="11794" width="18.5703125" style="648" customWidth="1"/>
    <col min="11795" max="11795" width="17" style="648" customWidth="1"/>
    <col min="11796" max="11796" width="16.5703125" style="648" customWidth="1"/>
    <col min="11797" max="11797" width="15.85546875" style="648" customWidth="1"/>
    <col min="11798" max="11798" width="18.28515625" style="648" customWidth="1"/>
    <col min="11799" max="11799" width="17" style="648" customWidth="1"/>
    <col min="11800" max="11800" width="20" style="648" customWidth="1"/>
    <col min="11801" max="11801" width="32.85546875" style="648" customWidth="1"/>
    <col min="11802" max="12032" width="9" style="648"/>
    <col min="12033" max="12033" width="5.42578125" style="648" customWidth="1"/>
    <col min="12034" max="12034" width="47.42578125" style="648" customWidth="1"/>
    <col min="12035" max="12035" width="8.140625" style="648" customWidth="1"/>
    <col min="12036" max="12036" width="11.28515625" style="648" customWidth="1"/>
    <col min="12037" max="12037" width="19.28515625" style="648" customWidth="1"/>
    <col min="12038" max="12038" width="20.28515625" style="648" customWidth="1"/>
    <col min="12039" max="12039" width="17" style="648" customWidth="1"/>
    <col min="12040" max="12040" width="15.85546875" style="648" customWidth="1"/>
    <col min="12041" max="12041" width="18.85546875" style="648" customWidth="1"/>
    <col min="12042" max="12042" width="15.85546875" style="648" customWidth="1"/>
    <col min="12043" max="12043" width="15.7109375" style="648" customWidth="1"/>
    <col min="12044" max="12044" width="16.140625" style="648" customWidth="1"/>
    <col min="12045" max="12045" width="14.42578125" style="648" customWidth="1"/>
    <col min="12046" max="12046" width="12.7109375" style="648" customWidth="1"/>
    <col min="12047" max="12047" width="14.5703125" style="648" customWidth="1"/>
    <col min="12048" max="12048" width="19" style="648" customWidth="1"/>
    <col min="12049" max="12049" width="19.140625" style="648" customWidth="1"/>
    <col min="12050" max="12050" width="18.5703125" style="648" customWidth="1"/>
    <col min="12051" max="12051" width="17" style="648" customWidth="1"/>
    <col min="12052" max="12052" width="16.5703125" style="648" customWidth="1"/>
    <col min="12053" max="12053" width="15.85546875" style="648" customWidth="1"/>
    <col min="12054" max="12054" width="18.28515625" style="648" customWidth="1"/>
    <col min="12055" max="12055" width="17" style="648" customWidth="1"/>
    <col min="12056" max="12056" width="20" style="648" customWidth="1"/>
    <col min="12057" max="12057" width="32.85546875" style="648" customWidth="1"/>
    <col min="12058" max="12288" width="9" style="648"/>
    <col min="12289" max="12289" width="5.42578125" style="648" customWidth="1"/>
    <col min="12290" max="12290" width="47.42578125" style="648" customWidth="1"/>
    <col min="12291" max="12291" width="8.140625" style="648" customWidth="1"/>
    <col min="12292" max="12292" width="11.28515625" style="648" customWidth="1"/>
    <col min="12293" max="12293" width="19.28515625" style="648" customWidth="1"/>
    <col min="12294" max="12294" width="20.28515625" style="648" customWidth="1"/>
    <col min="12295" max="12295" width="17" style="648" customWidth="1"/>
    <col min="12296" max="12296" width="15.85546875" style="648" customWidth="1"/>
    <col min="12297" max="12297" width="18.85546875" style="648" customWidth="1"/>
    <col min="12298" max="12298" width="15.85546875" style="648" customWidth="1"/>
    <col min="12299" max="12299" width="15.7109375" style="648" customWidth="1"/>
    <col min="12300" max="12300" width="16.140625" style="648" customWidth="1"/>
    <col min="12301" max="12301" width="14.42578125" style="648" customWidth="1"/>
    <col min="12302" max="12302" width="12.7109375" style="648" customWidth="1"/>
    <col min="12303" max="12303" width="14.5703125" style="648" customWidth="1"/>
    <col min="12304" max="12304" width="19" style="648" customWidth="1"/>
    <col min="12305" max="12305" width="19.140625" style="648" customWidth="1"/>
    <col min="12306" max="12306" width="18.5703125" style="648" customWidth="1"/>
    <col min="12307" max="12307" width="17" style="648" customWidth="1"/>
    <col min="12308" max="12308" width="16.5703125" style="648" customWidth="1"/>
    <col min="12309" max="12309" width="15.85546875" style="648" customWidth="1"/>
    <col min="12310" max="12310" width="18.28515625" style="648" customWidth="1"/>
    <col min="12311" max="12311" width="17" style="648" customWidth="1"/>
    <col min="12312" max="12312" width="20" style="648" customWidth="1"/>
    <col min="12313" max="12313" width="32.85546875" style="648" customWidth="1"/>
    <col min="12314" max="12544" width="9" style="648"/>
    <col min="12545" max="12545" width="5.42578125" style="648" customWidth="1"/>
    <col min="12546" max="12546" width="47.42578125" style="648" customWidth="1"/>
    <col min="12547" max="12547" width="8.140625" style="648" customWidth="1"/>
    <col min="12548" max="12548" width="11.28515625" style="648" customWidth="1"/>
    <col min="12549" max="12549" width="19.28515625" style="648" customWidth="1"/>
    <col min="12550" max="12550" width="20.28515625" style="648" customWidth="1"/>
    <col min="12551" max="12551" width="17" style="648" customWidth="1"/>
    <col min="12552" max="12552" width="15.85546875" style="648" customWidth="1"/>
    <col min="12553" max="12553" width="18.85546875" style="648" customWidth="1"/>
    <col min="12554" max="12554" width="15.85546875" style="648" customWidth="1"/>
    <col min="12555" max="12555" width="15.7109375" style="648" customWidth="1"/>
    <col min="12556" max="12556" width="16.140625" style="648" customWidth="1"/>
    <col min="12557" max="12557" width="14.42578125" style="648" customWidth="1"/>
    <col min="12558" max="12558" width="12.7109375" style="648" customWidth="1"/>
    <col min="12559" max="12559" width="14.5703125" style="648" customWidth="1"/>
    <col min="12560" max="12560" width="19" style="648" customWidth="1"/>
    <col min="12561" max="12561" width="19.140625" style="648" customWidth="1"/>
    <col min="12562" max="12562" width="18.5703125" style="648" customWidth="1"/>
    <col min="12563" max="12563" width="17" style="648" customWidth="1"/>
    <col min="12564" max="12564" width="16.5703125" style="648" customWidth="1"/>
    <col min="12565" max="12565" width="15.85546875" style="648" customWidth="1"/>
    <col min="12566" max="12566" width="18.28515625" style="648" customWidth="1"/>
    <col min="12567" max="12567" width="17" style="648" customWidth="1"/>
    <col min="12568" max="12568" width="20" style="648" customWidth="1"/>
    <col min="12569" max="12569" width="32.85546875" style="648" customWidth="1"/>
    <col min="12570" max="12800" width="9" style="648"/>
    <col min="12801" max="12801" width="5.42578125" style="648" customWidth="1"/>
    <col min="12802" max="12802" width="47.42578125" style="648" customWidth="1"/>
    <col min="12803" max="12803" width="8.140625" style="648" customWidth="1"/>
    <col min="12804" max="12804" width="11.28515625" style="648" customWidth="1"/>
    <col min="12805" max="12805" width="19.28515625" style="648" customWidth="1"/>
    <col min="12806" max="12806" width="20.28515625" style="648" customWidth="1"/>
    <col min="12807" max="12807" width="17" style="648" customWidth="1"/>
    <col min="12808" max="12808" width="15.85546875" style="648" customWidth="1"/>
    <col min="12809" max="12809" width="18.85546875" style="648" customWidth="1"/>
    <col min="12810" max="12810" width="15.85546875" style="648" customWidth="1"/>
    <col min="12811" max="12811" width="15.7109375" style="648" customWidth="1"/>
    <col min="12812" max="12812" width="16.140625" style="648" customWidth="1"/>
    <col min="12813" max="12813" width="14.42578125" style="648" customWidth="1"/>
    <col min="12814" max="12814" width="12.7109375" style="648" customWidth="1"/>
    <col min="12815" max="12815" width="14.5703125" style="648" customWidth="1"/>
    <col min="12816" max="12816" width="19" style="648" customWidth="1"/>
    <col min="12817" max="12817" width="19.140625" style="648" customWidth="1"/>
    <col min="12818" max="12818" width="18.5703125" style="648" customWidth="1"/>
    <col min="12819" max="12819" width="17" style="648" customWidth="1"/>
    <col min="12820" max="12820" width="16.5703125" style="648" customWidth="1"/>
    <col min="12821" max="12821" width="15.85546875" style="648" customWidth="1"/>
    <col min="12822" max="12822" width="18.28515625" style="648" customWidth="1"/>
    <col min="12823" max="12823" width="17" style="648" customWidth="1"/>
    <col min="12824" max="12824" width="20" style="648" customWidth="1"/>
    <col min="12825" max="12825" width="32.85546875" style="648" customWidth="1"/>
    <col min="12826" max="13056" width="9" style="648"/>
    <col min="13057" max="13057" width="5.42578125" style="648" customWidth="1"/>
    <col min="13058" max="13058" width="47.42578125" style="648" customWidth="1"/>
    <col min="13059" max="13059" width="8.140625" style="648" customWidth="1"/>
    <col min="13060" max="13060" width="11.28515625" style="648" customWidth="1"/>
    <col min="13061" max="13061" width="19.28515625" style="648" customWidth="1"/>
    <col min="13062" max="13062" width="20.28515625" style="648" customWidth="1"/>
    <col min="13063" max="13063" width="17" style="648" customWidth="1"/>
    <col min="13064" max="13064" width="15.85546875" style="648" customWidth="1"/>
    <col min="13065" max="13065" width="18.85546875" style="648" customWidth="1"/>
    <col min="13066" max="13066" width="15.85546875" style="648" customWidth="1"/>
    <col min="13067" max="13067" width="15.7109375" style="648" customWidth="1"/>
    <col min="13068" max="13068" width="16.140625" style="648" customWidth="1"/>
    <col min="13069" max="13069" width="14.42578125" style="648" customWidth="1"/>
    <col min="13070" max="13070" width="12.7109375" style="648" customWidth="1"/>
    <col min="13071" max="13071" width="14.5703125" style="648" customWidth="1"/>
    <col min="13072" max="13072" width="19" style="648" customWidth="1"/>
    <col min="13073" max="13073" width="19.140625" style="648" customWidth="1"/>
    <col min="13074" max="13074" width="18.5703125" style="648" customWidth="1"/>
    <col min="13075" max="13075" width="17" style="648" customWidth="1"/>
    <col min="13076" max="13076" width="16.5703125" style="648" customWidth="1"/>
    <col min="13077" max="13077" width="15.85546875" style="648" customWidth="1"/>
    <col min="13078" max="13078" width="18.28515625" style="648" customWidth="1"/>
    <col min="13079" max="13079" width="17" style="648" customWidth="1"/>
    <col min="13080" max="13080" width="20" style="648" customWidth="1"/>
    <col min="13081" max="13081" width="32.85546875" style="648" customWidth="1"/>
    <col min="13082" max="13312" width="9" style="648"/>
    <col min="13313" max="13313" width="5.42578125" style="648" customWidth="1"/>
    <col min="13314" max="13314" width="47.42578125" style="648" customWidth="1"/>
    <col min="13315" max="13315" width="8.140625" style="648" customWidth="1"/>
    <col min="13316" max="13316" width="11.28515625" style="648" customWidth="1"/>
    <col min="13317" max="13317" width="19.28515625" style="648" customWidth="1"/>
    <col min="13318" max="13318" width="20.28515625" style="648" customWidth="1"/>
    <col min="13319" max="13319" width="17" style="648" customWidth="1"/>
    <col min="13320" max="13320" width="15.85546875" style="648" customWidth="1"/>
    <col min="13321" max="13321" width="18.85546875" style="648" customWidth="1"/>
    <col min="13322" max="13322" width="15.85546875" style="648" customWidth="1"/>
    <col min="13323" max="13323" width="15.7109375" style="648" customWidth="1"/>
    <col min="13324" max="13324" width="16.140625" style="648" customWidth="1"/>
    <col min="13325" max="13325" width="14.42578125" style="648" customWidth="1"/>
    <col min="13326" max="13326" width="12.7109375" style="648" customWidth="1"/>
    <col min="13327" max="13327" width="14.5703125" style="648" customWidth="1"/>
    <col min="13328" max="13328" width="19" style="648" customWidth="1"/>
    <col min="13329" max="13329" width="19.140625" style="648" customWidth="1"/>
    <col min="13330" max="13330" width="18.5703125" style="648" customWidth="1"/>
    <col min="13331" max="13331" width="17" style="648" customWidth="1"/>
    <col min="13332" max="13332" width="16.5703125" style="648" customWidth="1"/>
    <col min="13333" max="13333" width="15.85546875" style="648" customWidth="1"/>
    <col min="13334" max="13334" width="18.28515625" style="648" customWidth="1"/>
    <col min="13335" max="13335" width="17" style="648" customWidth="1"/>
    <col min="13336" max="13336" width="20" style="648" customWidth="1"/>
    <col min="13337" max="13337" width="32.85546875" style="648" customWidth="1"/>
    <col min="13338" max="13568" width="9" style="648"/>
    <col min="13569" max="13569" width="5.42578125" style="648" customWidth="1"/>
    <col min="13570" max="13570" width="47.42578125" style="648" customWidth="1"/>
    <col min="13571" max="13571" width="8.140625" style="648" customWidth="1"/>
    <col min="13572" max="13572" width="11.28515625" style="648" customWidth="1"/>
    <col min="13573" max="13573" width="19.28515625" style="648" customWidth="1"/>
    <col min="13574" max="13574" width="20.28515625" style="648" customWidth="1"/>
    <col min="13575" max="13575" width="17" style="648" customWidth="1"/>
    <col min="13576" max="13576" width="15.85546875" style="648" customWidth="1"/>
    <col min="13577" max="13577" width="18.85546875" style="648" customWidth="1"/>
    <col min="13578" max="13578" width="15.85546875" style="648" customWidth="1"/>
    <col min="13579" max="13579" width="15.7109375" style="648" customWidth="1"/>
    <col min="13580" max="13580" width="16.140625" style="648" customWidth="1"/>
    <col min="13581" max="13581" width="14.42578125" style="648" customWidth="1"/>
    <col min="13582" max="13582" width="12.7109375" style="648" customWidth="1"/>
    <col min="13583" max="13583" width="14.5703125" style="648" customWidth="1"/>
    <col min="13584" max="13584" width="19" style="648" customWidth="1"/>
    <col min="13585" max="13585" width="19.140625" style="648" customWidth="1"/>
    <col min="13586" max="13586" width="18.5703125" style="648" customWidth="1"/>
    <col min="13587" max="13587" width="17" style="648" customWidth="1"/>
    <col min="13588" max="13588" width="16.5703125" style="648" customWidth="1"/>
    <col min="13589" max="13589" width="15.85546875" style="648" customWidth="1"/>
    <col min="13590" max="13590" width="18.28515625" style="648" customWidth="1"/>
    <col min="13591" max="13591" width="17" style="648" customWidth="1"/>
    <col min="13592" max="13592" width="20" style="648" customWidth="1"/>
    <col min="13593" max="13593" width="32.85546875" style="648" customWidth="1"/>
    <col min="13594" max="13824" width="9" style="648"/>
    <col min="13825" max="13825" width="5.42578125" style="648" customWidth="1"/>
    <col min="13826" max="13826" width="47.42578125" style="648" customWidth="1"/>
    <col min="13827" max="13827" width="8.140625" style="648" customWidth="1"/>
    <col min="13828" max="13828" width="11.28515625" style="648" customWidth="1"/>
    <col min="13829" max="13829" width="19.28515625" style="648" customWidth="1"/>
    <col min="13830" max="13830" width="20.28515625" style="648" customWidth="1"/>
    <col min="13831" max="13831" width="17" style="648" customWidth="1"/>
    <col min="13832" max="13832" width="15.85546875" style="648" customWidth="1"/>
    <col min="13833" max="13833" width="18.85546875" style="648" customWidth="1"/>
    <col min="13834" max="13834" width="15.85546875" style="648" customWidth="1"/>
    <col min="13835" max="13835" width="15.7109375" style="648" customWidth="1"/>
    <col min="13836" max="13836" width="16.140625" style="648" customWidth="1"/>
    <col min="13837" max="13837" width="14.42578125" style="648" customWidth="1"/>
    <col min="13838" max="13838" width="12.7109375" style="648" customWidth="1"/>
    <col min="13839" max="13839" width="14.5703125" style="648" customWidth="1"/>
    <col min="13840" max="13840" width="19" style="648" customWidth="1"/>
    <col min="13841" max="13841" width="19.140625" style="648" customWidth="1"/>
    <col min="13842" max="13842" width="18.5703125" style="648" customWidth="1"/>
    <col min="13843" max="13843" width="17" style="648" customWidth="1"/>
    <col min="13844" max="13844" width="16.5703125" style="648" customWidth="1"/>
    <col min="13845" max="13845" width="15.85546875" style="648" customWidth="1"/>
    <col min="13846" max="13846" width="18.28515625" style="648" customWidth="1"/>
    <col min="13847" max="13847" width="17" style="648" customWidth="1"/>
    <col min="13848" max="13848" width="20" style="648" customWidth="1"/>
    <col min="13849" max="13849" width="32.85546875" style="648" customWidth="1"/>
    <col min="13850" max="14080" width="9" style="648"/>
    <col min="14081" max="14081" width="5.42578125" style="648" customWidth="1"/>
    <col min="14082" max="14082" width="47.42578125" style="648" customWidth="1"/>
    <col min="14083" max="14083" width="8.140625" style="648" customWidth="1"/>
    <col min="14084" max="14084" width="11.28515625" style="648" customWidth="1"/>
    <col min="14085" max="14085" width="19.28515625" style="648" customWidth="1"/>
    <col min="14086" max="14086" width="20.28515625" style="648" customWidth="1"/>
    <col min="14087" max="14087" width="17" style="648" customWidth="1"/>
    <col min="14088" max="14088" width="15.85546875" style="648" customWidth="1"/>
    <col min="14089" max="14089" width="18.85546875" style="648" customWidth="1"/>
    <col min="14090" max="14090" width="15.85546875" style="648" customWidth="1"/>
    <col min="14091" max="14091" width="15.7109375" style="648" customWidth="1"/>
    <col min="14092" max="14092" width="16.140625" style="648" customWidth="1"/>
    <col min="14093" max="14093" width="14.42578125" style="648" customWidth="1"/>
    <col min="14094" max="14094" width="12.7109375" style="648" customWidth="1"/>
    <col min="14095" max="14095" width="14.5703125" style="648" customWidth="1"/>
    <col min="14096" max="14096" width="19" style="648" customWidth="1"/>
    <col min="14097" max="14097" width="19.140625" style="648" customWidth="1"/>
    <col min="14098" max="14098" width="18.5703125" style="648" customWidth="1"/>
    <col min="14099" max="14099" width="17" style="648" customWidth="1"/>
    <col min="14100" max="14100" width="16.5703125" style="648" customWidth="1"/>
    <col min="14101" max="14101" width="15.85546875" style="648" customWidth="1"/>
    <col min="14102" max="14102" width="18.28515625" style="648" customWidth="1"/>
    <col min="14103" max="14103" width="17" style="648" customWidth="1"/>
    <col min="14104" max="14104" width="20" style="648" customWidth="1"/>
    <col min="14105" max="14105" width="32.85546875" style="648" customWidth="1"/>
    <col min="14106" max="14336" width="9" style="648"/>
    <col min="14337" max="14337" width="5.42578125" style="648" customWidth="1"/>
    <col min="14338" max="14338" width="47.42578125" style="648" customWidth="1"/>
    <col min="14339" max="14339" width="8.140625" style="648" customWidth="1"/>
    <col min="14340" max="14340" width="11.28515625" style="648" customWidth="1"/>
    <col min="14341" max="14341" width="19.28515625" style="648" customWidth="1"/>
    <col min="14342" max="14342" width="20.28515625" style="648" customWidth="1"/>
    <col min="14343" max="14343" width="17" style="648" customWidth="1"/>
    <col min="14344" max="14344" width="15.85546875" style="648" customWidth="1"/>
    <col min="14345" max="14345" width="18.85546875" style="648" customWidth="1"/>
    <col min="14346" max="14346" width="15.85546875" style="648" customWidth="1"/>
    <col min="14347" max="14347" width="15.7109375" style="648" customWidth="1"/>
    <col min="14348" max="14348" width="16.140625" style="648" customWidth="1"/>
    <col min="14349" max="14349" width="14.42578125" style="648" customWidth="1"/>
    <col min="14350" max="14350" width="12.7109375" style="648" customWidth="1"/>
    <col min="14351" max="14351" width="14.5703125" style="648" customWidth="1"/>
    <col min="14352" max="14352" width="19" style="648" customWidth="1"/>
    <col min="14353" max="14353" width="19.140625" style="648" customWidth="1"/>
    <col min="14354" max="14354" width="18.5703125" style="648" customWidth="1"/>
    <col min="14355" max="14355" width="17" style="648" customWidth="1"/>
    <col min="14356" max="14356" width="16.5703125" style="648" customWidth="1"/>
    <col min="14357" max="14357" width="15.85546875" style="648" customWidth="1"/>
    <col min="14358" max="14358" width="18.28515625" style="648" customWidth="1"/>
    <col min="14359" max="14359" width="17" style="648" customWidth="1"/>
    <col min="14360" max="14360" width="20" style="648" customWidth="1"/>
    <col min="14361" max="14361" width="32.85546875" style="648" customWidth="1"/>
    <col min="14362" max="14592" width="9" style="648"/>
    <col min="14593" max="14593" width="5.42578125" style="648" customWidth="1"/>
    <col min="14594" max="14594" width="47.42578125" style="648" customWidth="1"/>
    <col min="14595" max="14595" width="8.140625" style="648" customWidth="1"/>
    <col min="14596" max="14596" width="11.28515625" style="648" customWidth="1"/>
    <col min="14597" max="14597" width="19.28515625" style="648" customWidth="1"/>
    <col min="14598" max="14598" width="20.28515625" style="648" customWidth="1"/>
    <col min="14599" max="14599" width="17" style="648" customWidth="1"/>
    <col min="14600" max="14600" width="15.85546875" style="648" customWidth="1"/>
    <col min="14601" max="14601" width="18.85546875" style="648" customWidth="1"/>
    <col min="14602" max="14602" width="15.85546875" style="648" customWidth="1"/>
    <col min="14603" max="14603" width="15.7109375" style="648" customWidth="1"/>
    <col min="14604" max="14604" width="16.140625" style="648" customWidth="1"/>
    <col min="14605" max="14605" width="14.42578125" style="648" customWidth="1"/>
    <col min="14606" max="14606" width="12.7109375" style="648" customWidth="1"/>
    <col min="14607" max="14607" width="14.5703125" style="648" customWidth="1"/>
    <col min="14608" max="14608" width="19" style="648" customWidth="1"/>
    <col min="14609" max="14609" width="19.140625" style="648" customWidth="1"/>
    <col min="14610" max="14610" width="18.5703125" style="648" customWidth="1"/>
    <col min="14611" max="14611" width="17" style="648" customWidth="1"/>
    <col min="14612" max="14612" width="16.5703125" style="648" customWidth="1"/>
    <col min="14613" max="14613" width="15.85546875" style="648" customWidth="1"/>
    <col min="14614" max="14614" width="18.28515625" style="648" customWidth="1"/>
    <col min="14615" max="14615" width="17" style="648" customWidth="1"/>
    <col min="14616" max="14616" width="20" style="648" customWidth="1"/>
    <col min="14617" max="14617" width="32.85546875" style="648" customWidth="1"/>
    <col min="14618" max="14848" width="9" style="648"/>
    <col min="14849" max="14849" width="5.42578125" style="648" customWidth="1"/>
    <col min="14850" max="14850" width="47.42578125" style="648" customWidth="1"/>
    <col min="14851" max="14851" width="8.140625" style="648" customWidth="1"/>
    <col min="14852" max="14852" width="11.28515625" style="648" customWidth="1"/>
    <col min="14853" max="14853" width="19.28515625" style="648" customWidth="1"/>
    <col min="14854" max="14854" width="20.28515625" style="648" customWidth="1"/>
    <col min="14855" max="14855" width="17" style="648" customWidth="1"/>
    <col min="14856" max="14856" width="15.85546875" style="648" customWidth="1"/>
    <col min="14857" max="14857" width="18.85546875" style="648" customWidth="1"/>
    <col min="14858" max="14858" width="15.85546875" style="648" customWidth="1"/>
    <col min="14859" max="14859" width="15.7109375" style="648" customWidth="1"/>
    <col min="14860" max="14860" width="16.140625" style="648" customWidth="1"/>
    <col min="14861" max="14861" width="14.42578125" style="648" customWidth="1"/>
    <col min="14862" max="14862" width="12.7109375" style="648" customWidth="1"/>
    <col min="14863" max="14863" width="14.5703125" style="648" customWidth="1"/>
    <col min="14864" max="14864" width="19" style="648" customWidth="1"/>
    <col min="14865" max="14865" width="19.140625" style="648" customWidth="1"/>
    <col min="14866" max="14866" width="18.5703125" style="648" customWidth="1"/>
    <col min="14867" max="14867" width="17" style="648" customWidth="1"/>
    <col min="14868" max="14868" width="16.5703125" style="648" customWidth="1"/>
    <col min="14869" max="14869" width="15.85546875" style="648" customWidth="1"/>
    <col min="14870" max="14870" width="18.28515625" style="648" customWidth="1"/>
    <col min="14871" max="14871" width="17" style="648" customWidth="1"/>
    <col min="14872" max="14872" width="20" style="648" customWidth="1"/>
    <col min="14873" max="14873" width="32.85546875" style="648" customWidth="1"/>
    <col min="14874" max="15104" width="9" style="648"/>
    <col min="15105" max="15105" width="5.42578125" style="648" customWidth="1"/>
    <col min="15106" max="15106" width="47.42578125" style="648" customWidth="1"/>
    <col min="15107" max="15107" width="8.140625" style="648" customWidth="1"/>
    <col min="15108" max="15108" width="11.28515625" style="648" customWidth="1"/>
    <col min="15109" max="15109" width="19.28515625" style="648" customWidth="1"/>
    <col min="15110" max="15110" width="20.28515625" style="648" customWidth="1"/>
    <col min="15111" max="15111" width="17" style="648" customWidth="1"/>
    <col min="15112" max="15112" width="15.85546875" style="648" customWidth="1"/>
    <col min="15113" max="15113" width="18.85546875" style="648" customWidth="1"/>
    <col min="15114" max="15114" width="15.85546875" style="648" customWidth="1"/>
    <col min="15115" max="15115" width="15.7109375" style="648" customWidth="1"/>
    <col min="15116" max="15116" width="16.140625" style="648" customWidth="1"/>
    <col min="15117" max="15117" width="14.42578125" style="648" customWidth="1"/>
    <col min="15118" max="15118" width="12.7109375" style="648" customWidth="1"/>
    <col min="15119" max="15119" width="14.5703125" style="648" customWidth="1"/>
    <col min="15120" max="15120" width="19" style="648" customWidth="1"/>
    <col min="15121" max="15121" width="19.140625" style="648" customWidth="1"/>
    <col min="15122" max="15122" width="18.5703125" style="648" customWidth="1"/>
    <col min="15123" max="15123" width="17" style="648" customWidth="1"/>
    <col min="15124" max="15124" width="16.5703125" style="648" customWidth="1"/>
    <col min="15125" max="15125" width="15.85546875" style="648" customWidth="1"/>
    <col min="15126" max="15126" width="18.28515625" style="648" customWidth="1"/>
    <col min="15127" max="15127" width="17" style="648" customWidth="1"/>
    <col min="15128" max="15128" width="20" style="648" customWidth="1"/>
    <col min="15129" max="15129" width="32.85546875" style="648" customWidth="1"/>
    <col min="15130" max="15360" width="9" style="648"/>
    <col min="15361" max="15361" width="5.42578125" style="648" customWidth="1"/>
    <col min="15362" max="15362" width="47.42578125" style="648" customWidth="1"/>
    <col min="15363" max="15363" width="8.140625" style="648" customWidth="1"/>
    <col min="15364" max="15364" width="11.28515625" style="648" customWidth="1"/>
    <col min="15365" max="15365" width="19.28515625" style="648" customWidth="1"/>
    <col min="15366" max="15366" width="20.28515625" style="648" customWidth="1"/>
    <col min="15367" max="15367" width="17" style="648" customWidth="1"/>
    <col min="15368" max="15368" width="15.85546875" style="648" customWidth="1"/>
    <col min="15369" max="15369" width="18.85546875" style="648" customWidth="1"/>
    <col min="15370" max="15370" width="15.85546875" style="648" customWidth="1"/>
    <col min="15371" max="15371" width="15.7109375" style="648" customWidth="1"/>
    <col min="15372" max="15372" width="16.140625" style="648" customWidth="1"/>
    <col min="15373" max="15373" width="14.42578125" style="648" customWidth="1"/>
    <col min="15374" max="15374" width="12.7109375" style="648" customWidth="1"/>
    <col min="15375" max="15375" width="14.5703125" style="648" customWidth="1"/>
    <col min="15376" max="15376" width="19" style="648" customWidth="1"/>
    <col min="15377" max="15377" width="19.140625" style="648" customWidth="1"/>
    <col min="15378" max="15378" width="18.5703125" style="648" customWidth="1"/>
    <col min="15379" max="15379" width="17" style="648" customWidth="1"/>
    <col min="15380" max="15380" width="16.5703125" style="648" customWidth="1"/>
    <col min="15381" max="15381" width="15.85546875" style="648" customWidth="1"/>
    <col min="15382" max="15382" width="18.28515625" style="648" customWidth="1"/>
    <col min="15383" max="15383" width="17" style="648" customWidth="1"/>
    <col min="15384" max="15384" width="20" style="648" customWidth="1"/>
    <col min="15385" max="15385" width="32.85546875" style="648" customWidth="1"/>
    <col min="15386" max="15616" width="9" style="648"/>
    <col min="15617" max="15617" width="5.42578125" style="648" customWidth="1"/>
    <col min="15618" max="15618" width="47.42578125" style="648" customWidth="1"/>
    <col min="15619" max="15619" width="8.140625" style="648" customWidth="1"/>
    <col min="15620" max="15620" width="11.28515625" style="648" customWidth="1"/>
    <col min="15621" max="15621" width="19.28515625" style="648" customWidth="1"/>
    <col min="15622" max="15622" width="20.28515625" style="648" customWidth="1"/>
    <col min="15623" max="15623" width="17" style="648" customWidth="1"/>
    <col min="15624" max="15624" width="15.85546875" style="648" customWidth="1"/>
    <col min="15625" max="15625" width="18.85546875" style="648" customWidth="1"/>
    <col min="15626" max="15626" width="15.85546875" style="648" customWidth="1"/>
    <col min="15627" max="15627" width="15.7109375" style="648" customWidth="1"/>
    <col min="15628" max="15628" width="16.140625" style="648" customWidth="1"/>
    <col min="15629" max="15629" width="14.42578125" style="648" customWidth="1"/>
    <col min="15630" max="15630" width="12.7109375" style="648" customWidth="1"/>
    <col min="15631" max="15631" width="14.5703125" style="648" customWidth="1"/>
    <col min="15632" max="15632" width="19" style="648" customWidth="1"/>
    <col min="15633" max="15633" width="19.140625" style="648" customWidth="1"/>
    <col min="15634" max="15634" width="18.5703125" style="648" customWidth="1"/>
    <col min="15635" max="15635" width="17" style="648" customWidth="1"/>
    <col min="15636" max="15636" width="16.5703125" style="648" customWidth="1"/>
    <col min="15637" max="15637" width="15.85546875" style="648" customWidth="1"/>
    <col min="15638" max="15638" width="18.28515625" style="648" customWidth="1"/>
    <col min="15639" max="15639" width="17" style="648" customWidth="1"/>
    <col min="15640" max="15640" width="20" style="648" customWidth="1"/>
    <col min="15641" max="15641" width="32.85546875" style="648" customWidth="1"/>
    <col min="15642" max="15872" width="9" style="648"/>
    <col min="15873" max="15873" width="5.42578125" style="648" customWidth="1"/>
    <col min="15874" max="15874" width="47.42578125" style="648" customWidth="1"/>
    <col min="15875" max="15875" width="8.140625" style="648" customWidth="1"/>
    <col min="15876" max="15876" width="11.28515625" style="648" customWidth="1"/>
    <col min="15877" max="15877" width="19.28515625" style="648" customWidth="1"/>
    <col min="15878" max="15878" width="20.28515625" style="648" customWidth="1"/>
    <col min="15879" max="15879" width="17" style="648" customWidth="1"/>
    <col min="15880" max="15880" width="15.85546875" style="648" customWidth="1"/>
    <col min="15881" max="15881" width="18.85546875" style="648" customWidth="1"/>
    <col min="15882" max="15882" width="15.85546875" style="648" customWidth="1"/>
    <col min="15883" max="15883" width="15.7109375" style="648" customWidth="1"/>
    <col min="15884" max="15884" width="16.140625" style="648" customWidth="1"/>
    <col min="15885" max="15885" width="14.42578125" style="648" customWidth="1"/>
    <col min="15886" max="15886" width="12.7109375" style="648" customWidth="1"/>
    <col min="15887" max="15887" width="14.5703125" style="648" customWidth="1"/>
    <col min="15888" max="15888" width="19" style="648" customWidth="1"/>
    <col min="15889" max="15889" width="19.140625" style="648" customWidth="1"/>
    <col min="15890" max="15890" width="18.5703125" style="648" customWidth="1"/>
    <col min="15891" max="15891" width="17" style="648" customWidth="1"/>
    <col min="15892" max="15892" width="16.5703125" style="648" customWidth="1"/>
    <col min="15893" max="15893" width="15.85546875" style="648" customWidth="1"/>
    <col min="15894" max="15894" width="18.28515625" style="648" customWidth="1"/>
    <col min="15895" max="15895" width="17" style="648" customWidth="1"/>
    <col min="15896" max="15896" width="20" style="648" customWidth="1"/>
    <col min="15897" max="15897" width="32.85546875" style="648" customWidth="1"/>
    <col min="15898" max="16128" width="9" style="648"/>
    <col min="16129" max="16129" width="5.42578125" style="648" customWidth="1"/>
    <col min="16130" max="16130" width="47.42578125" style="648" customWidth="1"/>
    <col min="16131" max="16131" width="8.140625" style="648" customWidth="1"/>
    <col min="16132" max="16132" width="11.28515625" style="648" customWidth="1"/>
    <col min="16133" max="16133" width="19.28515625" style="648" customWidth="1"/>
    <col min="16134" max="16134" width="20.28515625" style="648" customWidth="1"/>
    <col min="16135" max="16135" width="17" style="648" customWidth="1"/>
    <col min="16136" max="16136" width="15.85546875" style="648" customWidth="1"/>
    <col min="16137" max="16137" width="18.85546875" style="648" customWidth="1"/>
    <col min="16138" max="16138" width="15.85546875" style="648" customWidth="1"/>
    <col min="16139" max="16139" width="15.7109375" style="648" customWidth="1"/>
    <col min="16140" max="16140" width="16.140625" style="648" customWidth="1"/>
    <col min="16141" max="16141" width="14.42578125" style="648" customWidth="1"/>
    <col min="16142" max="16142" width="12.7109375" style="648" customWidth="1"/>
    <col min="16143" max="16143" width="14.5703125" style="648" customWidth="1"/>
    <col min="16144" max="16144" width="19" style="648" customWidth="1"/>
    <col min="16145" max="16145" width="19.140625" style="648" customWidth="1"/>
    <col min="16146" max="16146" width="18.5703125" style="648" customWidth="1"/>
    <col min="16147" max="16147" width="17" style="648" customWidth="1"/>
    <col min="16148" max="16148" width="16.5703125" style="648" customWidth="1"/>
    <col min="16149" max="16149" width="15.85546875" style="648" customWidth="1"/>
    <col min="16150" max="16150" width="18.28515625" style="648" customWidth="1"/>
    <col min="16151" max="16151" width="17" style="648" customWidth="1"/>
    <col min="16152" max="16152" width="20" style="648" customWidth="1"/>
    <col min="16153" max="16153" width="32.85546875" style="648" customWidth="1"/>
    <col min="16154" max="16384" width="9" style="648"/>
  </cols>
  <sheetData>
    <row r="1" spans="1:25" ht="19.5" customHeight="1">
      <c r="A1" s="1801" t="s">
        <v>95</v>
      </c>
      <c r="B1" s="1801"/>
      <c r="C1" s="904"/>
      <c r="V1" s="1808"/>
      <c r="W1" s="1808"/>
      <c r="X1" s="1808"/>
    </row>
    <row r="2" spans="1:25" ht="18" customHeight="1">
      <c r="A2" s="1802" t="s">
        <v>859</v>
      </c>
      <c r="B2" s="1802"/>
      <c r="C2" s="905"/>
      <c r="V2" s="649"/>
      <c r="W2" s="649"/>
      <c r="X2" s="649"/>
    </row>
    <row r="3" spans="1:25" s="650" customFormat="1" ht="42.75" customHeight="1">
      <c r="A3" s="1803" t="s">
        <v>2711</v>
      </c>
      <c r="B3" s="1804"/>
      <c r="C3" s="1804"/>
      <c r="D3" s="1804"/>
      <c r="E3" s="1804"/>
      <c r="F3" s="1804"/>
      <c r="G3" s="1804"/>
      <c r="H3" s="1804"/>
      <c r="I3" s="1804"/>
      <c r="J3" s="1804"/>
      <c r="K3" s="1804"/>
      <c r="L3" s="1804"/>
      <c r="M3" s="1804"/>
      <c r="N3" s="1804"/>
      <c r="O3" s="1804"/>
      <c r="P3" s="1805" t="s">
        <v>2713</v>
      </c>
      <c r="Q3" s="1806"/>
      <c r="R3" s="1806"/>
      <c r="S3" s="1806"/>
      <c r="T3" s="1806"/>
      <c r="U3" s="1806"/>
      <c r="V3" s="1806"/>
      <c r="W3" s="1806"/>
      <c r="X3" s="1806"/>
    </row>
    <row r="4" spans="1:25" ht="21.75" customHeight="1">
      <c r="A4" s="651"/>
      <c r="L4" s="1807" t="s">
        <v>2712</v>
      </c>
      <c r="M4" s="1807"/>
      <c r="N4" s="1807"/>
      <c r="O4" s="1807"/>
      <c r="T4" s="1809"/>
      <c r="U4" s="1809"/>
      <c r="V4" s="1810" t="s">
        <v>2712</v>
      </c>
      <c r="W4" s="1810"/>
      <c r="X4" s="1810"/>
    </row>
    <row r="5" spans="1:25" s="654" customFormat="1" ht="30.75" customHeight="1">
      <c r="A5" s="1795" t="s">
        <v>751</v>
      </c>
      <c r="B5" s="1795" t="s">
        <v>355</v>
      </c>
      <c r="C5" s="1782" t="s">
        <v>752</v>
      </c>
      <c r="D5" s="1798" t="s">
        <v>753</v>
      </c>
      <c r="E5" s="1782" t="s">
        <v>754</v>
      </c>
      <c r="F5" s="1793" t="s">
        <v>755</v>
      </c>
      <c r="G5" s="1794"/>
      <c r="H5" s="1782" t="s">
        <v>1381</v>
      </c>
      <c r="I5" s="1782" t="s">
        <v>1382</v>
      </c>
      <c r="J5" s="1811" t="s">
        <v>1383</v>
      </c>
      <c r="K5" s="1812"/>
      <c r="L5" s="1812"/>
      <c r="M5" s="1812"/>
      <c r="N5" s="1812"/>
      <c r="O5" s="1813"/>
      <c r="P5" s="1811" t="s">
        <v>1384</v>
      </c>
      <c r="Q5" s="1812"/>
      <c r="R5" s="1812"/>
      <c r="S5" s="1812"/>
      <c r="T5" s="1812"/>
      <c r="U5" s="1813"/>
      <c r="V5" s="1782" t="s">
        <v>1385</v>
      </c>
      <c r="W5" s="1782" t="s">
        <v>756</v>
      </c>
      <c r="X5" s="1782" t="s">
        <v>1386</v>
      </c>
    </row>
    <row r="6" spans="1:25" s="654" customFormat="1" ht="37.5" customHeight="1">
      <c r="A6" s="1796"/>
      <c r="B6" s="1796"/>
      <c r="C6" s="1783"/>
      <c r="D6" s="1799"/>
      <c r="E6" s="1783"/>
      <c r="F6" s="1785"/>
      <c r="G6" s="1787"/>
      <c r="H6" s="1783"/>
      <c r="I6" s="1783"/>
      <c r="J6" s="1783" t="s">
        <v>757</v>
      </c>
      <c r="K6" s="1785" t="s">
        <v>758</v>
      </c>
      <c r="L6" s="1786"/>
      <c r="M6" s="1787"/>
      <c r="N6" s="1783" t="s">
        <v>759</v>
      </c>
      <c r="O6" s="1783" t="s">
        <v>760</v>
      </c>
      <c r="P6" s="1783" t="s">
        <v>1387</v>
      </c>
      <c r="Q6" s="1785" t="s">
        <v>758</v>
      </c>
      <c r="R6" s="1786"/>
      <c r="S6" s="1787"/>
      <c r="T6" s="1782" t="s">
        <v>759</v>
      </c>
      <c r="U6" s="1783" t="s">
        <v>760</v>
      </c>
      <c r="V6" s="1783"/>
      <c r="W6" s="1783"/>
      <c r="X6" s="1783"/>
    </row>
    <row r="7" spans="1:25" s="654" customFormat="1" ht="83.25" customHeight="1">
      <c r="A7" s="1797"/>
      <c r="B7" s="1797"/>
      <c r="C7" s="1784"/>
      <c r="D7" s="1800"/>
      <c r="E7" s="1784"/>
      <c r="F7" s="902" t="s">
        <v>240</v>
      </c>
      <c r="G7" s="902" t="s">
        <v>761</v>
      </c>
      <c r="H7" s="1784"/>
      <c r="I7" s="1784"/>
      <c r="J7" s="1784"/>
      <c r="K7" s="902" t="s">
        <v>240</v>
      </c>
      <c r="L7" s="902" t="s">
        <v>762</v>
      </c>
      <c r="M7" s="902" t="s">
        <v>763</v>
      </c>
      <c r="N7" s="1784"/>
      <c r="O7" s="1784"/>
      <c r="P7" s="1784"/>
      <c r="Q7" s="902" t="s">
        <v>240</v>
      </c>
      <c r="R7" s="902" t="s">
        <v>762</v>
      </c>
      <c r="S7" s="902" t="s">
        <v>763</v>
      </c>
      <c r="T7" s="1784"/>
      <c r="U7" s="1784"/>
      <c r="V7" s="1784"/>
      <c r="W7" s="1784"/>
      <c r="X7" s="1784"/>
    </row>
    <row r="8" spans="1:25" s="656" customFormat="1" ht="21.75" customHeight="1">
      <c r="A8" s="719">
        <v>1</v>
      </c>
      <c r="B8" s="719">
        <v>2</v>
      </c>
      <c r="C8" s="720">
        <v>3</v>
      </c>
      <c r="D8" s="721">
        <v>4</v>
      </c>
      <c r="E8" s="720">
        <v>5</v>
      </c>
      <c r="F8" s="720">
        <v>6</v>
      </c>
      <c r="G8" s="720">
        <v>7</v>
      </c>
      <c r="H8" s="720">
        <v>8</v>
      </c>
      <c r="I8" s="720">
        <v>9</v>
      </c>
      <c r="J8" s="720">
        <v>10</v>
      </c>
      <c r="K8" s="720" t="s">
        <v>764</v>
      </c>
      <c r="L8" s="720">
        <v>12</v>
      </c>
      <c r="M8" s="720">
        <v>13</v>
      </c>
      <c r="N8" s="720">
        <v>14</v>
      </c>
      <c r="O8" s="720" t="s">
        <v>765</v>
      </c>
      <c r="P8" s="720">
        <v>16</v>
      </c>
      <c r="Q8" s="720" t="s">
        <v>766</v>
      </c>
      <c r="R8" s="720">
        <v>18</v>
      </c>
      <c r="S8" s="720">
        <v>19</v>
      </c>
      <c r="T8" s="720">
        <v>20</v>
      </c>
      <c r="U8" s="720" t="s">
        <v>767</v>
      </c>
      <c r="V8" s="720" t="s">
        <v>768</v>
      </c>
      <c r="W8" s="720" t="s">
        <v>769</v>
      </c>
      <c r="X8" s="720" t="s">
        <v>770</v>
      </c>
      <c r="Y8" s="655">
        <v>4044431506783</v>
      </c>
    </row>
    <row r="9" spans="1:25">
      <c r="A9" s="722"/>
      <c r="B9" s="723" t="s">
        <v>1388</v>
      </c>
      <c r="C9" s="724"/>
      <c r="D9" s="725"/>
      <c r="E9" s="726"/>
      <c r="F9" s="726">
        <f t="shared" ref="F9:X9" si="0">F10+F769+F926</f>
        <v>1793198742080</v>
      </c>
      <c r="G9" s="726">
        <f t="shared" si="0"/>
        <v>485675985217</v>
      </c>
      <c r="H9" s="726">
        <f t="shared" si="0"/>
        <v>5196545070</v>
      </c>
      <c r="I9" s="726">
        <f t="shared" si="0"/>
        <v>306551119497</v>
      </c>
      <c r="J9" s="726">
        <f t="shared" si="0"/>
        <v>59930000000</v>
      </c>
      <c r="K9" s="726">
        <f t="shared" si="0"/>
        <v>59056707600</v>
      </c>
      <c r="L9" s="726">
        <f t="shared" si="0"/>
        <v>51183921903</v>
      </c>
      <c r="M9" s="726">
        <f t="shared" si="0"/>
        <v>7872785697</v>
      </c>
      <c r="N9" s="726">
        <f t="shared" si="0"/>
        <v>0</v>
      </c>
      <c r="O9" s="726">
        <f t="shared" si="0"/>
        <v>873292400</v>
      </c>
      <c r="P9" s="726">
        <f t="shared" si="0"/>
        <v>3024087000000</v>
      </c>
      <c r="Q9" s="726">
        <f t="shared" si="0"/>
        <v>2203272158238</v>
      </c>
      <c r="R9" s="726">
        <f t="shared" si="0"/>
        <v>1734445753625</v>
      </c>
      <c r="S9" s="726">
        <f t="shared" si="0"/>
        <v>468826404613</v>
      </c>
      <c r="T9" s="726">
        <f t="shared" si="0"/>
        <v>411587315204</v>
      </c>
      <c r="U9" s="726">
        <f t="shared" si="0"/>
        <v>92335973558</v>
      </c>
      <c r="V9" s="726">
        <f t="shared" si="0"/>
        <v>2092180795025</v>
      </c>
      <c r="W9" s="726">
        <f t="shared" si="0"/>
        <v>650627510960</v>
      </c>
      <c r="X9" s="726">
        <f t="shared" si="0"/>
        <v>4044273613843</v>
      </c>
      <c r="Y9" s="657"/>
    </row>
    <row r="10" spans="1:25" s="658" customFormat="1">
      <c r="A10" s="727" t="s">
        <v>57</v>
      </c>
      <c r="B10" s="728" t="s">
        <v>1389</v>
      </c>
      <c r="C10" s="729"/>
      <c r="D10" s="730"/>
      <c r="E10" s="731"/>
      <c r="F10" s="731">
        <f t="shared" ref="F10:X10" si="1">F11+F384+F586+F635+F718+F743+F746</f>
        <v>1427480763137</v>
      </c>
      <c r="G10" s="731">
        <f t="shared" si="1"/>
        <v>362492467619</v>
      </c>
      <c r="H10" s="731">
        <f t="shared" si="1"/>
        <v>3257911145</v>
      </c>
      <c r="I10" s="731">
        <f t="shared" si="1"/>
        <v>280133638434</v>
      </c>
      <c r="J10" s="731">
        <f t="shared" si="1"/>
        <v>59930000000</v>
      </c>
      <c r="K10" s="731">
        <f t="shared" si="1"/>
        <v>59056707600</v>
      </c>
      <c r="L10" s="731">
        <f t="shared" si="1"/>
        <v>51183921903</v>
      </c>
      <c r="M10" s="731">
        <f t="shared" si="1"/>
        <v>7872785697</v>
      </c>
      <c r="N10" s="731">
        <f t="shared" si="1"/>
        <v>0</v>
      </c>
      <c r="O10" s="731">
        <f t="shared" si="1"/>
        <v>873292400</v>
      </c>
      <c r="P10" s="731">
        <f t="shared" si="1"/>
        <v>3024087000000</v>
      </c>
      <c r="Q10" s="731">
        <f t="shared" si="1"/>
        <v>2203272158238</v>
      </c>
      <c r="R10" s="731">
        <f t="shared" si="1"/>
        <v>1734445753625</v>
      </c>
      <c r="S10" s="731">
        <f t="shared" si="1"/>
        <v>468826404613</v>
      </c>
      <c r="T10" s="731">
        <f t="shared" si="1"/>
        <v>411587315204</v>
      </c>
      <c r="U10" s="731">
        <f t="shared" si="1"/>
        <v>92335973558</v>
      </c>
      <c r="V10" s="731">
        <f t="shared" si="1"/>
        <v>2065763313962</v>
      </c>
      <c r="W10" s="731">
        <f t="shared" si="1"/>
        <v>555800108350</v>
      </c>
      <c r="X10" s="731">
        <f t="shared" si="1"/>
        <v>3683233639251</v>
      </c>
    </row>
    <row r="11" spans="1:25" s="660" customFormat="1" ht="46.5" customHeight="1">
      <c r="A11" s="727" t="s">
        <v>1390</v>
      </c>
      <c r="B11" s="728" t="s">
        <v>1391</v>
      </c>
      <c r="C11" s="729"/>
      <c r="D11" s="730"/>
      <c r="E11" s="731">
        <f t="shared" ref="E11:W11" si="2">E12+E25+E36+E48+E57+E64+E68+E88+E113+E133</f>
        <v>9199885897008</v>
      </c>
      <c r="F11" s="731">
        <f t="shared" si="2"/>
        <v>416006005266</v>
      </c>
      <c r="G11" s="731">
        <f t="shared" si="2"/>
        <v>85573678482</v>
      </c>
      <c r="H11" s="731">
        <f t="shared" si="2"/>
        <v>45000000</v>
      </c>
      <c r="I11" s="731">
        <f t="shared" si="2"/>
        <v>57281314862</v>
      </c>
      <c r="J11" s="731">
        <f t="shared" si="2"/>
        <v>2042000000</v>
      </c>
      <c r="K11" s="731">
        <f t="shared" si="2"/>
        <v>1959382600</v>
      </c>
      <c r="L11" s="731">
        <f t="shared" si="2"/>
        <v>1959382600</v>
      </c>
      <c r="M11" s="731">
        <f t="shared" si="2"/>
        <v>0</v>
      </c>
      <c r="N11" s="731">
        <f t="shared" si="2"/>
        <v>0</v>
      </c>
      <c r="O11" s="731">
        <f t="shared" si="2"/>
        <v>82617400</v>
      </c>
      <c r="P11" s="731">
        <f t="shared" si="2"/>
        <v>573690000000</v>
      </c>
      <c r="Q11" s="731">
        <f t="shared" si="2"/>
        <v>527894391834</v>
      </c>
      <c r="R11" s="731">
        <f t="shared" si="2"/>
        <v>476944207931</v>
      </c>
      <c r="S11" s="731">
        <f t="shared" si="2"/>
        <v>50950183903</v>
      </c>
      <c r="T11" s="731">
        <f>T12+T25+T36+T48+T57+T64+T68+T88+T113+T133</f>
        <v>4044998277</v>
      </c>
      <c r="U11" s="731">
        <f>U12+U25+U36+U48+U57+U64+U68+U88+U113+U133</f>
        <v>3132609889</v>
      </c>
      <c r="V11" s="731">
        <f t="shared" si="2"/>
        <v>536184905393</v>
      </c>
      <c r="W11" s="731">
        <f t="shared" si="2"/>
        <v>79197547523</v>
      </c>
      <c r="X11" s="731">
        <f>X12+X25+X36+X48+X57+X64+X68+X88+X113+X133</f>
        <v>944273879041</v>
      </c>
    </row>
    <row r="12" spans="1:25" s="660" customFormat="1">
      <c r="A12" s="727" t="s">
        <v>108</v>
      </c>
      <c r="B12" s="728" t="s">
        <v>27</v>
      </c>
      <c r="C12" s="729"/>
      <c r="D12" s="730"/>
      <c r="E12" s="731">
        <f>E13+E20</f>
        <v>1117235000000</v>
      </c>
      <c r="F12" s="731">
        <f t="shared" ref="F12:X12" si="3">F13+F20</f>
        <v>9718445997</v>
      </c>
      <c r="G12" s="731">
        <f t="shared" si="3"/>
        <v>4805139782</v>
      </c>
      <c r="H12" s="731">
        <f t="shared" si="3"/>
        <v>0</v>
      </c>
      <c r="I12" s="731">
        <f t="shared" si="3"/>
        <v>4578071500</v>
      </c>
      <c r="J12" s="731">
        <f t="shared" si="3"/>
        <v>0</v>
      </c>
      <c r="K12" s="731">
        <f t="shared" si="3"/>
        <v>0</v>
      </c>
      <c r="L12" s="731">
        <f t="shared" si="3"/>
        <v>0</v>
      </c>
      <c r="M12" s="731">
        <f t="shared" si="3"/>
        <v>0</v>
      </c>
      <c r="N12" s="731">
        <f t="shared" si="3"/>
        <v>0</v>
      </c>
      <c r="O12" s="731">
        <f t="shared" si="3"/>
        <v>0</v>
      </c>
      <c r="P12" s="731">
        <f t="shared" si="3"/>
        <v>74688000000</v>
      </c>
      <c r="Q12" s="731">
        <f t="shared" si="3"/>
        <v>43995727250</v>
      </c>
      <c r="R12" s="731">
        <f t="shared" si="3"/>
        <v>41883320450</v>
      </c>
      <c r="S12" s="731">
        <f t="shared" si="3"/>
        <v>2112406800</v>
      </c>
      <c r="T12" s="731">
        <f t="shared" si="3"/>
        <v>655000</v>
      </c>
      <c r="U12" s="731">
        <f t="shared" si="3"/>
        <v>560617750</v>
      </c>
      <c r="V12" s="731">
        <f t="shared" si="3"/>
        <v>46461391950</v>
      </c>
      <c r="W12" s="731">
        <f t="shared" si="3"/>
        <v>2339475082</v>
      </c>
      <c r="X12" s="731">
        <f t="shared" si="3"/>
        <v>53714173247</v>
      </c>
    </row>
    <row r="13" spans="1:25" s="658" customFormat="1" ht="21">
      <c r="A13" s="736" t="s">
        <v>254</v>
      </c>
      <c r="B13" s="737" t="s">
        <v>1392</v>
      </c>
      <c r="C13" s="738"/>
      <c r="D13" s="739"/>
      <c r="E13" s="731">
        <f>E14</f>
        <v>999406000000</v>
      </c>
      <c r="F13" s="731">
        <f t="shared" ref="F13:X13" si="4">F14</f>
        <v>9718445997</v>
      </c>
      <c r="G13" s="731">
        <f t="shared" si="4"/>
        <v>4805139782</v>
      </c>
      <c r="H13" s="731">
        <f t="shared" si="4"/>
        <v>0</v>
      </c>
      <c r="I13" s="731">
        <f t="shared" si="4"/>
        <v>4578071500</v>
      </c>
      <c r="J13" s="731">
        <f t="shared" si="4"/>
        <v>0</v>
      </c>
      <c r="K13" s="731">
        <f t="shared" si="4"/>
        <v>0</v>
      </c>
      <c r="L13" s="731">
        <f t="shared" si="4"/>
        <v>0</v>
      </c>
      <c r="M13" s="731">
        <f t="shared" si="4"/>
        <v>0</v>
      </c>
      <c r="N13" s="731">
        <f t="shared" si="4"/>
        <v>0</v>
      </c>
      <c r="O13" s="731">
        <f t="shared" si="4"/>
        <v>0</v>
      </c>
      <c r="P13" s="731">
        <f t="shared" si="4"/>
        <v>39782000000</v>
      </c>
      <c r="Q13" s="731">
        <f t="shared" si="4"/>
        <v>39220939250</v>
      </c>
      <c r="R13" s="731">
        <f t="shared" si="4"/>
        <v>37108532450</v>
      </c>
      <c r="S13" s="731">
        <f t="shared" si="4"/>
        <v>2112406800</v>
      </c>
      <c r="T13" s="731">
        <f t="shared" si="4"/>
        <v>655000</v>
      </c>
      <c r="U13" s="731">
        <f t="shared" si="4"/>
        <v>560405750</v>
      </c>
      <c r="V13" s="731">
        <f t="shared" si="4"/>
        <v>41686603950</v>
      </c>
      <c r="W13" s="731">
        <f t="shared" si="4"/>
        <v>2339475082</v>
      </c>
      <c r="X13" s="731">
        <f t="shared" si="4"/>
        <v>48939385247</v>
      </c>
    </row>
    <row r="14" spans="1:25" s="660" customFormat="1" ht="22.5">
      <c r="A14" s="740" t="s">
        <v>1393</v>
      </c>
      <c r="B14" s="741" t="s">
        <v>1394</v>
      </c>
      <c r="C14" s="729"/>
      <c r="D14" s="742"/>
      <c r="E14" s="743">
        <f>SUM(E15:E19)</f>
        <v>999406000000</v>
      </c>
      <c r="F14" s="743">
        <f t="shared" ref="F14:X14" si="5">SUM(F15:F19)</f>
        <v>9718445997</v>
      </c>
      <c r="G14" s="743">
        <f t="shared" si="5"/>
        <v>4805139782</v>
      </c>
      <c r="H14" s="743">
        <f t="shared" si="5"/>
        <v>0</v>
      </c>
      <c r="I14" s="743">
        <f t="shared" si="5"/>
        <v>4578071500</v>
      </c>
      <c r="J14" s="743">
        <f t="shared" si="5"/>
        <v>0</v>
      </c>
      <c r="K14" s="743">
        <f t="shared" si="5"/>
        <v>0</v>
      </c>
      <c r="L14" s="743">
        <f t="shared" si="5"/>
        <v>0</v>
      </c>
      <c r="M14" s="743">
        <f t="shared" si="5"/>
        <v>0</v>
      </c>
      <c r="N14" s="743">
        <f t="shared" si="5"/>
        <v>0</v>
      </c>
      <c r="O14" s="743">
        <f t="shared" si="5"/>
        <v>0</v>
      </c>
      <c r="P14" s="743">
        <f t="shared" si="5"/>
        <v>39782000000</v>
      </c>
      <c r="Q14" s="743">
        <f t="shared" si="5"/>
        <v>39220939250</v>
      </c>
      <c r="R14" s="743">
        <f t="shared" si="5"/>
        <v>37108532450</v>
      </c>
      <c r="S14" s="743">
        <f t="shared" si="5"/>
        <v>2112406800</v>
      </c>
      <c r="T14" s="743">
        <f t="shared" si="5"/>
        <v>655000</v>
      </c>
      <c r="U14" s="743">
        <f t="shared" si="5"/>
        <v>560405750</v>
      </c>
      <c r="V14" s="743">
        <f t="shared" si="5"/>
        <v>41686603950</v>
      </c>
      <c r="W14" s="743">
        <f t="shared" si="5"/>
        <v>2339475082</v>
      </c>
      <c r="X14" s="743">
        <f t="shared" si="5"/>
        <v>48939385247</v>
      </c>
    </row>
    <row r="15" spans="1:25" s="658" customFormat="1" ht="22.5">
      <c r="A15" s="744">
        <v>1</v>
      </c>
      <c r="B15" s="745" t="s">
        <v>1395</v>
      </c>
      <c r="C15" s="738" t="s">
        <v>777</v>
      </c>
      <c r="D15" s="746">
        <v>7422113</v>
      </c>
      <c r="E15" s="747">
        <v>82718000000</v>
      </c>
      <c r="F15" s="747"/>
      <c r="G15" s="747"/>
      <c r="H15" s="747"/>
      <c r="I15" s="747"/>
      <c r="J15" s="747"/>
      <c r="K15" s="747"/>
      <c r="L15" s="747"/>
      <c r="M15" s="747"/>
      <c r="N15" s="747"/>
      <c r="O15" s="747"/>
      <c r="P15" s="747">
        <v>3320000000</v>
      </c>
      <c r="Q15" s="747">
        <f>R15+S15</f>
        <v>3320000000</v>
      </c>
      <c r="R15" s="747">
        <v>3320000000</v>
      </c>
      <c r="S15" s="747"/>
      <c r="T15" s="747"/>
      <c r="U15" s="747">
        <f>P15-Q15-T15</f>
        <v>0</v>
      </c>
      <c r="V15" s="747">
        <f>I15+L15+R15</f>
        <v>3320000000</v>
      </c>
      <c r="W15" s="747">
        <f>G15-H15-I15+M15+S15</f>
        <v>0</v>
      </c>
      <c r="X15" s="747">
        <f>F15+K15+Q15</f>
        <v>3320000000</v>
      </c>
      <c r="Y15" s="661" t="s">
        <v>1396</v>
      </c>
    </row>
    <row r="16" spans="1:25" s="658" customFormat="1">
      <c r="A16" s="744">
        <v>2</v>
      </c>
      <c r="B16" s="745" t="s">
        <v>1397</v>
      </c>
      <c r="C16" s="738" t="s">
        <v>777</v>
      </c>
      <c r="D16" s="746">
        <v>7070714</v>
      </c>
      <c r="E16" s="747">
        <v>144560000000</v>
      </c>
      <c r="F16" s="747">
        <v>3306000000</v>
      </c>
      <c r="G16" s="747"/>
      <c r="H16" s="747"/>
      <c r="I16" s="747"/>
      <c r="J16" s="747"/>
      <c r="K16" s="747"/>
      <c r="L16" s="747"/>
      <c r="M16" s="747"/>
      <c r="N16" s="747"/>
      <c r="O16" s="747"/>
      <c r="P16" s="747">
        <v>12538000000</v>
      </c>
      <c r="Q16" s="747">
        <f t="shared" ref="Q16:Q77" si="6">R16+S16</f>
        <v>12537276000</v>
      </c>
      <c r="R16" s="747">
        <v>12537276000</v>
      </c>
      <c r="S16" s="747"/>
      <c r="T16" s="747"/>
      <c r="U16" s="747">
        <f t="shared" ref="U16:U77" si="7">P16-Q16-T16</f>
        <v>724000</v>
      </c>
      <c r="V16" s="747">
        <f t="shared" ref="V16:V77" si="8">I16+L16+R16</f>
        <v>12537276000</v>
      </c>
      <c r="W16" s="747">
        <f t="shared" ref="W16:W77" si="9">G16-H16-I16+M16+S16</f>
        <v>0</v>
      </c>
      <c r="X16" s="747">
        <f>F16+K16+Q16</f>
        <v>15843276000</v>
      </c>
      <c r="Y16" s="661" t="s">
        <v>18</v>
      </c>
    </row>
    <row r="17" spans="1:25" s="658" customFormat="1" ht="31.5">
      <c r="A17" s="744">
        <v>3</v>
      </c>
      <c r="B17" s="745" t="s">
        <v>1398</v>
      </c>
      <c r="C17" s="738" t="s">
        <v>777</v>
      </c>
      <c r="D17" s="746">
        <v>7067082</v>
      </c>
      <c r="E17" s="747">
        <v>200848000000</v>
      </c>
      <c r="F17" s="747">
        <v>227068282</v>
      </c>
      <c r="G17" s="747">
        <v>227068282</v>
      </c>
      <c r="H17" s="747"/>
      <c r="I17" s="747"/>
      <c r="J17" s="747"/>
      <c r="K17" s="747"/>
      <c r="L17" s="747"/>
      <c r="M17" s="747"/>
      <c r="N17" s="747"/>
      <c r="O17" s="747"/>
      <c r="P17" s="747">
        <v>340000000</v>
      </c>
      <c r="Q17" s="747">
        <f t="shared" si="6"/>
        <v>339345000</v>
      </c>
      <c r="R17" s="747">
        <v>339345000</v>
      </c>
      <c r="S17" s="747"/>
      <c r="T17" s="747">
        <v>655000</v>
      </c>
      <c r="U17" s="747">
        <f t="shared" si="7"/>
        <v>0</v>
      </c>
      <c r="V17" s="747">
        <f t="shared" si="8"/>
        <v>339345000</v>
      </c>
      <c r="W17" s="747">
        <f t="shared" si="9"/>
        <v>227068282</v>
      </c>
      <c r="X17" s="747">
        <f>F17+K17+Q17</f>
        <v>566413282</v>
      </c>
      <c r="Y17" s="661" t="s">
        <v>1399</v>
      </c>
    </row>
    <row r="18" spans="1:25" s="658" customFormat="1" ht="31.5">
      <c r="A18" s="744">
        <v>4</v>
      </c>
      <c r="B18" s="745" t="s">
        <v>1400</v>
      </c>
      <c r="C18" s="738" t="s">
        <v>777</v>
      </c>
      <c r="D18" s="746">
        <v>7211283</v>
      </c>
      <c r="E18" s="747">
        <v>370570000000</v>
      </c>
      <c r="F18" s="747">
        <v>6185377715</v>
      </c>
      <c r="G18" s="747">
        <v>4578071500</v>
      </c>
      <c r="H18" s="747"/>
      <c r="I18" s="748">
        <v>4578071500</v>
      </c>
      <c r="J18" s="747"/>
      <c r="K18" s="747"/>
      <c r="L18" s="747"/>
      <c r="M18" s="747"/>
      <c r="N18" s="747"/>
      <c r="O18" s="747"/>
      <c r="P18" s="747">
        <v>12126000000</v>
      </c>
      <c r="Q18" s="747">
        <f>R18+S18</f>
        <v>12126000000</v>
      </c>
      <c r="R18" s="749">
        <v>11717365500</v>
      </c>
      <c r="S18" s="749">
        <v>408634500</v>
      </c>
      <c r="T18" s="747"/>
      <c r="U18" s="747">
        <f t="shared" si="7"/>
        <v>0</v>
      </c>
      <c r="V18" s="747">
        <f>I18+L18+R18</f>
        <v>16295437000</v>
      </c>
      <c r="W18" s="747">
        <f>G18-H18-I18+M18+S18</f>
        <v>408634500</v>
      </c>
      <c r="X18" s="747">
        <f>F18+K18+Q18</f>
        <v>18311377715</v>
      </c>
      <c r="Y18" s="661" t="s">
        <v>1399</v>
      </c>
    </row>
    <row r="19" spans="1:25" s="658" customFormat="1" ht="31.5">
      <c r="A19" s="744">
        <v>5</v>
      </c>
      <c r="B19" s="745" t="s">
        <v>1401</v>
      </c>
      <c r="C19" s="738" t="s">
        <v>777</v>
      </c>
      <c r="D19" s="746">
        <v>7189095</v>
      </c>
      <c r="E19" s="747">
        <v>200710000000</v>
      </c>
      <c r="F19" s="747"/>
      <c r="G19" s="747"/>
      <c r="H19" s="747"/>
      <c r="I19" s="747"/>
      <c r="J19" s="747"/>
      <c r="K19" s="747"/>
      <c r="L19" s="747"/>
      <c r="M19" s="747"/>
      <c r="N19" s="747"/>
      <c r="O19" s="747"/>
      <c r="P19" s="747">
        <v>11458000000</v>
      </c>
      <c r="Q19" s="747">
        <f t="shared" si="6"/>
        <v>10898318250</v>
      </c>
      <c r="R19" s="747">
        <v>9194545950</v>
      </c>
      <c r="S19" s="747">
        <v>1703772300</v>
      </c>
      <c r="T19" s="747"/>
      <c r="U19" s="747">
        <f t="shared" si="7"/>
        <v>559681750</v>
      </c>
      <c r="V19" s="747">
        <f t="shared" si="8"/>
        <v>9194545950</v>
      </c>
      <c r="W19" s="747">
        <f t="shared" si="9"/>
        <v>1703772300</v>
      </c>
      <c r="X19" s="747">
        <f>F19+K19+Q19</f>
        <v>10898318250</v>
      </c>
      <c r="Y19" s="661" t="s">
        <v>1399</v>
      </c>
    </row>
    <row r="20" spans="1:25" s="663" customFormat="1">
      <c r="A20" s="736" t="s">
        <v>256</v>
      </c>
      <c r="B20" s="737" t="s">
        <v>1402</v>
      </c>
      <c r="C20" s="729"/>
      <c r="D20" s="739"/>
      <c r="E20" s="731">
        <f>E21</f>
        <v>117829000000</v>
      </c>
      <c r="F20" s="731">
        <f t="shared" ref="F20:X20" si="10">F21</f>
        <v>0</v>
      </c>
      <c r="G20" s="731">
        <f t="shared" si="10"/>
        <v>0</v>
      </c>
      <c r="H20" s="731">
        <f t="shared" si="10"/>
        <v>0</v>
      </c>
      <c r="I20" s="731">
        <f t="shared" si="10"/>
        <v>0</v>
      </c>
      <c r="J20" s="731">
        <f t="shared" si="10"/>
        <v>0</v>
      </c>
      <c r="K20" s="731">
        <f t="shared" si="10"/>
        <v>0</v>
      </c>
      <c r="L20" s="731">
        <f t="shared" si="10"/>
        <v>0</v>
      </c>
      <c r="M20" s="731">
        <f t="shared" si="10"/>
        <v>0</v>
      </c>
      <c r="N20" s="731">
        <f t="shared" si="10"/>
        <v>0</v>
      </c>
      <c r="O20" s="731">
        <f t="shared" si="10"/>
        <v>0</v>
      </c>
      <c r="P20" s="731">
        <f t="shared" si="10"/>
        <v>34906000000</v>
      </c>
      <c r="Q20" s="731">
        <f t="shared" si="10"/>
        <v>4774788000</v>
      </c>
      <c r="R20" s="731">
        <f t="shared" si="10"/>
        <v>4774788000</v>
      </c>
      <c r="S20" s="731">
        <f t="shared" si="10"/>
        <v>0</v>
      </c>
      <c r="T20" s="731">
        <f t="shared" si="10"/>
        <v>0</v>
      </c>
      <c r="U20" s="731">
        <f t="shared" si="10"/>
        <v>212000</v>
      </c>
      <c r="V20" s="731">
        <f t="shared" si="10"/>
        <v>4774788000</v>
      </c>
      <c r="W20" s="731">
        <f t="shared" si="10"/>
        <v>0</v>
      </c>
      <c r="X20" s="731">
        <f t="shared" si="10"/>
        <v>4774788000</v>
      </c>
      <c r="Y20" s="662"/>
    </row>
    <row r="21" spans="1:25" s="663" customFormat="1" ht="22.5">
      <c r="A21" s="740" t="s">
        <v>1393</v>
      </c>
      <c r="B21" s="741" t="s">
        <v>1394</v>
      </c>
      <c r="C21" s="750"/>
      <c r="D21" s="742"/>
      <c r="E21" s="743">
        <f>SUM(E22:E24)</f>
        <v>117829000000</v>
      </c>
      <c r="F21" s="743">
        <f t="shared" ref="F21:X21" si="11">SUM(F22:F24)</f>
        <v>0</v>
      </c>
      <c r="G21" s="743">
        <f t="shared" si="11"/>
        <v>0</v>
      </c>
      <c r="H21" s="743">
        <f t="shared" si="11"/>
        <v>0</v>
      </c>
      <c r="I21" s="743">
        <f t="shared" si="11"/>
        <v>0</v>
      </c>
      <c r="J21" s="743">
        <f t="shared" si="11"/>
        <v>0</v>
      </c>
      <c r="K21" s="743">
        <f t="shared" si="11"/>
        <v>0</v>
      </c>
      <c r="L21" s="743">
        <f t="shared" si="11"/>
        <v>0</v>
      </c>
      <c r="M21" s="743">
        <f t="shared" si="11"/>
        <v>0</v>
      </c>
      <c r="N21" s="743">
        <f t="shared" si="11"/>
        <v>0</v>
      </c>
      <c r="O21" s="743">
        <f t="shared" si="11"/>
        <v>0</v>
      </c>
      <c r="P21" s="743">
        <f t="shared" si="11"/>
        <v>34906000000</v>
      </c>
      <c r="Q21" s="743">
        <f t="shared" si="11"/>
        <v>4774788000</v>
      </c>
      <c r="R21" s="743">
        <f t="shared" si="11"/>
        <v>4774788000</v>
      </c>
      <c r="S21" s="743">
        <f t="shared" si="11"/>
        <v>0</v>
      </c>
      <c r="T21" s="743">
        <f t="shared" si="11"/>
        <v>0</v>
      </c>
      <c r="U21" s="743">
        <f t="shared" si="11"/>
        <v>212000</v>
      </c>
      <c r="V21" s="743">
        <f t="shared" si="11"/>
        <v>4774788000</v>
      </c>
      <c r="W21" s="743">
        <f t="shared" si="11"/>
        <v>0</v>
      </c>
      <c r="X21" s="743">
        <f t="shared" si="11"/>
        <v>4774788000</v>
      </c>
      <c r="Y21" s="664"/>
    </row>
    <row r="22" spans="1:25" s="665" customFormat="1" ht="31.5">
      <c r="A22" s="744">
        <v>1</v>
      </c>
      <c r="B22" s="745" t="s">
        <v>1403</v>
      </c>
      <c r="C22" s="738" t="s">
        <v>777</v>
      </c>
      <c r="D22" s="746">
        <v>7531671</v>
      </c>
      <c r="E22" s="747">
        <v>3349000000</v>
      </c>
      <c r="F22" s="747"/>
      <c r="G22" s="747"/>
      <c r="H22" s="747"/>
      <c r="I22" s="747"/>
      <c r="J22" s="747"/>
      <c r="K22" s="747"/>
      <c r="L22" s="747"/>
      <c r="M22" s="747"/>
      <c r="N22" s="747"/>
      <c r="O22" s="747"/>
      <c r="P22" s="747">
        <v>3188000000</v>
      </c>
      <c r="Q22" s="747">
        <f t="shared" si="6"/>
        <v>3187788000</v>
      </c>
      <c r="R22" s="747">
        <v>3187788000</v>
      </c>
      <c r="S22" s="747"/>
      <c r="T22" s="747">
        <v>0</v>
      </c>
      <c r="U22" s="747">
        <f t="shared" si="7"/>
        <v>212000</v>
      </c>
      <c r="V22" s="747">
        <f t="shared" si="8"/>
        <v>3187788000</v>
      </c>
      <c r="W22" s="747">
        <f t="shared" si="9"/>
        <v>0</v>
      </c>
      <c r="X22" s="747">
        <f>F22+K22+Q22</f>
        <v>3187788000</v>
      </c>
      <c r="Y22" s="661" t="s">
        <v>627</v>
      </c>
    </row>
    <row r="23" spans="1:25" s="665" customFormat="1" ht="31.5">
      <c r="A23" s="744">
        <v>2</v>
      </c>
      <c r="B23" s="745" t="s">
        <v>1404</v>
      </c>
      <c r="C23" s="738" t="s">
        <v>777</v>
      </c>
      <c r="D23" s="746">
        <v>7005987</v>
      </c>
      <c r="E23" s="747">
        <v>84349000000</v>
      </c>
      <c r="F23" s="747"/>
      <c r="G23" s="747"/>
      <c r="H23" s="747"/>
      <c r="I23" s="747"/>
      <c r="J23" s="747"/>
      <c r="K23" s="747"/>
      <c r="L23" s="747"/>
      <c r="M23" s="747"/>
      <c r="N23" s="747"/>
      <c r="O23" s="747"/>
      <c r="P23" s="747">
        <v>1587000000</v>
      </c>
      <c r="Q23" s="747">
        <f t="shared" si="6"/>
        <v>1587000000</v>
      </c>
      <c r="R23" s="747">
        <v>1587000000</v>
      </c>
      <c r="S23" s="747"/>
      <c r="T23" s="747"/>
      <c r="U23" s="747">
        <f t="shared" si="7"/>
        <v>0</v>
      </c>
      <c r="V23" s="747">
        <f t="shared" si="8"/>
        <v>1587000000</v>
      </c>
      <c r="W23" s="747">
        <f t="shared" si="9"/>
        <v>0</v>
      </c>
      <c r="X23" s="747">
        <f>F23+K23+Q23</f>
        <v>1587000000</v>
      </c>
      <c r="Y23" s="661" t="s">
        <v>1405</v>
      </c>
    </row>
    <row r="24" spans="1:25" s="665" customFormat="1" ht="33.75">
      <c r="A24" s="744">
        <v>3</v>
      </c>
      <c r="B24" s="745" t="s">
        <v>1406</v>
      </c>
      <c r="C24" s="738" t="s">
        <v>777</v>
      </c>
      <c r="D24" s="746" t="s">
        <v>806</v>
      </c>
      <c r="E24" s="747">
        <v>30131000000</v>
      </c>
      <c r="F24" s="747"/>
      <c r="G24" s="747"/>
      <c r="H24" s="747"/>
      <c r="I24" s="747"/>
      <c r="J24" s="747"/>
      <c r="K24" s="747"/>
      <c r="L24" s="747"/>
      <c r="M24" s="747"/>
      <c r="N24" s="747"/>
      <c r="O24" s="747"/>
      <c r="P24" s="747">
        <v>30131000000</v>
      </c>
      <c r="Q24" s="747">
        <f t="shared" si="6"/>
        <v>0</v>
      </c>
      <c r="R24" s="747"/>
      <c r="S24" s="747"/>
      <c r="T24" s="747"/>
      <c r="U24" s="747"/>
      <c r="V24" s="747">
        <f t="shared" si="8"/>
        <v>0</v>
      </c>
      <c r="W24" s="747">
        <f t="shared" si="9"/>
        <v>0</v>
      </c>
      <c r="X24" s="747">
        <f>F24+K24+Q24</f>
        <v>0</v>
      </c>
      <c r="Y24" s="661" t="s">
        <v>1407</v>
      </c>
    </row>
    <row r="25" spans="1:25" s="660" customFormat="1">
      <c r="A25" s="736" t="s">
        <v>109</v>
      </c>
      <c r="B25" s="737" t="s">
        <v>780</v>
      </c>
      <c r="C25" s="729"/>
      <c r="D25" s="739"/>
      <c r="E25" s="731">
        <f>E26</f>
        <v>2291458000000</v>
      </c>
      <c r="F25" s="731">
        <f t="shared" ref="F25:X25" si="12">F26</f>
        <v>11481545000</v>
      </c>
      <c r="G25" s="731">
        <f t="shared" si="12"/>
        <v>4125950000</v>
      </c>
      <c r="H25" s="731">
        <f t="shared" si="12"/>
        <v>30000000</v>
      </c>
      <c r="I25" s="731">
        <f t="shared" si="12"/>
        <v>3134617000</v>
      </c>
      <c r="J25" s="731">
        <f t="shared" si="12"/>
        <v>0</v>
      </c>
      <c r="K25" s="731">
        <f t="shared" si="12"/>
        <v>0</v>
      </c>
      <c r="L25" s="731">
        <f t="shared" si="12"/>
        <v>0</v>
      </c>
      <c r="M25" s="731">
        <f t="shared" si="12"/>
        <v>0</v>
      </c>
      <c r="N25" s="731">
        <f t="shared" si="12"/>
        <v>0</v>
      </c>
      <c r="O25" s="731">
        <f t="shared" si="12"/>
        <v>0</v>
      </c>
      <c r="P25" s="731">
        <f t="shared" si="12"/>
        <v>118509000000</v>
      </c>
      <c r="Q25" s="731">
        <f t="shared" si="12"/>
        <v>118078000533</v>
      </c>
      <c r="R25" s="731">
        <f t="shared" si="12"/>
        <v>117965000533</v>
      </c>
      <c r="S25" s="731">
        <f t="shared" si="12"/>
        <v>113000000</v>
      </c>
      <c r="T25" s="731">
        <f t="shared" si="12"/>
        <v>0</v>
      </c>
      <c r="U25" s="731">
        <f t="shared" si="12"/>
        <v>430999467</v>
      </c>
      <c r="V25" s="731">
        <f t="shared" si="12"/>
        <v>121099617533</v>
      </c>
      <c r="W25" s="731">
        <f t="shared" si="12"/>
        <v>1074333000</v>
      </c>
      <c r="X25" s="731">
        <f t="shared" si="12"/>
        <v>129959630074</v>
      </c>
      <c r="Y25" s="666"/>
    </row>
    <row r="26" spans="1:25" s="660" customFormat="1" ht="21">
      <c r="A26" s="736" t="s">
        <v>254</v>
      </c>
      <c r="B26" s="737" t="s">
        <v>1392</v>
      </c>
      <c r="C26" s="729"/>
      <c r="D26" s="739"/>
      <c r="E26" s="731">
        <f>E27+E31</f>
        <v>2291458000000</v>
      </c>
      <c r="F26" s="731">
        <f t="shared" ref="F26:X26" si="13">F27+F31</f>
        <v>11481545000</v>
      </c>
      <c r="G26" s="731">
        <f t="shared" si="13"/>
        <v>4125950000</v>
      </c>
      <c r="H26" s="731">
        <f t="shared" si="13"/>
        <v>30000000</v>
      </c>
      <c r="I26" s="731">
        <f t="shared" si="13"/>
        <v>3134617000</v>
      </c>
      <c r="J26" s="731">
        <f t="shared" si="13"/>
        <v>0</v>
      </c>
      <c r="K26" s="731">
        <f t="shared" si="13"/>
        <v>0</v>
      </c>
      <c r="L26" s="731">
        <f t="shared" si="13"/>
        <v>0</v>
      </c>
      <c r="M26" s="731">
        <f t="shared" si="13"/>
        <v>0</v>
      </c>
      <c r="N26" s="731">
        <f t="shared" si="13"/>
        <v>0</v>
      </c>
      <c r="O26" s="731">
        <f t="shared" si="13"/>
        <v>0</v>
      </c>
      <c r="P26" s="731">
        <f t="shared" si="13"/>
        <v>118509000000</v>
      </c>
      <c r="Q26" s="731">
        <f t="shared" si="13"/>
        <v>118078000533</v>
      </c>
      <c r="R26" s="731">
        <f t="shared" si="13"/>
        <v>117965000533</v>
      </c>
      <c r="S26" s="731">
        <f t="shared" si="13"/>
        <v>113000000</v>
      </c>
      <c r="T26" s="731">
        <f t="shared" si="13"/>
        <v>0</v>
      </c>
      <c r="U26" s="731">
        <f t="shared" si="13"/>
        <v>430999467</v>
      </c>
      <c r="V26" s="731">
        <f t="shared" si="13"/>
        <v>121099617533</v>
      </c>
      <c r="W26" s="731">
        <f t="shared" si="13"/>
        <v>1074333000</v>
      </c>
      <c r="X26" s="731">
        <f t="shared" si="13"/>
        <v>129959630074</v>
      </c>
      <c r="Y26" s="667"/>
    </row>
    <row r="27" spans="1:25" s="663" customFormat="1" ht="22.5">
      <c r="A27" s="740" t="s">
        <v>1393</v>
      </c>
      <c r="B27" s="741" t="s">
        <v>1408</v>
      </c>
      <c r="C27" s="750"/>
      <c r="D27" s="742"/>
      <c r="E27" s="743">
        <f>SUM(E28:E30)</f>
        <v>651095000000</v>
      </c>
      <c r="F27" s="743">
        <f t="shared" ref="F27:W27" si="14">SUM(F28:F30)</f>
        <v>590545000</v>
      </c>
      <c r="G27" s="743">
        <f t="shared" si="14"/>
        <v>590545000</v>
      </c>
      <c r="H27" s="743">
        <f t="shared" si="14"/>
        <v>30000000</v>
      </c>
      <c r="I27" s="743">
        <f t="shared" si="14"/>
        <v>131545000</v>
      </c>
      <c r="J27" s="743">
        <f t="shared" si="14"/>
        <v>0</v>
      </c>
      <c r="K27" s="743">
        <f t="shared" si="14"/>
        <v>0</v>
      </c>
      <c r="L27" s="743">
        <f t="shared" si="14"/>
        <v>0</v>
      </c>
      <c r="M27" s="743">
        <f t="shared" si="14"/>
        <v>0</v>
      </c>
      <c r="N27" s="743">
        <f t="shared" si="14"/>
        <v>0</v>
      </c>
      <c r="O27" s="743">
        <f t="shared" si="14"/>
        <v>0</v>
      </c>
      <c r="P27" s="743">
        <f t="shared" si="14"/>
        <v>4106000000</v>
      </c>
      <c r="Q27" s="743">
        <f t="shared" si="14"/>
        <v>3675682533</v>
      </c>
      <c r="R27" s="743">
        <f t="shared" si="14"/>
        <v>3675682533</v>
      </c>
      <c r="S27" s="743">
        <f t="shared" si="14"/>
        <v>0</v>
      </c>
      <c r="T27" s="743">
        <f t="shared" si="14"/>
        <v>0</v>
      </c>
      <c r="U27" s="743">
        <f t="shared" si="14"/>
        <v>430317467</v>
      </c>
      <c r="V27" s="743">
        <f t="shared" si="14"/>
        <v>3807227533</v>
      </c>
      <c r="W27" s="743">
        <f t="shared" si="14"/>
        <v>429000000</v>
      </c>
      <c r="X27" s="743">
        <f>SUM(X28:X30)</f>
        <v>4666312074</v>
      </c>
      <c r="Y27" s="668"/>
    </row>
    <row r="28" spans="1:25" s="658" customFormat="1">
      <c r="A28" s="744">
        <v>1</v>
      </c>
      <c r="B28" s="745" t="s">
        <v>1409</v>
      </c>
      <c r="C28" s="738" t="s">
        <v>777</v>
      </c>
      <c r="D28" s="746">
        <v>7006700</v>
      </c>
      <c r="E28" s="747">
        <v>123574000000</v>
      </c>
      <c r="F28" s="747">
        <v>131545000</v>
      </c>
      <c r="G28" s="747">
        <v>131545000</v>
      </c>
      <c r="H28" s="747"/>
      <c r="I28" s="747">
        <v>131545000</v>
      </c>
      <c r="J28" s="731"/>
      <c r="K28" s="731"/>
      <c r="L28" s="731"/>
      <c r="M28" s="731"/>
      <c r="N28" s="731"/>
      <c r="O28" s="731"/>
      <c r="P28" s="747">
        <v>727000000</v>
      </c>
      <c r="Q28" s="747">
        <f t="shared" si="6"/>
        <v>296682533</v>
      </c>
      <c r="R28" s="749">
        <v>296682533</v>
      </c>
      <c r="S28" s="747"/>
      <c r="T28" s="747">
        <v>0</v>
      </c>
      <c r="U28" s="747">
        <f t="shared" si="7"/>
        <v>430317467</v>
      </c>
      <c r="V28" s="747">
        <f>I28+L28+R28</f>
        <v>428227533</v>
      </c>
      <c r="W28" s="747">
        <f t="shared" si="9"/>
        <v>0</v>
      </c>
      <c r="X28" s="751">
        <v>858312074</v>
      </c>
      <c r="Y28" s="661" t="s">
        <v>1410</v>
      </c>
    </row>
    <row r="29" spans="1:25" s="658" customFormat="1" ht="31.5">
      <c r="A29" s="752" t="s">
        <v>105</v>
      </c>
      <c r="B29" s="753" t="s">
        <v>1411</v>
      </c>
      <c r="C29" s="738" t="s">
        <v>777</v>
      </c>
      <c r="D29" s="746" t="s">
        <v>1412</v>
      </c>
      <c r="E29" s="747">
        <v>452770000000</v>
      </c>
      <c r="F29" s="754">
        <v>429000000</v>
      </c>
      <c r="G29" s="754">
        <v>429000000</v>
      </c>
      <c r="H29" s="754"/>
      <c r="I29" s="754"/>
      <c r="J29" s="754"/>
      <c r="K29" s="754"/>
      <c r="L29" s="754"/>
      <c r="M29" s="754"/>
      <c r="N29" s="754"/>
      <c r="O29" s="754"/>
      <c r="P29" s="747">
        <v>1958000000</v>
      </c>
      <c r="Q29" s="747">
        <f t="shared" si="6"/>
        <v>1958000000</v>
      </c>
      <c r="R29" s="749">
        <v>1958000000</v>
      </c>
      <c r="S29" s="754"/>
      <c r="T29" s="754"/>
      <c r="U29" s="747">
        <f t="shared" si="7"/>
        <v>0</v>
      </c>
      <c r="V29" s="747">
        <f t="shared" si="8"/>
        <v>1958000000</v>
      </c>
      <c r="W29" s="747">
        <f t="shared" si="9"/>
        <v>429000000</v>
      </c>
      <c r="X29" s="747">
        <f>F29+K29+Q29</f>
        <v>2387000000</v>
      </c>
      <c r="Y29" s="669" t="s">
        <v>1413</v>
      </c>
    </row>
    <row r="30" spans="1:25" s="658" customFormat="1">
      <c r="A30" s="744">
        <v>3</v>
      </c>
      <c r="B30" s="745" t="s">
        <v>829</v>
      </c>
      <c r="C30" s="738" t="s">
        <v>777</v>
      </c>
      <c r="D30" s="746">
        <v>7011320</v>
      </c>
      <c r="E30" s="747">
        <v>74751000000</v>
      </c>
      <c r="F30" s="747">
        <v>30000000</v>
      </c>
      <c r="G30" s="747">
        <v>30000000</v>
      </c>
      <c r="H30" s="747">
        <v>30000000</v>
      </c>
      <c r="I30" s="747"/>
      <c r="J30" s="747"/>
      <c r="K30" s="747"/>
      <c r="L30" s="747"/>
      <c r="M30" s="747"/>
      <c r="N30" s="747"/>
      <c r="O30" s="747"/>
      <c r="P30" s="747">
        <v>1421000000</v>
      </c>
      <c r="Q30" s="747">
        <f t="shared" si="6"/>
        <v>1421000000</v>
      </c>
      <c r="R30" s="755">
        <v>1421000000</v>
      </c>
      <c r="S30" s="747"/>
      <c r="T30" s="747"/>
      <c r="U30" s="747">
        <f t="shared" si="7"/>
        <v>0</v>
      </c>
      <c r="V30" s="747">
        <f t="shared" si="8"/>
        <v>1421000000</v>
      </c>
      <c r="W30" s="747">
        <f t="shared" si="9"/>
        <v>0</v>
      </c>
      <c r="X30" s="747">
        <v>1421000000</v>
      </c>
      <c r="Y30" s="661" t="s">
        <v>1414</v>
      </c>
    </row>
    <row r="31" spans="1:25" s="663" customFormat="1">
      <c r="A31" s="740" t="s">
        <v>1415</v>
      </c>
      <c r="B31" s="741" t="s">
        <v>1416</v>
      </c>
      <c r="C31" s="750" t="s">
        <v>777</v>
      </c>
      <c r="D31" s="742"/>
      <c r="E31" s="743">
        <f>E32</f>
        <v>1640363000000</v>
      </c>
      <c r="F31" s="743">
        <f t="shared" ref="F31:X31" si="15">F32</f>
        <v>10891000000</v>
      </c>
      <c r="G31" s="743">
        <f t="shared" si="15"/>
        <v>3535405000</v>
      </c>
      <c r="H31" s="743">
        <f t="shared" si="15"/>
        <v>0</v>
      </c>
      <c r="I31" s="743">
        <f t="shared" si="15"/>
        <v>3003072000</v>
      </c>
      <c r="J31" s="743">
        <f t="shared" si="15"/>
        <v>0</v>
      </c>
      <c r="K31" s="743">
        <f t="shared" si="15"/>
        <v>0</v>
      </c>
      <c r="L31" s="743">
        <f t="shared" si="15"/>
        <v>0</v>
      </c>
      <c r="M31" s="743">
        <f t="shared" si="15"/>
        <v>0</v>
      </c>
      <c r="N31" s="743">
        <f t="shared" si="15"/>
        <v>0</v>
      </c>
      <c r="O31" s="743">
        <f t="shared" si="15"/>
        <v>0</v>
      </c>
      <c r="P31" s="743">
        <f t="shared" si="15"/>
        <v>114403000000</v>
      </c>
      <c r="Q31" s="743">
        <f t="shared" si="15"/>
        <v>114402318000</v>
      </c>
      <c r="R31" s="743">
        <f t="shared" si="15"/>
        <v>114289318000</v>
      </c>
      <c r="S31" s="743">
        <f t="shared" si="15"/>
        <v>113000000</v>
      </c>
      <c r="T31" s="743">
        <f t="shared" si="15"/>
        <v>0</v>
      </c>
      <c r="U31" s="743">
        <f t="shared" si="15"/>
        <v>682000</v>
      </c>
      <c r="V31" s="743">
        <f t="shared" si="15"/>
        <v>117292390000</v>
      </c>
      <c r="W31" s="743">
        <f t="shared" si="15"/>
        <v>645333000</v>
      </c>
      <c r="X31" s="743">
        <f t="shared" si="15"/>
        <v>125293318000</v>
      </c>
      <c r="Y31" s="668"/>
    </row>
    <row r="32" spans="1:25" s="663" customFormat="1" ht="22.5">
      <c r="A32" s="740"/>
      <c r="B32" s="741" t="s">
        <v>1394</v>
      </c>
      <c r="C32" s="750" t="s">
        <v>777</v>
      </c>
      <c r="D32" s="742"/>
      <c r="E32" s="743">
        <f>SUM(E33:E35)</f>
        <v>1640363000000</v>
      </c>
      <c r="F32" s="743">
        <f t="shared" ref="F32:X32" si="16">SUM(F33:F35)</f>
        <v>10891000000</v>
      </c>
      <c r="G32" s="743">
        <f t="shared" si="16"/>
        <v>3535405000</v>
      </c>
      <c r="H32" s="743">
        <f t="shared" si="16"/>
        <v>0</v>
      </c>
      <c r="I32" s="743">
        <f t="shared" si="16"/>
        <v>3003072000</v>
      </c>
      <c r="J32" s="743">
        <f t="shared" si="16"/>
        <v>0</v>
      </c>
      <c r="K32" s="743">
        <f t="shared" si="16"/>
        <v>0</v>
      </c>
      <c r="L32" s="743">
        <f t="shared" si="16"/>
        <v>0</v>
      </c>
      <c r="M32" s="743">
        <f t="shared" si="16"/>
        <v>0</v>
      </c>
      <c r="N32" s="743">
        <f t="shared" si="16"/>
        <v>0</v>
      </c>
      <c r="O32" s="743">
        <f t="shared" si="16"/>
        <v>0</v>
      </c>
      <c r="P32" s="743">
        <f t="shared" si="16"/>
        <v>114403000000</v>
      </c>
      <c r="Q32" s="743">
        <f t="shared" si="16"/>
        <v>114402318000</v>
      </c>
      <c r="R32" s="743">
        <f t="shared" si="16"/>
        <v>114289318000</v>
      </c>
      <c r="S32" s="743">
        <f t="shared" si="16"/>
        <v>113000000</v>
      </c>
      <c r="T32" s="743">
        <f t="shared" si="16"/>
        <v>0</v>
      </c>
      <c r="U32" s="743">
        <f t="shared" si="16"/>
        <v>682000</v>
      </c>
      <c r="V32" s="743">
        <f t="shared" si="16"/>
        <v>117292390000</v>
      </c>
      <c r="W32" s="743">
        <f t="shared" si="16"/>
        <v>645333000</v>
      </c>
      <c r="X32" s="743">
        <f t="shared" si="16"/>
        <v>125293318000</v>
      </c>
      <c r="Y32" s="668"/>
    </row>
    <row r="33" spans="1:25" s="658" customFormat="1">
      <c r="A33" s="744">
        <v>1</v>
      </c>
      <c r="B33" s="753" t="s">
        <v>29</v>
      </c>
      <c r="C33" s="738" t="s">
        <v>777</v>
      </c>
      <c r="D33" s="746" t="s">
        <v>30</v>
      </c>
      <c r="E33" s="747">
        <v>89981000000</v>
      </c>
      <c r="F33" s="747">
        <v>10891000000</v>
      </c>
      <c r="G33" s="747">
        <v>3535405000</v>
      </c>
      <c r="H33" s="747"/>
      <c r="I33" s="747">
        <v>3003072000</v>
      </c>
      <c r="J33" s="747"/>
      <c r="K33" s="747"/>
      <c r="L33" s="747"/>
      <c r="M33" s="747"/>
      <c r="N33" s="747"/>
      <c r="O33" s="747"/>
      <c r="P33" s="747">
        <v>12642000000</v>
      </c>
      <c r="Q33" s="747">
        <f>R33+S33</f>
        <v>12642000000</v>
      </c>
      <c r="R33" s="747">
        <v>12529000000</v>
      </c>
      <c r="S33" s="747">
        <v>113000000</v>
      </c>
      <c r="T33" s="747"/>
      <c r="U33" s="747">
        <f t="shared" si="7"/>
        <v>0</v>
      </c>
      <c r="V33" s="747">
        <f t="shared" si="8"/>
        <v>15532072000</v>
      </c>
      <c r="W33" s="747">
        <f t="shared" si="9"/>
        <v>645333000</v>
      </c>
      <c r="X33" s="747">
        <f>F33+K33+Q33</f>
        <v>23533000000</v>
      </c>
      <c r="Y33" s="670" t="s">
        <v>1417</v>
      </c>
    </row>
    <row r="34" spans="1:25" s="658" customFormat="1" ht="33.75">
      <c r="A34" s="744">
        <v>2</v>
      </c>
      <c r="B34" s="753" t="s">
        <v>2705</v>
      </c>
      <c r="C34" s="738" t="s">
        <v>777</v>
      </c>
      <c r="D34" s="746" t="s">
        <v>1418</v>
      </c>
      <c r="E34" s="747">
        <v>1521792000000</v>
      </c>
      <c r="F34" s="754"/>
      <c r="G34" s="754"/>
      <c r="H34" s="754"/>
      <c r="I34" s="754"/>
      <c r="J34" s="754"/>
      <c r="K34" s="754"/>
      <c r="L34" s="754"/>
      <c r="M34" s="754"/>
      <c r="N34" s="754"/>
      <c r="O34" s="754"/>
      <c r="P34" s="747">
        <v>100000000000</v>
      </c>
      <c r="Q34" s="747">
        <f t="shared" si="6"/>
        <v>100000000000</v>
      </c>
      <c r="R34" s="754">
        <v>100000000000</v>
      </c>
      <c r="S34" s="754"/>
      <c r="T34" s="754"/>
      <c r="U34" s="747">
        <f>P34-Q34-T34</f>
        <v>0</v>
      </c>
      <c r="V34" s="747">
        <f t="shared" si="8"/>
        <v>100000000000</v>
      </c>
      <c r="W34" s="747">
        <f t="shared" si="9"/>
        <v>0</v>
      </c>
      <c r="X34" s="747">
        <f>F34+K34+Q34</f>
        <v>100000000000</v>
      </c>
      <c r="Y34" s="661" t="s">
        <v>1419</v>
      </c>
    </row>
    <row r="35" spans="1:25" s="658" customFormat="1" ht="31.5">
      <c r="A35" s="744">
        <v>3</v>
      </c>
      <c r="B35" s="753" t="s">
        <v>1420</v>
      </c>
      <c r="C35" s="738" t="s">
        <v>777</v>
      </c>
      <c r="D35" s="746" t="s">
        <v>1421</v>
      </c>
      <c r="E35" s="747">
        <v>28590000000</v>
      </c>
      <c r="F35" s="747"/>
      <c r="G35" s="747"/>
      <c r="H35" s="747"/>
      <c r="I35" s="747"/>
      <c r="J35" s="747"/>
      <c r="K35" s="747"/>
      <c r="L35" s="747"/>
      <c r="M35" s="747"/>
      <c r="N35" s="747"/>
      <c r="O35" s="747"/>
      <c r="P35" s="747">
        <v>1761000000</v>
      </c>
      <c r="Q35" s="747">
        <f t="shared" si="6"/>
        <v>1760318000</v>
      </c>
      <c r="R35" s="747">
        <v>1760318000</v>
      </c>
      <c r="S35" s="747"/>
      <c r="T35" s="747"/>
      <c r="U35" s="747">
        <f t="shared" si="7"/>
        <v>682000</v>
      </c>
      <c r="V35" s="747">
        <f t="shared" si="8"/>
        <v>1760318000</v>
      </c>
      <c r="W35" s="747">
        <f t="shared" si="9"/>
        <v>0</v>
      </c>
      <c r="X35" s="747">
        <f>F35+K35+Q35</f>
        <v>1760318000</v>
      </c>
      <c r="Y35" s="670" t="s">
        <v>1422</v>
      </c>
    </row>
    <row r="36" spans="1:25" s="660" customFormat="1">
      <c r="A36" s="736" t="s">
        <v>118</v>
      </c>
      <c r="B36" s="737" t="s">
        <v>31</v>
      </c>
      <c r="C36" s="729" t="s">
        <v>777</v>
      </c>
      <c r="D36" s="739"/>
      <c r="E36" s="731">
        <f>E37+E44</f>
        <v>1811706000000</v>
      </c>
      <c r="F36" s="731">
        <f t="shared" ref="F36:X36" si="17">F37+F44</f>
        <v>30131744209</v>
      </c>
      <c r="G36" s="731">
        <f t="shared" si="17"/>
        <v>15152301958</v>
      </c>
      <c r="H36" s="731">
        <f t="shared" si="17"/>
        <v>15000000</v>
      </c>
      <c r="I36" s="731">
        <f t="shared" si="17"/>
        <v>9186000000</v>
      </c>
      <c r="J36" s="731">
        <f t="shared" si="17"/>
        <v>376000000</v>
      </c>
      <c r="K36" s="731">
        <f t="shared" si="17"/>
        <v>376000000</v>
      </c>
      <c r="L36" s="731">
        <f t="shared" si="17"/>
        <v>376000000</v>
      </c>
      <c r="M36" s="731">
        <f t="shared" si="17"/>
        <v>0</v>
      </c>
      <c r="N36" s="731">
        <f t="shared" si="17"/>
        <v>0</v>
      </c>
      <c r="O36" s="731">
        <f t="shared" si="17"/>
        <v>0</v>
      </c>
      <c r="P36" s="731">
        <f t="shared" si="17"/>
        <v>99306000000</v>
      </c>
      <c r="Q36" s="731">
        <f t="shared" si="17"/>
        <v>99304360000</v>
      </c>
      <c r="R36" s="731">
        <f t="shared" si="17"/>
        <v>83147269520</v>
      </c>
      <c r="S36" s="731">
        <f t="shared" si="17"/>
        <v>16157090480</v>
      </c>
      <c r="T36" s="731">
        <f t="shared" si="17"/>
        <v>0</v>
      </c>
      <c r="U36" s="731">
        <f t="shared" si="17"/>
        <v>1640000</v>
      </c>
      <c r="V36" s="731">
        <f t="shared" si="17"/>
        <v>92709269520</v>
      </c>
      <c r="W36" s="731">
        <f t="shared" si="17"/>
        <v>22108392438</v>
      </c>
      <c r="X36" s="731">
        <f t="shared" si="17"/>
        <v>129797104209</v>
      </c>
      <c r="Y36" s="662"/>
    </row>
    <row r="37" spans="1:25" s="660" customFormat="1" ht="21">
      <c r="A37" s="736" t="s">
        <v>254</v>
      </c>
      <c r="B37" s="737" t="s">
        <v>1392</v>
      </c>
      <c r="C37" s="729"/>
      <c r="D37" s="739"/>
      <c r="E37" s="731">
        <f>E38</f>
        <v>1756248000000</v>
      </c>
      <c r="F37" s="731">
        <f t="shared" ref="F37:X37" si="18">F38</f>
        <v>19895548209</v>
      </c>
      <c r="G37" s="731">
        <f t="shared" si="18"/>
        <v>6351301958</v>
      </c>
      <c r="H37" s="731">
        <f t="shared" si="18"/>
        <v>0</v>
      </c>
      <c r="I37" s="731">
        <f t="shared" si="18"/>
        <v>400000000</v>
      </c>
      <c r="J37" s="731">
        <f t="shared" si="18"/>
        <v>0</v>
      </c>
      <c r="K37" s="731">
        <f t="shared" si="18"/>
        <v>0</v>
      </c>
      <c r="L37" s="731">
        <f t="shared" si="18"/>
        <v>0</v>
      </c>
      <c r="M37" s="731">
        <f t="shared" si="18"/>
        <v>0</v>
      </c>
      <c r="N37" s="731">
        <f t="shared" si="18"/>
        <v>0</v>
      </c>
      <c r="O37" s="731">
        <f t="shared" si="18"/>
        <v>0</v>
      </c>
      <c r="P37" s="731">
        <f t="shared" si="18"/>
        <v>82078000000</v>
      </c>
      <c r="Q37" s="731">
        <f t="shared" si="18"/>
        <v>82077034000</v>
      </c>
      <c r="R37" s="731">
        <f t="shared" si="18"/>
        <v>65919943520</v>
      </c>
      <c r="S37" s="731">
        <f t="shared" si="18"/>
        <v>16157090480</v>
      </c>
      <c r="T37" s="731">
        <f t="shared" si="18"/>
        <v>0</v>
      </c>
      <c r="U37" s="731">
        <f t="shared" si="18"/>
        <v>966000</v>
      </c>
      <c r="V37" s="731">
        <f t="shared" si="18"/>
        <v>66319943520</v>
      </c>
      <c r="W37" s="731">
        <f t="shared" si="18"/>
        <v>22108392438</v>
      </c>
      <c r="X37" s="731">
        <f t="shared" si="18"/>
        <v>101972582209</v>
      </c>
      <c r="Y37" s="667"/>
    </row>
    <row r="38" spans="1:25" s="663" customFormat="1" ht="63" customHeight="1">
      <c r="A38" s="740" t="s">
        <v>1393</v>
      </c>
      <c r="B38" s="741" t="s">
        <v>1394</v>
      </c>
      <c r="C38" s="750"/>
      <c r="D38" s="756"/>
      <c r="E38" s="743">
        <f>SUM(E39:E43)</f>
        <v>1756248000000</v>
      </c>
      <c r="F38" s="743">
        <f t="shared" ref="F38:X38" si="19">SUM(F39:F43)</f>
        <v>19895548209</v>
      </c>
      <c r="G38" s="743">
        <f t="shared" si="19"/>
        <v>6351301958</v>
      </c>
      <c r="H38" s="743">
        <f t="shared" si="19"/>
        <v>0</v>
      </c>
      <c r="I38" s="743">
        <f t="shared" si="19"/>
        <v>400000000</v>
      </c>
      <c r="J38" s="743">
        <f t="shared" si="19"/>
        <v>0</v>
      </c>
      <c r="K38" s="743">
        <f t="shared" si="19"/>
        <v>0</v>
      </c>
      <c r="L38" s="743">
        <f t="shared" si="19"/>
        <v>0</v>
      </c>
      <c r="M38" s="743">
        <f t="shared" si="19"/>
        <v>0</v>
      </c>
      <c r="N38" s="743">
        <f t="shared" si="19"/>
        <v>0</v>
      </c>
      <c r="O38" s="743">
        <f t="shared" si="19"/>
        <v>0</v>
      </c>
      <c r="P38" s="743">
        <f t="shared" si="19"/>
        <v>82078000000</v>
      </c>
      <c r="Q38" s="743">
        <f t="shared" si="19"/>
        <v>82077034000</v>
      </c>
      <c r="R38" s="743">
        <f t="shared" si="19"/>
        <v>65919943520</v>
      </c>
      <c r="S38" s="743">
        <f t="shared" si="19"/>
        <v>16157090480</v>
      </c>
      <c r="T38" s="743">
        <f t="shared" si="19"/>
        <v>0</v>
      </c>
      <c r="U38" s="743">
        <f t="shared" si="19"/>
        <v>966000</v>
      </c>
      <c r="V38" s="743">
        <f t="shared" si="19"/>
        <v>66319943520</v>
      </c>
      <c r="W38" s="743">
        <f t="shared" si="19"/>
        <v>22108392438</v>
      </c>
      <c r="X38" s="743">
        <f t="shared" si="19"/>
        <v>101972582209</v>
      </c>
      <c r="Y38" s="668"/>
    </row>
    <row r="39" spans="1:25" s="658" customFormat="1" ht="33.75">
      <c r="A39" s="752" t="s">
        <v>104</v>
      </c>
      <c r="B39" s="757" t="s">
        <v>1423</v>
      </c>
      <c r="C39" s="738" t="s">
        <v>777</v>
      </c>
      <c r="D39" s="758">
        <v>7199192</v>
      </c>
      <c r="E39" s="747">
        <v>1204455000000</v>
      </c>
      <c r="F39" s="747">
        <v>6952410014</v>
      </c>
      <c r="G39" s="747">
        <v>4847301958</v>
      </c>
      <c r="H39" s="747"/>
      <c r="I39" s="747"/>
      <c r="J39" s="747"/>
      <c r="K39" s="747"/>
      <c r="L39" s="747"/>
      <c r="M39" s="747"/>
      <c r="N39" s="747"/>
      <c r="O39" s="747"/>
      <c r="P39" s="747">
        <v>10040000000</v>
      </c>
      <c r="Q39" s="747">
        <f t="shared" si="6"/>
        <v>10040000000</v>
      </c>
      <c r="R39" s="747">
        <v>10032067520</v>
      </c>
      <c r="S39" s="747">
        <v>7932480</v>
      </c>
      <c r="T39" s="747"/>
      <c r="U39" s="747">
        <f t="shared" si="7"/>
        <v>0</v>
      </c>
      <c r="V39" s="747">
        <f t="shared" si="8"/>
        <v>10032067520</v>
      </c>
      <c r="W39" s="747">
        <f t="shared" si="9"/>
        <v>4855234438</v>
      </c>
      <c r="X39" s="747">
        <f>F39+K39+Q39</f>
        <v>16992410014</v>
      </c>
      <c r="Y39" s="671" t="s">
        <v>1424</v>
      </c>
    </row>
    <row r="40" spans="1:25" s="658" customFormat="1" ht="22.5">
      <c r="A40" s="752" t="s">
        <v>105</v>
      </c>
      <c r="B40" s="757" t="s">
        <v>33</v>
      </c>
      <c r="C40" s="738" t="s">
        <v>777</v>
      </c>
      <c r="D40" s="746">
        <v>7004105</v>
      </c>
      <c r="E40" s="747">
        <v>124200000000</v>
      </c>
      <c r="F40" s="747">
        <v>105377195</v>
      </c>
      <c r="G40" s="747">
        <v>24000000</v>
      </c>
      <c r="H40" s="747"/>
      <c r="I40" s="747"/>
      <c r="J40" s="747"/>
      <c r="K40" s="747"/>
      <c r="L40" s="747"/>
      <c r="M40" s="747"/>
      <c r="N40" s="747"/>
      <c r="O40" s="747"/>
      <c r="P40" s="747">
        <v>10777000000</v>
      </c>
      <c r="Q40" s="747">
        <f t="shared" si="6"/>
        <v>10777000000</v>
      </c>
      <c r="R40" s="747">
        <v>10777000000</v>
      </c>
      <c r="S40" s="747"/>
      <c r="T40" s="747"/>
      <c r="U40" s="747">
        <f t="shared" si="7"/>
        <v>0</v>
      </c>
      <c r="V40" s="747">
        <f t="shared" si="8"/>
        <v>10777000000</v>
      </c>
      <c r="W40" s="747">
        <f t="shared" si="9"/>
        <v>24000000</v>
      </c>
      <c r="X40" s="747">
        <f>F40+K40+Q40</f>
        <v>10882377195</v>
      </c>
      <c r="Y40" s="671" t="s">
        <v>1425</v>
      </c>
    </row>
    <row r="41" spans="1:25" s="658" customFormat="1" ht="31.5">
      <c r="A41" s="752" t="s">
        <v>106</v>
      </c>
      <c r="B41" s="753" t="s">
        <v>1426</v>
      </c>
      <c r="C41" s="738" t="s">
        <v>777</v>
      </c>
      <c r="D41" s="746" t="s">
        <v>34</v>
      </c>
      <c r="E41" s="747">
        <v>231080000000</v>
      </c>
      <c r="F41" s="747">
        <v>10000000000</v>
      </c>
      <c r="G41" s="747"/>
      <c r="H41" s="747"/>
      <c r="I41" s="747"/>
      <c r="J41" s="747"/>
      <c r="K41" s="747"/>
      <c r="L41" s="747"/>
      <c r="M41" s="747"/>
      <c r="N41" s="747"/>
      <c r="O41" s="747"/>
      <c r="P41" s="747">
        <v>41975000000</v>
      </c>
      <c r="Q41" s="747">
        <f t="shared" si="6"/>
        <v>41974034000</v>
      </c>
      <c r="R41" s="747">
        <v>41974034000</v>
      </c>
      <c r="S41" s="747"/>
      <c r="T41" s="747"/>
      <c r="U41" s="747">
        <f t="shared" si="7"/>
        <v>966000</v>
      </c>
      <c r="V41" s="747">
        <f t="shared" si="8"/>
        <v>41974034000</v>
      </c>
      <c r="W41" s="747">
        <f t="shared" si="9"/>
        <v>0</v>
      </c>
      <c r="X41" s="747">
        <f>F41+K41+Q41</f>
        <v>51974034000</v>
      </c>
      <c r="Y41" s="670" t="s">
        <v>1424</v>
      </c>
    </row>
    <row r="42" spans="1:25" s="658" customFormat="1" ht="31.5">
      <c r="A42" s="752" t="s">
        <v>128</v>
      </c>
      <c r="B42" s="753" t="s">
        <v>415</v>
      </c>
      <c r="C42" s="738" t="s">
        <v>777</v>
      </c>
      <c r="D42" s="758" t="s">
        <v>416</v>
      </c>
      <c r="E42" s="747">
        <v>191301000000</v>
      </c>
      <c r="F42" s="747">
        <v>2837761000</v>
      </c>
      <c r="G42" s="747">
        <v>1480000000</v>
      </c>
      <c r="H42" s="747"/>
      <c r="I42" s="747">
        <v>400000000</v>
      </c>
      <c r="J42" s="747"/>
      <c r="K42" s="747"/>
      <c r="L42" s="747"/>
      <c r="M42" s="747"/>
      <c r="N42" s="747"/>
      <c r="O42" s="747"/>
      <c r="P42" s="747">
        <v>17000000000</v>
      </c>
      <c r="Q42" s="747">
        <f t="shared" si="6"/>
        <v>17000000000</v>
      </c>
      <c r="R42" s="747">
        <v>850842000</v>
      </c>
      <c r="S42" s="747">
        <v>16149158000</v>
      </c>
      <c r="T42" s="747"/>
      <c r="U42" s="747">
        <f t="shared" si="7"/>
        <v>0</v>
      </c>
      <c r="V42" s="747">
        <f t="shared" si="8"/>
        <v>1250842000</v>
      </c>
      <c r="W42" s="747">
        <f t="shared" si="9"/>
        <v>17229158000</v>
      </c>
      <c r="X42" s="747">
        <f>F42+K42+Q42</f>
        <v>19837761000</v>
      </c>
      <c r="Y42" s="670" t="s">
        <v>1427</v>
      </c>
    </row>
    <row r="43" spans="1:25" s="658" customFormat="1" ht="31.5">
      <c r="A43" s="752" t="s">
        <v>359</v>
      </c>
      <c r="B43" s="753" t="s">
        <v>1428</v>
      </c>
      <c r="C43" s="738" t="s">
        <v>777</v>
      </c>
      <c r="D43" s="758" t="s">
        <v>1429</v>
      </c>
      <c r="E43" s="747">
        <v>5212000000</v>
      </c>
      <c r="F43" s="747"/>
      <c r="G43" s="747"/>
      <c r="H43" s="747"/>
      <c r="I43" s="747"/>
      <c r="J43" s="747"/>
      <c r="K43" s="747"/>
      <c r="L43" s="747"/>
      <c r="M43" s="747"/>
      <c r="N43" s="747"/>
      <c r="O43" s="747"/>
      <c r="P43" s="747">
        <v>2286000000</v>
      </c>
      <c r="Q43" s="747">
        <f t="shared" si="6"/>
        <v>2286000000</v>
      </c>
      <c r="R43" s="747">
        <v>2286000000</v>
      </c>
      <c r="S43" s="747"/>
      <c r="T43" s="747"/>
      <c r="U43" s="747">
        <f t="shared" si="7"/>
        <v>0</v>
      </c>
      <c r="V43" s="747">
        <f t="shared" si="8"/>
        <v>2286000000</v>
      </c>
      <c r="W43" s="747">
        <f t="shared" si="9"/>
        <v>0</v>
      </c>
      <c r="X43" s="747">
        <f>F43+K43+Q43</f>
        <v>2286000000</v>
      </c>
      <c r="Y43" s="670" t="s">
        <v>1424</v>
      </c>
    </row>
    <row r="44" spans="1:25" s="660" customFormat="1">
      <c r="A44" s="759" t="s">
        <v>256</v>
      </c>
      <c r="B44" s="760" t="s">
        <v>1430</v>
      </c>
      <c r="C44" s="729" t="s">
        <v>777</v>
      </c>
      <c r="D44" s="730"/>
      <c r="E44" s="731">
        <f>E45</f>
        <v>55458000000</v>
      </c>
      <c r="F44" s="731">
        <f t="shared" ref="F44:X44" si="20">F45</f>
        <v>10236196000</v>
      </c>
      <c r="G44" s="731">
        <f t="shared" si="20"/>
        <v>8801000000</v>
      </c>
      <c r="H44" s="731">
        <f t="shared" si="20"/>
        <v>15000000</v>
      </c>
      <c r="I44" s="731">
        <f t="shared" si="20"/>
        <v>8786000000</v>
      </c>
      <c r="J44" s="731">
        <f t="shared" si="20"/>
        <v>376000000</v>
      </c>
      <c r="K44" s="731">
        <f t="shared" si="20"/>
        <v>376000000</v>
      </c>
      <c r="L44" s="731">
        <f t="shared" si="20"/>
        <v>376000000</v>
      </c>
      <c r="M44" s="731">
        <f t="shared" si="20"/>
        <v>0</v>
      </c>
      <c r="N44" s="731">
        <f t="shared" si="20"/>
        <v>0</v>
      </c>
      <c r="O44" s="731">
        <f t="shared" si="20"/>
        <v>0</v>
      </c>
      <c r="P44" s="731">
        <f t="shared" si="20"/>
        <v>17228000000</v>
      </c>
      <c r="Q44" s="731">
        <f t="shared" si="20"/>
        <v>17227326000</v>
      </c>
      <c r="R44" s="731">
        <f t="shared" si="20"/>
        <v>17227326000</v>
      </c>
      <c r="S44" s="731">
        <f t="shared" si="20"/>
        <v>0</v>
      </c>
      <c r="T44" s="731">
        <f t="shared" si="20"/>
        <v>0</v>
      </c>
      <c r="U44" s="731">
        <f t="shared" si="20"/>
        <v>674000</v>
      </c>
      <c r="V44" s="731">
        <f t="shared" si="20"/>
        <v>26389326000</v>
      </c>
      <c r="W44" s="731">
        <f t="shared" si="20"/>
        <v>0</v>
      </c>
      <c r="X44" s="731">
        <f t="shared" si="20"/>
        <v>27824522000</v>
      </c>
      <c r="Y44" s="672"/>
    </row>
    <row r="45" spans="1:25" s="663" customFormat="1" ht="22.5">
      <c r="A45" s="761" t="s">
        <v>1393</v>
      </c>
      <c r="B45" s="762" t="s">
        <v>1431</v>
      </c>
      <c r="C45" s="750" t="s">
        <v>777</v>
      </c>
      <c r="D45" s="756"/>
      <c r="E45" s="743">
        <f>SUM(E46:E47)</f>
        <v>55458000000</v>
      </c>
      <c r="F45" s="743">
        <f t="shared" ref="F45:X45" si="21">SUM(F46:F47)</f>
        <v>10236196000</v>
      </c>
      <c r="G45" s="743">
        <f t="shared" si="21"/>
        <v>8801000000</v>
      </c>
      <c r="H45" s="743">
        <f t="shared" si="21"/>
        <v>15000000</v>
      </c>
      <c r="I45" s="743">
        <f t="shared" si="21"/>
        <v>8786000000</v>
      </c>
      <c r="J45" s="743">
        <f t="shared" si="21"/>
        <v>376000000</v>
      </c>
      <c r="K45" s="743">
        <f t="shared" si="21"/>
        <v>376000000</v>
      </c>
      <c r="L45" s="743">
        <f t="shared" si="21"/>
        <v>376000000</v>
      </c>
      <c r="M45" s="743">
        <f t="shared" si="21"/>
        <v>0</v>
      </c>
      <c r="N45" s="743">
        <f t="shared" si="21"/>
        <v>0</v>
      </c>
      <c r="O45" s="743">
        <f t="shared" si="21"/>
        <v>0</v>
      </c>
      <c r="P45" s="743">
        <f t="shared" si="21"/>
        <v>17228000000</v>
      </c>
      <c r="Q45" s="743">
        <f t="shared" si="21"/>
        <v>17227326000</v>
      </c>
      <c r="R45" s="743">
        <f t="shared" si="21"/>
        <v>17227326000</v>
      </c>
      <c r="S45" s="743">
        <f t="shared" si="21"/>
        <v>0</v>
      </c>
      <c r="T45" s="743">
        <f t="shared" si="21"/>
        <v>0</v>
      </c>
      <c r="U45" s="743">
        <f t="shared" si="21"/>
        <v>674000</v>
      </c>
      <c r="V45" s="743">
        <f t="shared" si="21"/>
        <v>26389326000</v>
      </c>
      <c r="W45" s="743">
        <f t="shared" si="21"/>
        <v>0</v>
      </c>
      <c r="X45" s="743">
        <f t="shared" si="21"/>
        <v>27824522000</v>
      </c>
      <c r="Y45" s="673"/>
    </row>
    <row r="46" spans="1:25" s="658" customFormat="1" ht="33.75">
      <c r="A46" s="763">
        <v>1</v>
      </c>
      <c r="B46" s="757" t="s">
        <v>782</v>
      </c>
      <c r="C46" s="738" t="s">
        <v>777</v>
      </c>
      <c r="D46" s="746" t="s">
        <v>417</v>
      </c>
      <c r="E46" s="747">
        <v>43644000000</v>
      </c>
      <c r="F46" s="747">
        <v>8239000000</v>
      </c>
      <c r="G46" s="747">
        <v>8239000000</v>
      </c>
      <c r="H46" s="747"/>
      <c r="I46" s="747">
        <v>8239000000</v>
      </c>
      <c r="J46" s="747">
        <v>376000000</v>
      </c>
      <c r="K46" s="747">
        <v>376000000</v>
      </c>
      <c r="L46" s="747">
        <v>376000000</v>
      </c>
      <c r="M46" s="747"/>
      <c r="N46" s="747"/>
      <c r="O46" s="747"/>
      <c r="P46" s="747">
        <v>15359000000</v>
      </c>
      <c r="Q46" s="747">
        <f t="shared" si="6"/>
        <v>15359000000</v>
      </c>
      <c r="R46" s="747">
        <v>15359000000</v>
      </c>
      <c r="S46" s="747"/>
      <c r="T46" s="747"/>
      <c r="U46" s="747">
        <f t="shared" si="7"/>
        <v>0</v>
      </c>
      <c r="V46" s="747">
        <f t="shared" si="8"/>
        <v>23974000000</v>
      </c>
      <c r="W46" s="747">
        <f t="shared" si="9"/>
        <v>0</v>
      </c>
      <c r="X46" s="747">
        <f>F46+K46+Q46</f>
        <v>23974000000</v>
      </c>
      <c r="Y46" s="670" t="s">
        <v>1432</v>
      </c>
    </row>
    <row r="47" spans="1:25" s="658" customFormat="1" ht="31.5">
      <c r="A47" s="763">
        <v>2</v>
      </c>
      <c r="B47" s="753" t="s">
        <v>1433</v>
      </c>
      <c r="C47" s="738" t="s">
        <v>777</v>
      </c>
      <c r="D47" s="746" t="s">
        <v>786</v>
      </c>
      <c r="E47" s="747">
        <v>11814000000</v>
      </c>
      <c r="F47" s="747">
        <v>1997196000</v>
      </c>
      <c r="G47" s="747">
        <v>562000000</v>
      </c>
      <c r="H47" s="747">
        <v>15000000</v>
      </c>
      <c r="I47" s="747">
        <v>547000000</v>
      </c>
      <c r="J47" s="747"/>
      <c r="K47" s="747"/>
      <c r="L47" s="747"/>
      <c r="M47" s="747"/>
      <c r="N47" s="747"/>
      <c r="O47" s="747"/>
      <c r="P47" s="747">
        <v>1869000000</v>
      </c>
      <c r="Q47" s="747">
        <f t="shared" si="6"/>
        <v>1868326000</v>
      </c>
      <c r="R47" s="747">
        <v>1868326000</v>
      </c>
      <c r="S47" s="747"/>
      <c r="T47" s="747"/>
      <c r="U47" s="747">
        <f t="shared" si="7"/>
        <v>674000</v>
      </c>
      <c r="V47" s="747">
        <f t="shared" si="8"/>
        <v>2415326000</v>
      </c>
      <c r="W47" s="747">
        <f t="shared" si="9"/>
        <v>0</v>
      </c>
      <c r="X47" s="747">
        <f>F47+K47+Q47-H47</f>
        <v>3850522000</v>
      </c>
      <c r="Y47" s="674" t="s">
        <v>1424</v>
      </c>
    </row>
    <row r="48" spans="1:25" s="660" customFormat="1">
      <c r="A48" s="759" t="s">
        <v>320</v>
      </c>
      <c r="B48" s="737" t="s">
        <v>1434</v>
      </c>
      <c r="C48" s="729" t="s">
        <v>777</v>
      </c>
      <c r="D48" s="739"/>
      <c r="E48" s="731">
        <f>E49+E52</f>
        <v>102252000000</v>
      </c>
      <c r="F48" s="731">
        <f t="shared" ref="F48:X48" si="22">F49+F52</f>
        <v>20040294000</v>
      </c>
      <c r="G48" s="731">
        <f t="shared" si="22"/>
        <v>75847102</v>
      </c>
      <c r="H48" s="731">
        <f t="shared" si="22"/>
        <v>0</v>
      </c>
      <c r="I48" s="731">
        <f t="shared" si="22"/>
        <v>75847102</v>
      </c>
      <c r="J48" s="731">
        <f t="shared" si="22"/>
        <v>0</v>
      </c>
      <c r="K48" s="731">
        <f t="shared" si="22"/>
        <v>0</v>
      </c>
      <c r="L48" s="731">
        <f t="shared" si="22"/>
        <v>0</v>
      </c>
      <c r="M48" s="731">
        <f t="shared" si="22"/>
        <v>0</v>
      </c>
      <c r="N48" s="731">
        <f t="shared" si="22"/>
        <v>0</v>
      </c>
      <c r="O48" s="731">
        <f t="shared" si="22"/>
        <v>0</v>
      </c>
      <c r="P48" s="731">
        <f t="shared" si="22"/>
        <v>40933000000</v>
      </c>
      <c r="Q48" s="731">
        <f t="shared" si="22"/>
        <v>40932584000</v>
      </c>
      <c r="R48" s="731">
        <f t="shared" si="22"/>
        <v>40932584000</v>
      </c>
      <c r="S48" s="731">
        <f t="shared" si="22"/>
        <v>0</v>
      </c>
      <c r="T48" s="731">
        <f t="shared" si="22"/>
        <v>0</v>
      </c>
      <c r="U48" s="731">
        <f t="shared" si="22"/>
        <v>416000</v>
      </c>
      <c r="V48" s="731">
        <f t="shared" si="22"/>
        <v>41008431102</v>
      </c>
      <c r="W48" s="731">
        <f t="shared" si="22"/>
        <v>0</v>
      </c>
      <c r="X48" s="731">
        <f t="shared" si="22"/>
        <v>60972878000</v>
      </c>
      <c r="Y48" s="672"/>
    </row>
    <row r="49" spans="1:25" s="660" customFormat="1" ht="21">
      <c r="A49" s="736" t="s">
        <v>254</v>
      </c>
      <c r="B49" s="737" t="s">
        <v>1392</v>
      </c>
      <c r="C49" s="729" t="s">
        <v>777</v>
      </c>
      <c r="D49" s="730"/>
      <c r="E49" s="731">
        <f>E50</f>
        <v>13585000000</v>
      </c>
      <c r="F49" s="731">
        <f t="shared" ref="F49:U50" si="23">F50</f>
        <v>0</v>
      </c>
      <c r="G49" s="731">
        <f t="shared" si="23"/>
        <v>0</v>
      </c>
      <c r="H49" s="731">
        <f t="shared" si="23"/>
        <v>0</v>
      </c>
      <c r="I49" s="731">
        <f t="shared" si="23"/>
        <v>0</v>
      </c>
      <c r="J49" s="731">
        <f t="shared" si="23"/>
        <v>0</v>
      </c>
      <c r="K49" s="731">
        <f t="shared" si="23"/>
        <v>0</v>
      </c>
      <c r="L49" s="731">
        <f t="shared" si="23"/>
        <v>0</v>
      </c>
      <c r="M49" s="731">
        <f t="shared" si="23"/>
        <v>0</v>
      </c>
      <c r="N49" s="731">
        <f t="shared" si="23"/>
        <v>0</v>
      </c>
      <c r="O49" s="731">
        <f t="shared" si="23"/>
        <v>0</v>
      </c>
      <c r="P49" s="731">
        <f t="shared" si="23"/>
        <v>5933000000</v>
      </c>
      <c r="Q49" s="731">
        <f t="shared" si="23"/>
        <v>5932584000</v>
      </c>
      <c r="R49" s="731">
        <f t="shared" si="23"/>
        <v>5932584000</v>
      </c>
      <c r="S49" s="731">
        <f t="shared" si="23"/>
        <v>0</v>
      </c>
      <c r="T49" s="731">
        <f t="shared" si="23"/>
        <v>0</v>
      </c>
      <c r="U49" s="731">
        <f t="shared" si="23"/>
        <v>416000</v>
      </c>
      <c r="V49" s="731">
        <f t="shared" ref="Q49:X50" si="24">V50</f>
        <v>5932584000</v>
      </c>
      <c r="W49" s="731">
        <f t="shared" si="24"/>
        <v>0</v>
      </c>
      <c r="X49" s="731">
        <f t="shared" si="24"/>
        <v>5932584000</v>
      </c>
      <c r="Y49" s="667"/>
    </row>
    <row r="50" spans="1:25" s="663" customFormat="1" ht="22.5">
      <c r="A50" s="740" t="s">
        <v>1393</v>
      </c>
      <c r="B50" s="741" t="s">
        <v>1435</v>
      </c>
      <c r="C50" s="750" t="s">
        <v>777</v>
      </c>
      <c r="D50" s="742"/>
      <c r="E50" s="743">
        <f>E51</f>
        <v>13585000000</v>
      </c>
      <c r="F50" s="743">
        <f t="shared" si="23"/>
        <v>0</v>
      </c>
      <c r="G50" s="743">
        <f t="shared" si="23"/>
        <v>0</v>
      </c>
      <c r="H50" s="743">
        <f t="shared" si="23"/>
        <v>0</v>
      </c>
      <c r="I50" s="743">
        <f t="shared" si="23"/>
        <v>0</v>
      </c>
      <c r="J50" s="743">
        <f t="shared" si="23"/>
        <v>0</v>
      </c>
      <c r="K50" s="743">
        <f t="shared" si="23"/>
        <v>0</v>
      </c>
      <c r="L50" s="743">
        <f t="shared" si="23"/>
        <v>0</v>
      </c>
      <c r="M50" s="743">
        <f t="shared" si="23"/>
        <v>0</v>
      </c>
      <c r="N50" s="743">
        <f t="shared" si="23"/>
        <v>0</v>
      </c>
      <c r="O50" s="743">
        <f t="shared" si="23"/>
        <v>0</v>
      </c>
      <c r="P50" s="743">
        <f t="shared" si="23"/>
        <v>5933000000</v>
      </c>
      <c r="Q50" s="743">
        <f t="shared" si="24"/>
        <v>5932584000</v>
      </c>
      <c r="R50" s="743">
        <f t="shared" si="24"/>
        <v>5932584000</v>
      </c>
      <c r="S50" s="743">
        <f t="shared" si="24"/>
        <v>0</v>
      </c>
      <c r="T50" s="743">
        <f t="shared" si="24"/>
        <v>0</v>
      </c>
      <c r="U50" s="743">
        <f t="shared" si="24"/>
        <v>416000</v>
      </c>
      <c r="V50" s="743">
        <f t="shared" si="24"/>
        <v>5932584000</v>
      </c>
      <c r="W50" s="743">
        <f t="shared" si="24"/>
        <v>0</v>
      </c>
      <c r="X50" s="743">
        <f t="shared" si="24"/>
        <v>5932584000</v>
      </c>
      <c r="Y50" s="668"/>
    </row>
    <row r="51" spans="1:25" s="658" customFormat="1" ht="63">
      <c r="A51" s="744">
        <v>1</v>
      </c>
      <c r="B51" s="753" t="s">
        <v>2706</v>
      </c>
      <c r="C51" s="738" t="s">
        <v>777</v>
      </c>
      <c r="D51" s="758" t="s">
        <v>1436</v>
      </c>
      <c r="E51" s="747">
        <v>13585000000</v>
      </c>
      <c r="F51" s="747"/>
      <c r="G51" s="747"/>
      <c r="H51" s="747"/>
      <c r="I51" s="747"/>
      <c r="J51" s="747"/>
      <c r="K51" s="747"/>
      <c r="L51" s="747"/>
      <c r="M51" s="747"/>
      <c r="N51" s="747"/>
      <c r="O51" s="747"/>
      <c r="P51" s="747">
        <v>5933000000</v>
      </c>
      <c r="Q51" s="747">
        <f t="shared" si="6"/>
        <v>5932584000</v>
      </c>
      <c r="R51" s="747">
        <v>5932584000</v>
      </c>
      <c r="S51" s="747"/>
      <c r="T51" s="747"/>
      <c r="U51" s="747">
        <f t="shared" si="7"/>
        <v>416000</v>
      </c>
      <c r="V51" s="747">
        <f t="shared" si="8"/>
        <v>5932584000</v>
      </c>
      <c r="W51" s="747">
        <f t="shared" si="9"/>
        <v>0</v>
      </c>
      <c r="X51" s="747">
        <f>F51+K51+Q51</f>
        <v>5932584000</v>
      </c>
      <c r="Y51" s="670" t="s">
        <v>1437</v>
      </c>
    </row>
    <row r="52" spans="1:25" s="660" customFormat="1">
      <c r="A52" s="736" t="s">
        <v>256</v>
      </c>
      <c r="B52" s="737" t="s">
        <v>1430</v>
      </c>
      <c r="C52" s="729" t="s">
        <v>777</v>
      </c>
      <c r="D52" s="739"/>
      <c r="E52" s="731">
        <f>E53</f>
        <v>88667000000</v>
      </c>
      <c r="F52" s="731">
        <f t="shared" ref="F52:X52" si="25">F53</f>
        <v>20040294000</v>
      </c>
      <c r="G52" s="731">
        <f t="shared" si="25"/>
        <v>75847102</v>
      </c>
      <c r="H52" s="731">
        <f t="shared" si="25"/>
        <v>0</v>
      </c>
      <c r="I52" s="731">
        <f t="shared" si="25"/>
        <v>75847102</v>
      </c>
      <c r="J52" s="731">
        <f t="shared" si="25"/>
        <v>0</v>
      </c>
      <c r="K52" s="731">
        <f t="shared" si="25"/>
        <v>0</v>
      </c>
      <c r="L52" s="731">
        <f t="shared" si="25"/>
        <v>0</v>
      </c>
      <c r="M52" s="731">
        <f t="shared" si="25"/>
        <v>0</v>
      </c>
      <c r="N52" s="731">
        <f t="shared" si="25"/>
        <v>0</v>
      </c>
      <c r="O52" s="731">
        <f t="shared" si="25"/>
        <v>0</v>
      </c>
      <c r="P52" s="731">
        <f t="shared" si="25"/>
        <v>35000000000</v>
      </c>
      <c r="Q52" s="731">
        <f t="shared" si="25"/>
        <v>35000000000</v>
      </c>
      <c r="R52" s="731">
        <f t="shared" si="25"/>
        <v>35000000000</v>
      </c>
      <c r="S52" s="731">
        <f t="shared" si="25"/>
        <v>0</v>
      </c>
      <c r="T52" s="731">
        <f t="shared" si="25"/>
        <v>0</v>
      </c>
      <c r="U52" s="731">
        <f t="shared" si="25"/>
        <v>0</v>
      </c>
      <c r="V52" s="731">
        <f t="shared" si="25"/>
        <v>35075847102</v>
      </c>
      <c r="W52" s="731">
        <f t="shared" si="25"/>
        <v>0</v>
      </c>
      <c r="X52" s="731">
        <f t="shared" si="25"/>
        <v>55040294000</v>
      </c>
      <c r="Y52" s="662"/>
    </row>
    <row r="53" spans="1:25" s="663" customFormat="1" ht="22.5">
      <c r="A53" s="740" t="s">
        <v>1393</v>
      </c>
      <c r="B53" s="741" t="s">
        <v>1438</v>
      </c>
      <c r="C53" s="750" t="s">
        <v>777</v>
      </c>
      <c r="D53" s="742"/>
      <c r="E53" s="743">
        <f>SUM(E54:E56)</f>
        <v>88667000000</v>
      </c>
      <c r="F53" s="743">
        <f t="shared" ref="F53:X53" si="26">SUM(F54:F56)</f>
        <v>20040294000</v>
      </c>
      <c r="G53" s="743">
        <f t="shared" si="26"/>
        <v>75847102</v>
      </c>
      <c r="H53" s="743">
        <f t="shared" si="26"/>
        <v>0</v>
      </c>
      <c r="I53" s="743">
        <f t="shared" si="26"/>
        <v>75847102</v>
      </c>
      <c r="J53" s="743">
        <f t="shared" si="26"/>
        <v>0</v>
      </c>
      <c r="K53" s="743">
        <f t="shared" si="26"/>
        <v>0</v>
      </c>
      <c r="L53" s="743">
        <f t="shared" si="26"/>
        <v>0</v>
      </c>
      <c r="M53" s="743">
        <f t="shared" si="26"/>
        <v>0</v>
      </c>
      <c r="N53" s="743">
        <f t="shared" si="26"/>
        <v>0</v>
      </c>
      <c r="O53" s="743">
        <f t="shared" si="26"/>
        <v>0</v>
      </c>
      <c r="P53" s="743">
        <f t="shared" si="26"/>
        <v>35000000000</v>
      </c>
      <c r="Q53" s="743">
        <f t="shared" si="26"/>
        <v>35000000000</v>
      </c>
      <c r="R53" s="743">
        <f t="shared" si="26"/>
        <v>35000000000</v>
      </c>
      <c r="S53" s="743">
        <f t="shared" si="26"/>
        <v>0</v>
      </c>
      <c r="T53" s="743">
        <f t="shared" si="26"/>
        <v>0</v>
      </c>
      <c r="U53" s="743">
        <f t="shared" si="26"/>
        <v>0</v>
      </c>
      <c r="V53" s="743">
        <f t="shared" si="26"/>
        <v>35075847102</v>
      </c>
      <c r="W53" s="743">
        <f t="shared" si="26"/>
        <v>0</v>
      </c>
      <c r="X53" s="743">
        <f t="shared" si="26"/>
        <v>55040294000</v>
      </c>
      <c r="Y53" s="664"/>
    </row>
    <row r="54" spans="1:25" s="658" customFormat="1" ht="22.5">
      <c r="A54" s="744">
        <v>1</v>
      </c>
      <c r="B54" s="764" t="s">
        <v>787</v>
      </c>
      <c r="C54" s="738" t="s">
        <v>777</v>
      </c>
      <c r="D54" s="746">
        <v>7565746</v>
      </c>
      <c r="E54" s="747">
        <v>48764000000</v>
      </c>
      <c r="F54" s="747">
        <v>10000000000</v>
      </c>
      <c r="G54" s="747">
        <v>42811541</v>
      </c>
      <c r="H54" s="747"/>
      <c r="I54" s="747">
        <v>42811541</v>
      </c>
      <c r="J54" s="747"/>
      <c r="K54" s="747"/>
      <c r="L54" s="747"/>
      <c r="M54" s="747"/>
      <c r="N54" s="747"/>
      <c r="O54" s="747"/>
      <c r="P54" s="747">
        <v>16000000000</v>
      </c>
      <c r="Q54" s="747">
        <f t="shared" si="6"/>
        <v>16000000000</v>
      </c>
      <c r="R54" s="747">
        <v>16000000000</v>
      </c>
      <c r="S54" s="747"/>
      <c r="T54" s="747"/>
      <c r="U54" s="747">
        <f t="shared" si="7"/>
        <v>0</v>
      </c>
      <c r="V54" s="747">
        <f t="shared" si="8"/>
        <v>16042811541</v>
      </c>
      <c r="W54" s="747">
        <f t="shared" si="9"/>
        <v>0</v>
      </c>
      <c r="X54" s="747">
        <f>F54+K54+Q54</f>
        <v>26000000000</v>
      </c>
      <c r="Y54" s="670" t="s">
        <v>1439</v>
      </c>
    </row>
    <row r="55" spans="1:25" s="658" customFormat="1" ht="22.5">
      <c r="A55" s="744">
        <v>2</v>
      </c>
      <c r="B55" s="764" t="s">
        <v>1440</v>
      </c>
      <c r="C55" s="738" t="s">
        <v>777</v>
      </c>
      <c r="D55" s="746">
        <v>7565739</v>
      </c>
      <c r="E55" s="747">
        <v>13841000000</v>
      </c>
      <c r="F55" s="747">
        <v>5000000000</v>
      </c>
      <c r="G55" s="747">
        <v>3828613</v>
      </c>
      <c r="H55" s="747"/>
      <c r="I55" s="747">
        <v>3828613</v>
      </c>
      <c r="J55" s="747"/>
      <c r="K55" s="747"/>
      <c r="L55" s="747"/>
      <c r="M55" s="747"/>
      <c r="N55" s="747"/>
      <c r="O55" s="747"/>
      <c r="P55" s="747">
        <v>4000000000</v>
      </c>
      <c r="Q55" s="747">
        <f t="shared" si="6"/>
        <v>4000000000</v>
      </c>
      <c r="R55" s="754">
        <v>4000000000</v>
      </c>
      <c r="S55" s="754"/>
      <c r="T55" s="754"/>
      <c r="U55" s="747">
        <f t="shared" si="7"/>
        <v>0</v>
      </c>
      <c r="V55" s="747">
        <f t="shared" si="8"/>
        <v>4003828613</v>
      </c>
      <c r="W55" s="747">
        <f t="shared" si="9"/>
        <v>0</v>
      </c>
      <c r="X55" s="747">
        <f>F55+K55+Q55</f>
        <v>9000000000</v>
      </c>
      <c r="Y55" s="670" t="s">
        <v>1439</v>
      </c>
    </row>
    <row r="56" spans="1:25" s="658" customFormat="1" ht="22.5">
      <c r="A56" s="744">
        <v>3</v>
      </c>
      <c r="B56" s="753" t="s">
        <v>1441</v>
      </c>
      <c r="C56" s="738" t="s">
        <v>777</v>
      </c>
      <c r="D56" s="758" t="s">
        <v>35</v>
      </c>
      <c r="E56" s="747">
        <v>26062000000</v>
      </c>
      <c r="F56" s="747">
        <v>5040294000</v>
      </c>
      <c r="G56" s="747">
        <v>29206948</v>
      </c>
      <c r="H56" s="747"/>
      <c r="I56" s="747">
        <v>29206948</v>
      </c>
      <c r="J56" s="747"/>
      <c r="K56" s="747"/>
      <c r="L56" s="747"/>
      <c r="M56" s="747"/>
      <c r="N56" s="747"/>
      <c r="O56" s="747"/>
      <c r="P56" s="747">
        <v>15000000000</v>
      </c>
      <c r="Q56" s="747">
        <f t="shared" si="6"/>
        <v>15000000000</v>
      </c>
      <c r="R56" s="747">
        <v>15000000000</v>
      </c>
      <c r="S56" s="747"/>
      <c r="T56" s="747"/>
      <c r="U56" s="747">
        <f t="shared" si="7"/>
        <v>0</v>
      </c>
      <c r="V56" s="747">
        <f t="shared" si="8"/>
        <v>15029206948</v>
      </c>
      <c r="W56" s="747">
        <f t="shared" si="9"/>
        <v>0</v>
      </c>
      <c r="X56" s="747">
        <f>F56+K56+Q56</f>
        <v>20040294000</v>
      </c>
      <c r="Y56" s="670" t="s">
        <v>1439</v>
      </c>
    </row>
    <row r="57" spans="1:25" s="660" customFormat="1" ht="21">
      <c r="A57" s="730" t="s">
        <v>321</v>
      </c>
      <c r="B57" s="765" t="s">
        <v>788</v>
      </c>
      <c r="C57" s="729" t="s">
        <v>777</v>
      </c>
      <c r="D57" s="730"/>
      <c r="E57" s="731">
        <f>E58+E61</f>
        <v>341429000000</v>
      </c>
      <c r="F57" s="731">
        <f t="shared" ref="F57:X57" si="27">F58+F61</f>
        <v>1783475000</v>
      </c>
      <c r="G57" s="731">
        <f t="shared" si="27"/>
        <v>1558340000</v>
      </c>
      <c r="H57" s="731">
        <f t="shared" si="27"/>
        <v>0</v>
      </c>
      <c r="I57" s="731">
        <f t="shared" si="27"/>
        <v>1558340000</v>
      </c>
      <c r="J57" s="731">
        <f t="shared" si="27"/>
        <v>1666000000</v>
      </c>
      <c r="K57" s="731">
        <f t="shared" si="27"/>
        <v>1583382600</v>
      </c>
      <c r="L57" s="731">
        <f t="shared" si="27"/>
        <v>1583382600</v>
      </c>
      <c r="M57" s="731">
        <f t="shared" si="27"/>
        <v>0</v>
      </c>
      <c r="N57" s="731">
        <f t="shared" si="27"/>
        <v>0</v>
      </c>
      <c r="O57" s="731">
        <f t="shared" si="27"/>
        <v>82617400</v>
      </c>
      <c r="P57" s="731">
        <f t="shared" si="27"/>
        <v>12487000000</v>
      </c>
      <c r="Q57" s="731">
        <f t="shared" si="27"/>
        <v>3066723973</v>
      </c>
      <c r="R57" s="731">
        <f t="shared" si="27"/>
        <v>3066723973</v>
      </c>
      <c r="S57" s="731">
        <f t="shared" si="27"/>
        <v>0</v>
      </c>
      <c r="T57" s="731">
        <f t="shared" si="27"/>
        <v>0</v>
      </c>
      <c r="U57" s="731">
        <f t="shared" si="27"/>
        <v>933276027</v>
      </c>
      <c r="V57" s="731">
        <f t="shared" si="27"/>
        <v>6208446573</v>
      </c>
      <c r="W57" s="731">
        <f t="shared" si="27"/>
        <v>0</v>
      </c>
      <c r="X57" s="731">
        <f t="shared" si="27"/>
        <v>6224828973</v>
      </c>
      <c r="Y57" s="675"/>
    </row>
    <row r="58" spans="1:25" s="660" customFormat="1" ht="21">
      <c r="A58" s="736" t="s">
        <v>254</v>
      </c>
      <c r="B58" s="737" t="s">
        <v>1392</v>
      </c>
      <c r="C58" s="729" t="s">
        <v>777</v>
      </c>
      <c r="D58" s="730"/>
      <c r="E58" s="731">
        <f>E59</f>
        <v>328487000000</v>
      </c>
      <c r="F58" s="731"/>
      <c r="G58" s="731"/>
      <c r="H58" s="731"/>
      <c r="I58" s="731"/>
      <c r="J58" s="731"/>
      <c r="K58" s="731"/>
      <c r="L58" s="731"/>
      <c r="M58" s="731"/>
      <c r="N58" s="731"/>
      <c r="O58" s="731"/>
      <c r="P58" s="731">
        <f t="shared" ref="P58:X59" si="28">P59</f>
        <v>8487000000</v>
      </c>
      <c r="Q58" s="731">
        <f t="shared" si="28"/>
        <v>0</v>
      </c>
      <c r="R58" s="731">
        <f t="shared" si="28"/>
        <v>0</v>
      </c>
      <c r="S58" s="731">
        <f t="shared" si="28"/>
        <v>0</v>
      </c>
      <c r="T58" s="731">
        <f t="shared" si="28"/>
        <v>0</v>
      </c>
      <c r="U58" s="731">
        <f t="shared" si="28"/>
        <v>0</v>
      </c>
      <c r="V58" s="731">
        <f t="shared" si="28"/>
        <v>0</v>
      </c>
      <c r="W58" s="731">
        <f t="shared" si="28"/>
        <v>0</v>
      </c>
      <c r="X58" s="731">
        <f t="shared" si="28"/>
        <v>0</v>
      </c>
      <c r="Y58" s="667"/>
    </row>
    <row r="59" spans="1:25" s="663" customFormat="1" ht="22.5">
      <c r="A59" s="740" t="s">
        <v>1393</v>
      </c>
      <c r="B59" s="741" t="s">
        <v>1442</v>
      </c>
      <c r="C59" s="750" t="s">
        <v>777</v>
      </c>
      <c r="D59" s="742"/>
      <c r="E59" s="743">
        <f>E60</f>
        <v>328487000000</v>
      </c>
      <c r="F59" s="743"/>
      <c r="G59" s="743"/>
      <c r="H59" s="743"/>
      <c r="I59" s="743"/>
      <c r="J59" s="743"/>
      <c r="K59" s="743"/>
      <c r="L59" s="743"/>
      <c r="M59" s="743"/>
      <c r="N59" s="743"/>
      <c r="O59" s="743"/>
      <c r="P59" s="743">
        <f t="shared" si="28"/>
        <v>8487000000</v>
      </c>
      <c r="Q59" s="743">
        <f t="shared" si="28"/>
        <v>0</v>
      </c>
      <c r="R59" s="743">
        <f t="shared" si="28"/>
        <v>0</v>
      </c>
      <c r="S59" s="743">
        <f t="shared" si="28"/>
        <v>0</v>
      </c>
      <c r="T59" s="743">
        <f t="shared" si="28"/>
        <v>0</v>
      </c>
      <c r="U59" s="743">
        <f t="shared" si="28"/>
        <v>0</v>
      </c>
      <c r="V59" s="743">
        <f t="shared" si="28"/>
        <v>0</v>
      </c>
      <c r="W59" s="743">
        <f t="shared" si="28"/>
        <v>0</v>
      </c>
      <c r="X59" s="743">
        <f t="shared" si="28"/>
        <v>0</v>
      </c>
      <c r="Y59" s="668"/>
    </row>
    <row r="60" spans="1:25" s="658" customFormat="1" ht="31.5">
      <c r="A60" s="744">
        <v>1</v>
      </c>
      <c r="B60" s="745" t="s">
        <v>1443</v>
      </c>
      <c r="C60" s="738" t="s">
        <v>777</v>
      </c>
      <c r="D60" s="746"/>
      <c r="E60" s="747">
        <v>328487000000</v>
      </c>
      <c r="F60" s="747"/>
      <c r="G60" s="747"/>
      <c r="H60" s="747"/>
      <c r="I60" s="747"/>
      <c r="J60" s="747"/>
      <c r="K60" s="747"/>
      <c r="L60" s="747"/>
      <c r="M60" s="747"/>
      <c r="N60" s="747"/>
      <c r="O60" s="747"/>
      <c r="P60" s="747">
        <v>8487000000</v>
      </c>
      <c r="Q60" s="747">
        <f t="shared" si="6"/>
        <v>0</v>
      </c>
      <c r="R60" s="747"/>
      <c r="S60" s="747"/>
      <c r="T60" s="747"/>
      <c r="U60" s="747"/>
      <c r="V60" s="747">
        <f t="shared" si="8"/>
        <v>0</v>
      </c>
      <c r="W60" s="747">
        <f t="shared" si="9"/>
        <v>0</v>
      </c>
      <c r="X60" s="747">
        <f>F60+K60+Q60</f>
        <v>0</v>
      </c>
      <c r="Y60" s="661" t="s">
        <v>1444</v>
      </c>
    </row>
    <row r="61" spans="1:25" s="660" customFormat="1">
      <c r="A61" s="736" t="s">
        <v>256</v>
      </c>
      <c r="B61" s="737" t="s">
        <v>1430</v>
      </c>
      <c r="C61" s="729" t="s">
        <v>777</v>
      </c>
      <c r="D61" s="739"/>
      <c r="E61" s="731">
        <f>E62</f>
        <v>12942000000</v>
      </c>
      <c r="F61" s="731">
        <f t="shared" ref="F61:U62" si="29">F62</f>
        <v>1783475000</v>
      </c>
      <c r="G61" s="731">
        <f t="shared" si="29"/>
        <v>1558340000</v>
      </c>
      <c r="H61" s="731">
        <f t="shared" si="29"/>
        <v>0</v>
      </c>
      <c r="I61" s="731">
        <f t="shared" si="29"/>
        <v>1558340000</v>
      </c>
      <c r="J61" s="731">
        <f t="shared" si="29"/>
        <v>1666000000</v>
      </c>
      <c r="K61" s="731">
        <f t="shared" si="29"/>
        <v>1583382600</v>
      </c>
      <c r="L61" s="731">
        <f t="shared" si="29"/>
        <v>1583382600</v>
      </c>
      <c r="M61" s="731">
        <f t="shared" si="29"/>
        <v>0</v>
      </c>
      <c r="N61" s="731">
        <f t="shared" si="29"/>
        <v>0</v>
      </c>
      <c r="O61" s="731">
        <f t="shared" si="29"/>
        <v>82617400</v>
      </c>
      <c r="P61" s="731">
        <f t="shared" si="29"/>
        <v>4000000000</v>
      </c>
      <c r="Q61" s="731">
        <f t="shared" si="29"/>
        <v>3066723973</v>
      </c>
      <c r="R61" s="731">
        <f t="shared" si="29"/>
        <v>3066723973</v>
      </c>
      <c r="S61" s="731">
        <f t="shared" si="29"/>
        <v>0</v>
      </c>
      <c r="T61" s="731">
        <f t="shared" si="29"/>
        <v>0</v>
      </c>
      <c r="U61" s="731">
        <f t="shared" si="29"/>
        <v>933276027</v>
      </c>
      <c r="V61" s="731">
        <f t="shared" ref="Q61:X62" si="30">V62</f>
        <v>6208446573</v>
      </c>
      <c r="W61" s="731">
        <f t="shared" si="30"/>
        <v>0</v>
      </c>
      <c r="X61" s="731">
        <f t="shared" si="30"/>
        <v>6224828973</v>
      </c>
      <c r="Y61" s="662"/>
    </row>
    <row r="62" spans="1:25" s="663" customFormat="1" ht="22.5">
      <c r="A62" s="740" t="s">
        <v>1393</v>
      </c>
      <c r="B62" s="741" t="s">
        <v>1435</v>
      </c>
      <c r="C62" s="750" t="s">
        <v>777</v>
      </c>
      <c r="D62" s="742"/>
      <c r="E62" s="743">
        <f>E63</f>
        <v>12942000000</v>
      </c>
      <c r="F62" s="743">
        <f t="shared" si="29"/>
        <v>1783475000</v>
      </c>
      <c r="G62" s="743">
        <f t="shared" si="29"/>
        <v>1558340000</v>
      </c>
      <c r="H62" s="743">
        <f t="shared" si="29"/>
        <v>0</v>
      </c>
      <c r="I62" s="743">
        <f t="shared" si="29"/>
        <v>1558340000</v>
      </c>
      <c r="J62" s="743">
        <f t="shared" si="29"/>
        <v>1666000000</v>
      </c>
      <c r="K62" s="743">
        <f t="shared" si="29"/>
        <v>1583382600</v>
      </c>
      <c r="L62" s="743">
        <f t="shared" si="29"/>
        <v>1583382600</v>
      </c>
      <c r="M62" s="743">
        <f t="shared" si="29"/>
        <v>0</v>
      </c>
      <c r="N62" s="743">
        <f t="shared" si="29"/>
        <v>0</v>
      </c>
      <c r="O62" s="743">
        <f t="shared" si="29"/>
        <v>82617400</v>
      </c>
      <c r="P62" s="743">
        <f t="shared" si="29"/>
        <v>4000000000</v>
      </c>
      <c r="Q62" s="743">
        <f t="shared" si="30"/>
        <v>3066723973</v>
      </c>
      <c r="R62" s="743">
        <f t="shared" si="30"/>
        <v>3066723973</v>
      </c>
      <c r="S62" s="743">
        <f t="shared" si="30"/>
        <v>0</v>
      </c>
      <c r="T62" s="743">
        <f t="shared" si="30"/>
        <v>0</v>
      </c>
      <c r="U62" s="743">
        <f t="shared" si="30"/>
        <v>933276027</v>
      </c>
      <c r="V62" s="743">
        <f t="shared" si="30"/>
        <v>6208446573</v>
      </c>
      <c r="W62" s="743">
        <f t="shared" si="30"/>
        <v>0</v>
      </c>
      <c r="X62" s="743">
        <f t="shared" si="30"/>
        <v>6224828973</v>
      </c>
      <c r="Y62" s="664"/>
    </row>
    <row r="63" spans="1:25" s="658" customFormat="1" ht="22.5">
      <c r="A63" s="744">
        <v>1</v>
      </c>
      <c r="B63" s="745" t="s">
        <v>789</v>
      </c>
      <c r="C63" s="738" t="s">
        <v>777</v>
      </c>
      <c r="D63" s="746">
        <v>7618363</v>
      </c>
      <c r="E63" s="747">
        <v>12942000000</v>
      </c>
      <c r="F63" s="747">
        <v>1783475000</v>
      </c>
      <c r="G63" s="747">
        <v>1558340000</v>
      </c>
      <c r="H63" s="747"/>
      <c r="I63" s="747">
        <v>1558340000</v>
      </c>
      <c r="J63" s="747">
        <v>1666000000</v>
      </c>
      <c r="K63" s="747">
        <v>1583382600</v>
      </c>
      <c r="L63" s="747">
        <v>1583382600</v>
      </c>
      <c r="M63" s="747"/>
      <c r="N63" s="747"/>
      <c r="O63" s="747">
        <v>82617400</v>
      </c>
      <c r="P63" s="747">
        <v>4000000000</v>
      </c>
      <c r="Q63" s="747">
        <f t="shared" si="6"/>
        <v>3066723973</v>
      </c>
      <c r="R63" s="747">
        <v>3066723973</v>
      </c>
      <c r="S63" s="747"/>
      <c r="T63" s="747">
        <v>0</v>
      </c>
      <c r="U63" s="747">
        <f t="shared" si="7"/>
        <v>933276027</v>
      </c>
      <c r="V63" s="747">
        <f t="shared" si="8"/>
        <v>6208446573</v>
      </c>
      <c r="W63" s="747">
        <f t="shared" si="9"/>
        <v>0</v>
      </c>
      <c r="X63" s="747">
        <v>6224828973</v>
      </c>
      <c r="Y63" s="661" t="s">
        <v>1445</v>
      </c>
    </row>
    <row r="64" spans="1:25" s="660" customFormat="1">
      <c r="A64" s="759" t="s">
        <v>323</v>
      </c>
      <c r="B64" s="760" t="s">
        <v>36</v>
      </c>
      <c r="C64" s="729" t="s">
        <v>777</v>
      </c>
      <c r="D64" s="739"/>
      <c r="E64" s="731">
        <f>E65</f>
        <v>95118000000</v>
      </c>
      <c r="F64" s="731">
        <f t="shared" ref="F64:U66" si="31">F65</f>
        <v>20000000</v>
      </c>
      <c r="G64" s="731">
        <f t="shared" si="31"/>
        <v>20000000</v>
      </c>
      <c r="H64" s="731">
        <f t="shared" si="31"/>
        <v>0</v>
      </c>
      <c r="I64" s="731">
        <f t="shared" si="31"/>
        <v>0</v>
      </c>
      <c r="J64" s="731">
        <f t="shared" si="31"/>
        <v>0</v>
      </c>
      <c r="K64" s="731">
        <f t="shared" si="31"/>
        <v>0</v>
      </c>
      <c r="L64" s="731">
        <f t="shared" si="31"/>
        <v>0</v>
      </c>
      <c r="M64" s="731">
        <f t="shared" si="31"/>
        <v>0</v>
      </c>
      <c r="N64" s="731">
        <f t="shared" si="31"/>
        <v>0</v>
      </c>
      <c r="O64" s="731">
        <f t="shared" si="31"/>
        <v>0</v>
      </c>
      <c r="P64" s="731">
        <f t="shared" si="31"/>
        <v>24427000000</v>
      </c>
      <c r="Q64" s="731">
        <f t="shared" si="31"/>
        <v>23644994000</v>
      </c>
      <c r="R64" s="731">
        <f t="shared" si="31"/>
        <v>22581977000</v>
      </c>
      <c r="S64" s="731">
        <f t="shared" si="31"/>
        <v>1063017000</v>
      </c>
      <c r="T64" s="731">
        <f t="shared" si="31"/>
        <v>782006000</v>
      </c>
      <c r="U64" s="731">
        <f t="shared" si="31"/>
        <v>0</v>
      </c>
      <c r="V64" s="731">
        <f t="shared" ref="Q64:X66" si="32">V65</f>
        <v>22581977000</v>
      </c>
      <c r="W64" s="731">
        <f t="shared" si="32"/>
        <v>1083017000</v>
      </c>
      <c r="X64" s="731">
        <f t="shared" si="32"/>
        <v>23664994000</v>
      </c>
      <c r="Y64" s="662"/>
    </row>
    <row r="65" spans="1:25" s="660" customFormat="1" ht="21">
      <c r="A65" s="736" t="s">
        <v>254</v>
      </c>
      <c r="B65" s="737" t="s">
        <v>1392</v>
      </c>
      <c r="C65" s="729" t="s">
        <v>777</v>
      </c>
      <c r="D65" s="739"/>
      <c r="E65" s="731">
        <f>E66</f>
        <v>95118000000</v>
      </c>
      <c r="F65" s="731">
        <f t="shared" si="31"/>
        <v>20000000</v>
      </c>
      <c r="G65" s="731">
        <f t="shared" si="31"/>
        <v>20000000</v>
      </c>
      <c r="H65" s="731">
        <f t="shared" si="31"/>
        <v>0</v>
      </c>
      <c r="I65" s="731">
        <f t="shared" si="31"/>
        <v>0</v>
      </c>
      <c r="J65" s="731">
        <f t="shared" si="31"/>
        <v>0</v>
      </c>
      <c r="K65" s="731">
        <f t="shared" si="31"/>
        <v>0</v>
      </c>
      <c r="L65" s="731">
        <f t="shared" si="31"/>
        <v>0</v>
      </c>
      <c r="M65" s="731">
        <f t="shared" si="31"/>
        <v>0</v>
      </c>
      <c r="N65" s="731">
        <f t="shared" si="31"/>
        <v>0</v>
      </c>
      <c r="O65" s="731">
        <f t="shared" si="31"/>
        <v>0</v>
      </c>
      <c r="P65" s="731">
        <f t="shared" si="31"/>
        <v>24427000000</v>
      </c>
      <c r="Q65" s="731">
        <f t="shared" si="32"/>
        <v>23644994000</v>
      </c>
      <c r="R65" s="731">
        <f t="shared" si="32"/>
        <v>22581977000</v>
      </c>
      <c r="S65" s="731">
        <f t="shared" si="32"/>
        <v>1063017000</v>
      </c>
      <c r="T65" s="731">
        <f t="shared" si="32"/>
        <v>782006000</v>
      </c>
      <c r="U65" s="731">
        <f t="shared" si="32"/>
        <v>0</v>
      </c>
      <c r="V65" s="731">
        <f t="shared" si="32"/>
        <v>22581977000</v>
      </c>
      <c r="W65" s="731">
        <f t="shared" si="32"/>
        <v>1083017000</v>
      </c>
      <c r="X65" s="731">
        <f t="shared" si="32"/>
        <v>23664994000</v>
      </c>
      <c r="Y65" s="667"/>
    </row>
    <row r="66" spans="1:25" s="663" customFormat="1" ht="22.5">
      <c r="A66" s="740" t="s">
        <v>1393</v>
      </c>
      <c r="B66" s="741" t="s">
        <v>1394</v>
      </c>
      <c r="C66" s="750" t="s">
        <v>777</v>
      </c>
      <c r="D66" s="742"/>
      <c r="E66" s="743">
        <f>E67</f>
        <v>95118000000</v>
      </c>
      <c r="F66" s="743">
        <f t="shared" si="31"/>
        <v>20000000</v>
      </c>
      <c r="G66" s="743">
        <f t="shared" si="31"/>
        <v>20000000</v>
      </c>
      <c r="H66" s="743">
        <f t="shared" si="31"/>
        <v>0</v>
      </c>
      <c r="I66" s="743">
        <f t="shared" si="31"/>
        <v>0</v>
      </c>
      <c r="J66" s="743">
        <f t="shared" si="31"/>
        <v>0</v>
      </c>
      <c r="K66" s="743">
        <f t="shared" si="31"/>
        <v>0</v>
      </c>
      <c r="L66" s="743">
        <f t="shared" si="31"/>
        <v>0</v>
      </c>
      <c r="M66" s="743">
        <f t="shared" si="31"/>
        <v>0</v>
      </c>
      <c r="N66" s="743">
        <f t="shared" si="31"/>
        <v>0</v>
      </c>
      <c r="O66" s="743">
        <f t="shared" si="31"/>
        <v>0</v>
      </c>
      <c r="P66" s="743">
        <f t="shared" si="31"/>
        <v>24427000000</v>
      </c>
      <c r="Q66" s="743">
        <f t="shared" si="32"/>
        <v>23644994000</v>
      </c>
      <c r="R66" s="743">
        <f t="shared" si="32"/>
        <v>22581977000</v>
      </c>
      <c r="S66" s="743">
        <f t="shared" si="32"/>
        <v>1063017000</v>
      </c>
      <c r="T66" s="743">
        <f t="shared" si="32"/>
        <v>782006000</v>
      </c>
      <c r="U66" s="743">
        <f t="shared" si="32"/>
        <v>0</v>
      </c>
      <c r="V66" s="743">
        <f t="shared" si="32"/>
        <v>22581977000</v>
      </c>
      <c r="W66" s="743">
        <f t="shared" si="32"/>
        <v>1083017000</v>
      </c>
      <c r="X66" s="743">
        <f t="shared" si="32"/>
        <v>23664994000</v>
      </c>
      <c r="Y66" s="668"/>
    </row>
    <row r="67" spans="1:25" s="658" customFormat="1" ht="31.5">
      <c r="A67" s="758">
        <v>1</v>
      </c>
      <c r="B67" s="745" t="s">
        <v>1446</v>
      </c>
      <c r="C67" s="738" t="s">
        <v>777</v>
      </c>
      <c r="D67" s="746">
        <v>7474051</v>
      </c>
      <c r="E67" s="747">
        <v>95118000000</v>
      </c>
      <c r="F67" s="747">
        <v>20000000</v>
      </c>
      <c r="G67" s="747">
        <v>20000000</v>
      </c>
      <c r="H67" s="747"/>
      <c r="I67" s="747"/>
      <c r="J67" s="747"/>
      <c r="K67" s="747"/>
      <c r="L67" s="747"/>
      <c r="M67" s="747"/>
      <c r="N67" s="747"/>
      <c r="O67" s="747"/>
      <c r="P67" s="747">
        <v>24427000000</v>
      </c>
      <c r="Q67" s="747">
        <f t="shared" si="6"/>
        <v>23644994000</v>
      </c>
      <c r="R67" s="747">
        <v>22581977000</v>
      </c>
      <c r="S67" s="747">
        <v>1063017000</v>
      </c>
      <c r="T67" s="747">
        <v>782006000</v>
      </c>
      <c r="U67" s="747">
        <f t="shared" si="7"/>
        <v>0</v>
      </c>
      <c r="V67" s="747">
        <f t="shared" si="8"/>
        <v>22581977000</v>
      </c>
      <c r="W67" s="747">
        <f t="shared" si="9"/>
        <v>1083017000</v>
      </c>
      <c r="X67" s="747">
        <f>F67+K67+Q67</f>
        <v>23664994000</v>
      </c>
      <c r="Y67" s="676" t="s">
        <v>1447</v>
      </c>
    </row>
    <row r="68" spans="1:25" s="660" customFormat="1">
      <c r="A68" s="766" t="s">
        <v>325</v>
      </c>
      <c r="B68" s="737" t="s">
        <v>37</v>
      </c>
      <c r="C68" s="729" t="s">
        <v>777</v>
      </c>
      <c r="D68" s="739"/>
      <c r="E68" s="731">
        <f>E69+E78</f>
        <v>697770000000</v>
      </c>
      <c r="F68" s="731">
        <f t="shared" ref="F68:X68" si="33">F69+F78</f>
        <v>90393767260</v>
      </c>
      <c r="G68" s="731">
        <f t="shared" si="33"/>
        <v>57671510260</v>
      </c>
      <c r="H68" s="731">
        <f t="shared" si="33"/>
        <v>0</v>
      </c>
      <c r="I68" s="731">
        <f t="shared" si="33"/>
        <v>38361817260</v>
      </c>
      <c r="J68" s="731">
        <f t="shared" si="33"/>
        <v>0</v>
      </c>
      <c r="K68" s="731">
        <f t="shared" si="33"/>
        <v>0</v>
      </c>
      <c r="L68" s="731">
        <f t="shared" si="33"/>
        <v>0</v>
      </c>
      <c r="M68" s="731">
        <f t="shared" si="33"/>
        <v>0</v>
      </c>
      <c r="N68" s="731">
        <f t="shared" si="33"/>
        <v>0</v>
      </c>
      <c r="O68" s="731">
        <f t="shared" si="33"/>
        <v>0</v>
      </c>
      <c r="P68" s="731">
        <f t="shared" si="33"/>
        <v>137561000000</v>
      </c>
      <c r="Q68" s="731">
        <f t="shared" si="33"/>
        <v>137455133891</v>
      </c>
      <c r="R68" s="731">
        <f t="shared" si="33"/>
        <v>106264068891</v>
      </c>
      <c r="S68" s="731">
        <f t="shared" si="33"/>
        <v>31191065000</v>
      </c>
      <c r="T68" s="731">
        <f t="shared" si="33"/>
        <v>0</v>
      </c>
      <c r="U68" s="731">
        <f t="shared" si="33"/>
        <v>105866109</v>
      </c>
      <c r="V68" s="731">
        <f t="shared" si="33"/>
        <v>144625886151</v>
      </c>
      <c r="W68" s="731">
        <f t="shared" si="33"/>
        <v>50500758000</v>
      </c>
      <c r="X68" s="731">
        <f t="shared" si="33"/>
        <v>227848900351</v>
      </c>
      <c r="Y68" s="677"/>
    </row>
    <row r="69" spans="1:25" s="660" customFormat="1" ht="21">
      <c r="A69" s="736" t="s">
        <v>254</v>
      </c>
      <c r="B69" s="737" t="s">
        <v>1392</v>
      </c>
      <c r="C69" s="729" t="s">
        <v>777</v>
      </c>
      <c r="D69" s="739"/>
      <c r="E69" s="731">
        <f>E70</f>
        <v>197184000000</v>
      </c>
      <c r="F69" s="731">
        <f t="shared" ref="F69:X69" si="34">F70</f>
        <v>8743768000</v>
      </c>
      <c r="G69" s="731">
        <f t="shared" si="34"/>
        <v>306738000</v>
      </c>
      <c r="H69" s="731">
        <f t="shared" si="34"/>
        <v>0</v>
      </c>
      <c r="I69" s="731">
        <f t="shared" si="34"/>
        <v>306738000</v>
      </c>
      <c r="J69" s="731">
        <f t="shared" si="34"/>
        <v>0</v>
      </c>
      <c r="K69" s="731">
        <f t="shared" si="34"/>
        <v>0</v>
      </c>
      <c r="L69" s="731">
        <f t="shared" si="34"/>
        <v>0</v>
      </c>
      <c r="M69" s="731">
        <f t="shared" si="34"/>
        <v>0</v>
      </c>
      <c r="N69" s="731">
        <f t="shared" si="34"/>
        <v>0</v>
      </c>
      <c r="O69" s="731">
        <f t="shared" si="34"/>
        <v>0</v>
      </c>
      <c r="P69" s="731">
        <f t="shared" si="34"/>
        <v>26651000000</v>
      </c>
      <c r="Q69" s="731">
        <f t="shared" si="34"/>
        <v>26547416691</v>
      </c>
      <c r="R69" s="731">
        <f t="shared" si="34"/>
        <v>24453696691</v>
      </c>
      <c r="S69" s="731">
        <f t="shared" si="34"/>
        <v>2093720000</v>
      </c>
      <c r="T69" s="731">
        <f t="shared" si="34"/>
        <v>0</v>
      </c>
      <c r="U69" s="731">
        <f t="shared" si="34"/>
        <v>103583309</v>
      </c>
      <c r="V69" s="731">
        <f t="shared" si="34"/>
        <v>24760434691</v>
      </c>
      <c r="W69" s="731">
        <f t="shared" si="34"/>
        <v>2093720000</v>
      </c>
      <c r="X69" s="731">
        <f t="shared" si="34"/>
        <v>35291184691</v>
      </c>
      <c r="Y69" s="667"/>
    </row>
    <row r="70" spans="1:25" s="663" customFormat="1" ht="22.5">
      <c r="A70" s="740" t="s">
        <v>1393</v>
      </c>
      <c r="B70" s="741" t="s">
        <v>1394</v>
      </c>
      <c r="C70" s="750" t="s">
        <v>777</v>
      </c>
      <c r="D70" s="742"/>
      <c r="E70" s="743">
        <f>E71+E72+E76+E77</f>
        <v>197184000000</v>
      </c>
      <c r="F70" s="743">
        <f t="shared" ref="F70:X70" si="35">F71+F72+F76+F77</f>
        <v>8743768000</v>
      </c>
      <c r="G70" s="743">
        <f t="shared" si="35"/>
        <v>306738000</v>
      </c>
      <c r="H70" s="743">
        <f t="shared" si="35"/>
        <v>0</v>
      </c>
      <c r="I70" s="743">
        <f t="shared" si="35"/>
        <v>306738000</v>
      </c>
      <c r="J70" s="743">
        <f t="shared" si="35"/>
        <v>0</v>
      </c>
      <c r="K70" s="743">
        <f t="shared" si="35"/>
        <v>0</v>
      </c>
      <c r="L70" s="743">
        <f t="shared" si="35"/>
        <v>0</v>
      </c>
      <c r="M70" s="743">
        <f t="shared" si="35"/>
        <v>0</v>
      </c>
      <c r="N70" s="743">
        <f t="shared" si="35"/>
        <v>0</v>
      </c>
      <c r="O70" s="743">
        <f t="shared" si="35"/>
        <v>0</v>
      </c>
      <c r="P70" s="743">
        <f t="shared" si="35"/>
        <v>26651000000</v>
      </c>
      <c r="Q70" s="743">
        <f t="shared" si="35"/>
        <v>26547416691</v>
      </c>
      <c r="R70" s="743">
        <f t="shared" si="35"/>
        <v>24453696691</v>
      </c>
      <c r="S70" s="743">
        <f t="shared" si="35"/>
        <v>2093720000</v>
      </c>
      <c r="T70" s="743">
        <f t="shared" si="35"/>
        <v>0</v>
      </c>
      <c r="U70" s="743">
        <f t="shared" si="35"/>
        <v>103583309</v>
      </c>
      <c r="V70" s="743">
        <f t="shared" si="35"/>
        <v>24760434691</v>
      </c>
      <c r="W70" s="743">
        <f t="shared" si="35"/>
        <v>2093720000</v>
      </c>
      <c r="X70" s="743">
        <f t="shared" si="35"/>
        <v>35291184691</v>
      </c>
      <c r="Y70" s="668"/>
    </row>
    <row r="71" spans="1:25" s="658" customFormat="1">
      <c r="A71" s="744">
        <v>1</v>
      </c>
      <c r="B71" s="745" t="s">
        <v>38</v>
      </c>
      <c r="C71" s="738" t="s">
        <v>777</v>
      </c>
      <c r="D71" s="746">
        <v>7275486</v>
      </c>
      <c r="E71" s="747">
        <v>53569000000</v>
      </c>
      <c r="F71" s="747">
        <v>8743768000</v>
      </c>
      <c r="G71" s="747">
        <v>306738000</v>
      </c>
      <c r="H71" s="747"/>
      <c r="I71" s="747">
        <v>306738000</v>
      </c>
      <c r="J71" s="747"/>
      <c r="K71" s="747"/>
      <c r="L71" s="747"/>
      <c r="M71" s="747"/>
      <c r="N71" s="747"/>
      <c r="O71" s="747"/>
      <c r="P71" s="747">
        <v>10627000000</v>
      </c>
      <c r="Q71" s="747">
        <f t="shared" si="6"/>
        <v>10627000000</v>
      </c>
      <c r="R71" s="747">
        <v>10627000000</v>
      </c>
      <c r="S71" s="747"/>
      <c r="T71" s="747"/>
      <c r="U71" s="747">
        <f t="shared" si="7"/>
        <v>0</v>
      </c>
      <c r="V71" s="747">
        <f t="shared" si="8"/>
        <v>10933738000</v>
      </c>
      <c r="W71" s="747">
        <f t="shared" si="9"/>
        <v>0</v>
      </c>
      <c r="X71" s="747">
        <f t="shared" ref="X71:X77" si="36">F71+K71+Q71</f>
        <v>19370768000</v>
      </c>
      <c r="Y71" s="661" t="s">
        <v>1417</v>
      </c>
    </row>
    <row r="72" spans="1:25" s="658" customFormat="1" ht="33.75">
      <c r="A72" s="744">
        <v>2</v>
      </c>
      <c r="B72" s="745" t="s">
        <v>1448</v>
      </c>
      <c r="C72" s="738" t="s">
        <v>777</v>
      </c>
      <c r="D72" s="746" t="s">
        <v>1449</v>
      </c>
      <c r="E72" s="747">
        <v>10468000000</v>
      </c>
      <c r="F72" s="747">
        <v>0</v>
      </c>
      <c r="G72" s="747">
        <v>0</v>
      </c>
      <c r="H72" s="747">
        <v>0</v>
      </c>
      <c r="I72" s="747">
        <v>0</v>
      </c>
      <c r="J72" s="747">
        <v>0</v>
      </c>
      <c r="K72" s="747">
        <v>0</v>
      </c>
      <c r="L72" s="747">
        <v>0</v>
      </c>
      <c r="M72" s="747">
        <v>0</v>
      </c>
      <c r="N72" s="747">
        <v>0</v>
      </c>
      <c r="O72" s="747">
        <v>0</v>
      </c>
      <c r="P72" s="747">
        <f>SUM(P73:P75)</f>
        <v>10139000000</v>
      </c>
      <c r="Q72" s="747">
        <f t="shared" si="6"/>
        <v>10138965691</v>
      </c>
      <c r="R72" s="747">
        <f>SUM(R73:R75)</f>
        <v>10138965691</v>
      </c>
      <c r="S72" s="747">
        <v>0</v>
      </c>
      <c r="T72" s="747">
        <v>0</v>
      </c>
      <c r="U72" s="747">
        <f t="shared" si="7"/>
        <v>34309</v>
      </c>
      <c r="V72" s="747">
        <f t="shared" si="8"/>
        <v>10138965691</v>
      </c>
      <c r="W72" s="747">
        <f t="shared" si="9"/>
        <v>0</v>
      </c>
      <c r="X72" s="747">
        <f t="shared" si="36"/>
        <v>10138965691</v>
      </c>
      <c r="Y72" s="661" t="s">
        <v>1450</v>
      </c>
    </row>
    <row r="73" spans="1:25" s="665" customFormat="1">
      <c r="A73" s="767" t="s">
        <v>291</v>
      </c>
      <c r="B73" s="768" t="s">
        <v>1451</v>
      </c>
      <c r="C73" s="769" t="s">
        <v>777</v>
      </c>
      <c r="D73" s="770" t="s">
        <v>1452</v>
      </c>
      <c r="E73" s="754"/>
      <c r="F73" s="754"/>
      <c r="G73" s="754"/>
      <c r="H73" s="754"/>
      <c r="I73" s="754"/>
      <c r="J73" s="754"/>
      <c r="K73" s="754"/>
      <c r="L73" s="754"/>
      <c r="M73" s="754"/>
      <c r="N73" s="754"/>
      <c r="O73" s="754"/>
      <c r="P73" s="754">
        <v>6258700800</v>
      </c>
      <c r="Q73" s="747">
        <f t="shared" si="6"/>
        <v>6258700800</v>
      </c>
      <c r="R73" s="754">
        <v>6258700800</v>
      </c>
      <c r="S73" s="754"/>
      <c r="T73" s="754"/>
      <c r="U73" s="747">
        <f t="shared" si="7"/>
        <v>0</v>
      </c>
      <c r="V73" s="747">
        <f t="shared" si="8"/>
        <v>6258700800</v>
      </c>
      <c r="W73" s="747">
        <f t="shared" si="9"/>
        <v>0</v>
      </c>
      <c r="X73" s="747">
        <f t="shared" si="36"/>
        <v>6258700800</v>
      </c>
      <c r="Y73" s="678"/>
    </row>
    <row r="74" spans="1:25" s="665" customFormat="1">
      <c r="A74" s="767" t="s">
        <v>293</v>
      </c>
      <c r="B74" s="768" t="s">
        <v>1453</v>
      </c>
      <c r="C74" s="769" t="s">
        <v>777</v>
      </c>
      <c r="D74" s="770" t="s">
        <v>1454</v>
      </c>
      <c r="E74" s="754"/>
      <c r="F74" s="754"/>
      <c r="G74" s="754"/>
      <c r="H74" s="754"/>
      <c r="I74" s="754"/>
      <c r="J74" s="754"/>
      <c r="K74" s="754"/>
      <c r="L74" s="754"/>
      <c r="M74" s="754"/>
      <c r="N74" s="754"/>
      <c r="O74" s="754"/>
      <c r="P74" s="754">
        <v>1092773400</v>
      </c>
      <c r="Q74" s="747">
        <f t="shared" si="6"/>
        <v>1092739091</v>
      </c>
      <c r="R74" s="754">
        <v>1092739091</v>
      </c>
      <c r="S74" s="754"/>
      <c r="T74" s="754"/>
      <c r="U74" s="747">
        <f t="shared" si="7"/>
        <v>34309</v>
      </c>
      <c r="V74" s="747">
        <f t="shared" si="8"/>
        <v>1092739091</v>
      </c>
      <c r="W74" s="747">
        <f t="shared" si="9"/>
        <v>0</v>
      </c>
      <c r="X74" s="747">
        <f t="shared" si="36"/>
        <v>1092739091</v>
      </c>
      <c r="Y74" s="678"/>
    </row>
    <row r="75" spans="1:25" s="665" customFormat="1">
      <c r="A75" s="767" t="s">
        <v>295</v>
      </c>
      <c r="B75" s="768" t="s">
        <v>1455</v>
      </c>
      <c r="C75" s="769" t="s">
        <v>777</v>
      </c>
      <c r="D75" s="770" t="s">
        <v>1456</v>
      </c>
      <c r="E75" s="754"/>
      <c r="F75" s="754"/>
      <c r="G75" s="754"/>
      <c r="H75" s="754"/>
      <c r="I75" s="754"/>
      <c r="J75" s="754"/>
      <c r="K75" s="754"/>
      <c r="L75" s="754"/>
      <c r="M75" s="754"/>
      <c r="N75" s="754"/>
      <c r="O75" s="754"/>
      <c r="P75" s="754">
        <v>2787525800</v>
      </c>
      <c r="Q75" s="747">
        <f t="shared" si="6"/>
        <v>2787525800</v>
      </c>
      <c r="R75" s="754">
        <v>2787525800</v>
      </c>
      <c r="S75" s="754"/>
      <c r="T75" s="754"/>
      <c r="U75" s="747">
        <f t="shared" si="7"/>
        <v>0</v>
      </c>
      <c r="V75" s="747">
        <f t="shared" si="8"/>
        <v>2787525800</v>
      </c>
      <c r="W75" s="747">
        <f t="shared" si="9"/>
        <v>0</v>
      </c>
      <c r="X75" s="747">
        <f t="shared" si="36"/>
        <v>2787525800</v>
      </c>
      <c r="Y75" s="678"/>
    </row>
    <row r="76" spans="1:25" s="658" customFormat="1" ht="31.5">
      <c r="A76" s="744">
        <v>3</v>
      </c>
      <c r="B76" s="745" t="s">
        <v>40</v>
      </c>
      <c r="C76" s="738" t="s">
        <v>777</v>
      </c>
      <c r="D76" s="746">
        <v>7463318</v>
      </c>
      <c r="E76" s="747">
        <v>39882000000</v>
      </c>
      <c r="F76" s="747"/>
      <c r="G76" s="747"/>
      <c r="H76" s="747"/>
      <c r="I76" s="747"/>
      <c r="J76" s="747"/>
      <c r="K76" s="747"/>
      <c r="L76" s="747"/>
      <c r="M76" s="747"/>
      <c r="N76" s="747"/>
      <c r="O76" s="747"/>
      <c r="P76" s="747">
        <v>1400000000</v>
      </c>
      <c r="Q76" s="747">
        <f t="shared" si="6"/>
        <v>1296451000</v>
      </c>
      <c r="R76" s="747">
        <v>1296451000</v>
      </c>
      <c r="S76" s="747"/>
      <c r="T76" s="747">
        <v>0</v>
      </c>
      <c r="U76" s="747">
        <f t="shared" si="7"/>
        <v>103549000</v>
      </c>
      <c r="V76" s="747">
        <f t="shared" si="8"/>
        <v>1296451000</v>
      </c>
      <c r="W76" s="747">
        <f t="shared" si="9"/>
        <v>0</v>
      </c>
      <c r="X76" s="747">
        <f t="shared" si="36"/>
        <v>1296451000</v>
      </c>
      <c r="Y76" s="661" t="s">
        <v>1447</v>
      </c>
    </row>
    <row r="77" spans="1:25" s="658" customFormat="1" ht="31.5">
      <c r="A77" s="744">
        <v>4</v>
      </c>
      <c r="B77" s="771" t="s">
        <v>2707</v>
      </c>
      <c r="C77" s="738" t="s">
        <v>777</v>
      </c>
      <c r="D77" s="746">
        <v>7358582</v>
      </c>
      <c r="E77" s="747">
        <v>93265000000</v>
      </c>
      <c r="F77" s="747"/>
      <c r="G77" s="747"/>
      <c r="H77" s="747"/>
      <c r="I77" s="747"/>
      <c r="J77" s="747"/>
      <c r="K77" s="747"/>
      <c r="L77" s="747"/>
      <c r="M77" s="747"/>
      <c r="N77" s="747"/>
      <c r="O77" s="747"/>
      <c r="P77" s="747">
        <v>4485000000</v>
      </c>
      <c r="Q77" s="747">
        <f t="shared" si="6"/>
        <v>4485000000</v>
      </c>
      <c r="R77" s="747">
        <v>2391280000</v>
      </c>
      <c r="S77" s="747">
        <v>2093720000</v>
      </c>
      <c r="T77" s="747"/>
      <c r="U77" s="747">
        <f t="shared" si="7"/>
        <v>0</v>
      </c>
      <c r="V77" s="747">
        <f t="shared" si="8"/>
        <v>2391280000</v>
      </c>
      <c r="W77" s="747">
        <f t="shared" si="9"/>
        <v>2093720000</v>
      </c>
      <c r="X77" s="747">
        <f t="shared" si="36"/>
        <v>4485000000</v>
      </c>
      <c r="Y77" s="661" t="s">
        <v>1447</v>
      </c>
    </row>
    <row r="78" spans="1:25" s="660" customFormat="1">
      <c r="A78" s="736" t="s">
        <v>256</v>
      </c>
      <c r="B78" s="737" t="s">
        <v>1430</v>
      </c>
      <c r="C78" s="729" t="s">
        <v>777</v>
      </c>
      <c r="D78" s="739"/>
      <c r="E78" s="731">
        <f>E79</f>
        <v>500586000000</v>
      </c>
      <c r="F78" s="731">
        <f t="shared" ref="F78:X78" si="37">F79</f>
        <v>81649999260</v>
      </c>
      <c r="G78" s="731">
        <f t="shared" si="37"/>
        <v>57364772260</v>
      </c>
      <c r="H78" s="731">
        <f t="shared" si="37"/>
        <v>0</v>
      </c>
      <c r="I78" s="731">
        <f t="shared" si="37"/>
        <v>38055079260</v>
      </c>
      <c r="J78" s="731">
        <f t="shared" si="37"/>
        <v>0</v>
      </c>
      <c r="K78" s="731">
        <f t="shared" si="37"/>
        <v>0</v>
      </c>
      <c r="L78" s="731">
        <f t="shared" si="37"/>
        <v>0</v>
      </c>
      <c r="M78" s="731">
        <f t="shared" si="37"/>
        <v>0</v>
      </c>
      <c r="N78" s="731">
        <f t="shared" si="37"/>
        <v>0</v>
      </c>
      <c r="O78" s="731">
        <f t="shared" si="37"/>
        <v>0</v>
      </c>
      <c r="P78" s="731">
        <f t="shared" si="37"/>
        <v>110910000000</v>
      </c>
      <c r="Q78" s="731">
        <f t="shared" si="37"/>
        <v>110907717200</v>
      </c>
      <c r="R78" s="731">
        <f t="shared" si="37"/>
        <v>81810372200</v>
      </c>
      <c r="S78" s="731">
        <f t="shared" si="37"/>
        <v>29097345000</v>
      </c>
      <c r="T78" s="731">
        <f t="shared" si="37"/>
        <v>0</v>
      </c>
      <c r="U78" s="731">
        <f t="shared" si="37"/>
        <v>2282800</v>
      </c>
      <c r="V78" s="731">
        <f t="shared" si="37"/>
        <v>119865451460</v>
      </c>
      <c r="W78" s="731">
        <f t="shared" si="37"/>
        <v>48407038000</v>
      </c>
      <c r="X78" s="731">
        <f t="shared" si="37"/>
        <v>192557715660</v>
      </c>
      <c r="Y78" s="662"/>
    </row>
    <row r="79" spans="1:25" s="663" customFormat="1" ht="22.5">
      <c r="A79" s="740" t="s">
        <v>1393</v>
      </c>
      <c r="B79" s="741" t="s">
        <v>1438</v>
      </c>
      <c r="C79" s="750" t="s">
        <v>777</v>
      </c>
      <c r="D79" s="742"/>
      <c r="E79" s="743">
        <f t="shared" ref="E79:X79" si="38">SUM(E80:E87)</f>
        <v>500586000000</v>
      </c>
      <c r="F79" s="743">
        <f t="shared" si="38"/>
        <v>81649999260</v>
      </c>
      <c r="G79" s="743">
        <f t="shared" si="38"/>
        <v>57364772260</v>
      </c>
      <c r="H79" s="743">
        <f t="shared" si="38"/>
        <v>0</v>
      </c>
      <c r="I79" s="743">
        <f t="shared" si="38"/>
        <v>38055079260</v>
      </c>
      <c r="J79" s="743">
        <f t="shared" si="38"/>
        <v>0</v>
      </c>
      <c r="K79" s="743">
        <f t="shared" si="38"/>
        <v>0</v>
      </c>
      <c r="L79" s="743">
        <f t="shared" si="38"/>
        <v>0</v>
      </c>
      <c r="M79" s="743">
        <f t="shared" si="38"/>
        <v>0</v>
      </c>
      <c r="N79" s="743">
        <f t="shared" si="38"/>
        <v>0</v>
      </c>
      <c r="O79" s="743">
        <f t="shared" si="38"/>
        <v>0</v>
      </c>
      <c r="P79" s="743">
        <f t="shared" si="38"/>
        <v>110910000000</v>
      </c>
      <c r="Q79" s="743">
        <f t="shared" si="38"/>
        <v>110907717200</v>
      </c>
      <c r="R79" s="743">
        <f t="shared" si="38"/>
        <v>81810372200</v>
      </c>
      <c r="S79" s="743">
        <f t="shared" si="38"/>
        <v>29097345000</v>
      </c>
      <c r="T79" s="743">
        <f t="shared" si="38"/>
        <v>0</v>
      </c>
      <c r="U79" s="743">
        <f t="shared" si="38"/>
        <v>2282800</v>
      </c>
      <c r="V79" s="743">
        <f t="shared" si="38"/>
        <v>119865451460</v>
      </c>
      <c r="W79" s="743">
        <f t="shared" si="38"/>
        <v>48407038000</v>
      </c>
      <c r="X79" s="743">
        <f t="shared" si="38"/>
        <v>192557715660</v>
      </c>
      <c r="Y79" s="664"/>
    </row>
    <row r="80" spans="1:25" s="658" customFormat="1" ht="31.5">
      <c r="A80" s="744">
        <v>1</v>
      </c>
      <c r="B80" s="745" t="s">
        <v>792</v>
      </c>
      <c r="C80" s="738" t="s">
        <v>777</v>
      </c>
      <c r="D80" s="758">
        <v>7580170</v>
      </c>
      <c r="E80" s="747">
        <v>432227000000</v>
      </c>
      <c r="F80" s="747">
        <v>70000000000</v>
      </c>
      <c r="G80" s="747">
        <v>55330000000</v>
      </c>
      <c r="H80" s="747"/>
      <c r="I80" s="747">
        <v>36020307000</v>
      </c>
      <c r="J80" s="747"/>
      <c r="K80" s="747"/>
      <c r="L80" s="747"/>
      <c r="M80" s="747"/>
      <c r="N80" s="747"/>
      <c r="O80" s="747"/>
      <c r="P80" s="747">
        <v>76238000000</v>
      </c>
      <c r="Q80" s="747">
        <f t="shared" ref="Q80:Q143" si="39">R80+S80</f>
        <v>76238000000</v>
      </c>
      <c r="R80" s="747">
        <v>48048041000</v>
      </c>
      <c r="S80" s="747">
        <v>28189959000</v>
      </c>
      <c r="T80" s="747"/>
      <c r="U80" s="747">
        <f t="shared" ref="U80:U143" si="40">P80-Q80-T80</f>
        <v>0</v>
      </c>
      <c r="V80" s="747">
        <f t="shared" ref="V80:V143" si="41">I80+L80+R80</f>
        <v>84068348000</v>
      </c>
      <c r="W80" s="747">
        <f t="shared" ref="W80:W143" si="42">G80-H80-I80+M80+S80</f>
        <v>47499652000</v>
      </c>
      <c r="X80" s="747">
        <f t="shared" ref="X80:X143" si="43">F80+K80+Q80</f>
        <v>146238000000</v>
      </c>
      <c r="Y80" s="671" t="s">
        <v>1457</v>
      </c>
    </row>
    <row r="81" spans="1:25" s="658" customFormat="1">
      <c r="A81" s="744">
        <v>2</v>
      </c>
      <c r="B81" s="745" t="s">
        <v>791</v>
      </c>
      <c r="C81" s="738" t="s">
        <v>777</v>
      </c>
      <c r="D81" s="758">
        <v>7546549</v>
      </c>
      <c r="E81" s="747">
        <v>14958000000</v>
      </c>
      <c r="F81" s="747">
        <v>4150000000</v>
      </c>
      <c r="G81" s="747"/>
      <c r="H81" s="747"/>
      <c r="I81" s="747"/>
      <c r="J81" s="747"/>
      <c r="K81" s="747"/>
      <c r="L81" s="747"/>
      <c r="M81" s="747"/>
      <c r="N81" s="747"/>
      <c r="O81" s="747"/>
      <c r="P81" s="747">
        <v>5400000000</v>
      </c>
      <c r="Q81" s="747">
        <f t="shared" si="39"/>
        <v>5400000000</v>
      </c>
      <c r="R81" s="747">
        <v>5400000000</v>
      </c>
      <c r="S81" s="747"/>
      <c r="T81" s="747"/>
      <c r="U81" s="747">
        <f t="shared" si="40"/>
        <v>0</v>
      </c>
      <c r="V81" s="747">
        <f t="shared" si="41"/>
        <v>5400000000</v>
      </c>
      <c r="W81" s="747">
        <f t="shared" si="42"/>
        <v>0</v>
      </c>
      <c r="X81" s="747">
        <f t="shared" si="43"/>
        <v>9550000000</v>
      </c>
      <c r="Y81" s="671" t="s">
        <v>1450</v>
      </c>
    </row>
    <row r="82" spans="1:25" s="658" customFormat="1" ht="22.5">
      <c r="A82" s="744">
        <v>3</v>
      </c>
      <c r="B82" s="745" t="s">
        <v>1458</v>
      </c>
      <c r="C82" s="738" t="s">
        <v>777</v>
      </c>
      <c r="D82" s="746">
        <v>7543929</v>
      </c>
      <c r="E82" s="747">
        <v>3119000000</v>
      </c>
      <c r="F82" s="747"/>
      <c r="G82" s="747"/>
      <c r="H82" s="747"/>
      <c r="I82" s="747"/>
      <c r="J82" s="747"/>
      <c r="K82" s="747"/>
      <c r="L82" s="747"/>
      <c r="M82" s="747"/>
      <c r="N82" s="747"/>
      <c r="O82" s="747"/>
      <c r="P82" s="747">
        <v>2474000000</v>
      </c>
      <c r="Q82" s="747">
        <f t="shared" si="39"/>
        <v>2473725800</v>
      </c>
      <c r="R82" s="747">
        <v>2473725800</v>
      </c>
      <c r="S82" s="747"/>
      <c r="T82" s="747">
        <v>0</v>
      </c>
      <c r="U82" s="747">
        <f t="shared" si="40"/>
        <v>274200</v>
      </c>
      <c r="V82" s="747">
        <f t="shared" si="41"/>
        <v>2473725800</v>
      </c>
      <c r="W82" s="747">
        <f t="shared" si="42"/>
        <v>0</v>
      </c>
      <c r="X82" s="747">
        <v>2473725000</v>
      </c>
      <c r="Y82" s="671" t="s">
        <v>1459</v>
      </c>
    </row>
    <row r="83" spans="1:25" s="658" customFormat="1" ht="31.5">
      <c r="A83" s="744">
        <v>4</v>
      </c>
      <c r="B83" s="745" t="s">
        <v>793</v>
      </c>
      <c r="C83" s="738" t="s">
        <v>777</v>
      </c>
      <c r="D83" s="746">
        <v>7567508</v>
      </c>
      <c r="E83" s="747">
        <v>6860000000</v>
      </c>
      <c r="F83" s="747">
        <v>2999999260</v>
      </c>
      <c r="G83" s="747">
        <v>1938121260</v>
      </c>
      <c r="H83" s="747"/>
      <c r="I83" s="747">
        <v>1938121260</v>
      </c>
      <c r="J83" s="747"/>
      <c r="K83" s="747"/>
      <c r="L83" s="747"/>
      <c r="M83" s="747"/>
      <c r="N83" s="747"/>
      <c r="O83" s="747"/>
      <c r="P83" s="747">
        <v>1600000000</v>
      </c>
      <c r="Q83" s="747">
        <f t="shared" si="39"/>
        <v>1599367000</v>
      </c>
      <c r="R83" s="747">
        <v>1599367000</v>
      </c>
      <c r="S83" s="747"/>
      <c r="T83" s="747">
        <v>0</v>
      </c>
      <c r="U83" s="747">
        <f t="shared" si="40"/>
        <v>633000</v>
      </c>
      <c r="V83" s="747">
        <f t="shared" si="41"/>
        <v>3537488260</v>
      </c>
      <c r="W83" s="747">
        <f t="shared" si="42"/>
        <v>0</v>
      </c>
      <c r="X83" s="747">
        <f t="shared" si="43"/>
        <v>4599366260</v>
      </c>
      <c r="Y83" s="671" t="s">
        <v>1447</v>
      </c>
    </row>
    <row r="84" spans="1:25" s="658" customFormat="1">
      <c r="A84" s="744">
        <v>5</v>
      </c>
      <c r="B84" s="745" t="s">
        <v>798</v>
      </c>
      <c r="C84" s="738" t="s">
        <v>777</v>
      </c>
      <c r="D84" s="746">
        <v>7555448</v>
      </c>
      <c r="E84" s="747">
        <v>5180000000</v>
      </c>
      <c r="F84" s="747">
        <v>2500000000</v>
      </c>
      <c r="G84" s="747"/>
      <c r="H84" s="747"/>
      <c r="I84" s="747"/>
      <c r="J84" s="747"/>
      <c r="K84" s="747"/>
      <c r="L84" s="747"/>
      <c r="M84" s="747"/>
      <c r="N84" s="747"/>
      <c r="O84" s="747"/>
      <c r="P84" s="747">
        <v>1806000000</v>
      </c>
      <c r="Q84" s="747">
        <f t="shared" si="39"/>
        <v>1805052400</v>
      </c>
      <c r="R84" s="747">
        <v>1805052400</v>
      </c>
      <c r="S84" s="747"/>
      <c r="T84" s="747">
        <v>0</v>
      </c>
      <c r="U84" s="747">
        <f t="shared" si="40"/>
        <v>947600</v>
      </c>
      <c r="V84" s="747">
        <f t="shared" si="41"/>
        <v>1805052400</v>
      </c>
      <c r="W84" s="747">
        <f t="shared" si="42"/>
        <v>0</v>
      </c>
      <c r="X84" s="747">
        <f t="shared" si="43"/>
        <v>4305052400</v>
      </c>
      <c r="Y84" s="671" t="s">
        <v>1460</v>
      </c>
    </row>
    <row r="85" spans="1:25" s="658" customFormat="1" ht="22.5">
      <c r="A85" s="744">
        <v>6</v>
      </c>
      <c r="B85" s="745" t="s">
        <v>799</v>
      </c>
      <c r="C85" s="738" t="s">
        <v>777</v>
      </c>
      <c r="D85" s="746">
        <v>7607692</v>
      </c>
      <c r="E85" s="747">
        <v>4917000000</v>
      </c>
      <c r="F85" s="747">
        <v>2000000000</v>
      </c>
      <c r="G85" s="747">
        <v>96651000</v>
      </c>
      <c r="H85" s="747"/>
      <c r="I85" s="747">
        <v>96651000</v>
      </c>
      <c r="J85" s="747"/>
      <c r="K85" s="747"/>
      <c r="L85" s="747"/>
      <c r="M85" s="747"/>
      <c r="N85" s="747"/>
      <c r="O85" s="747"/>
      <c r="P85" s="747">
        <v>2780000000</v>
      </c>
      <c r="Q85" s="747">
        <f t="shared" si="39"/>
        <v>2780000000</v>
      </c>
      <c r="R85" s="747">
        <v>2780000000</v>
      </c>
      <c r="S85" s="747"/>
      <c r="T85" s="747">
        <v>0</v>
      </c>
      <c r="U85" s="747">
        <f t="shared" si="40"/>
        <v>0</v>
      </c>
      <c r="V85" s="747">
        <f t="shared" si="41"/>
        <v>2876651000</v>
      </c>
      <c r="W85" s="747">
        <f t="shared" si="42"/>
        <v>0</v>
      </c>
      <c r="X85" s="747">
        <f t="shared" si="43"/>
        <v>4780000000</v>
      </c>
      <c r="Y85" s="671" t="s">
        <v>1417</v>
      </c>
    </row>
    <row r="86" spans="1:25" s="658" customFormat="1" ht="33.75">
      <c r="A86" s="744">
        <v>7</v>
      </c>
      <c r="B86" s="764" t="s">
        <v>2708</v>
      </c>
      <c r="C86" s="738" t="s">
        <v>777</v>
      </c>
      <c r="D86" s="772" t="s">
        <v>1461</v>
      </c>
      <c r="E86" s="747">
        <v>19193000000</v>
      </c>
      <c r="F86" s="754"/>
      <c r="G86" s="754"/>
      <c r="H86" s="754"/>
      <c r="I86" s="754"/>
      <c r="J86" s="754"/>
      <c r="K86" s="754"/>
      <c r="L86" s="754"/>
      <c r="M86" s="754"/>
      <c r="N86" s="754"/>
      <c r="O86" s="754"/>
      <c r="P86" s="747">
        <v>11000000000</v>
      </c>
      <c r="Q86" s="747">
        <f t="shared" si="39"/>
        <v>11000000000</v>
      </c>
      <c r="R86" s="754">
        <v>10092614000</v>
      </c>
      <c r="S86" s="754">
        <v>907386000</v>
      </c>
      <c r="T86" s="754">
        <v>0</v>
      </c>
      <c r="U86" s="747">
        <f t="shared" si="40"/>
        <v>0</v>
      </c>
      <c r="V86" s="747">
        <f t="shared" si="41"/>
        <v>10092614000</v>
      </c>
      <c r="W86" s="747">
        <f t="shared" si="42"/>
        <v>907386000</v>
      </c>
      <c r="X86" s="747">
        <f t="shared" si="43"/>
        <v>11000000000</v>
      </c>
      <c r="Y86" s="671" t="s">
        <v>1447</v>
      </c>
    </row>
    <row r="87" spans="1:25" s="658" customFormat="1" ht="31.5">
      <c r="A87" s="744">
        <v>8</v>
      </c>
      <c r="B87" s="764" t="s">
        <v>802</v>
      </c>
      <c r="C87" s="738" t="s">
        <v>777</v>
      </c>
      <c r="D87" s="746">
        <v>7619906</v>
      </c>
      <c r="E87" s="747">
        <v>14132000000</v>
      </c>
      <c r="F87" s="747"/>
      <c r="G87" s="747"/>
      <c r="H87" s="747"/>
      <c r="I87" s="747"/>
      <c r="J87" s="747"/>
      <c r="K87" s="747"/>
      <c r="L87" s="747"/>
      <c r="M87" s="747"/>
      <c r="N87" s="747"/>
      <c r="O87" s="747"/>
      <c r="P87" s="747">
        <v>9612000000</v>
      </c>
      <c r="Q87" s="747">
        <f t="shared" si="39"/>
        <v>9611572000</v>
      </c>
      <c r="R87" s="747">
        <v>9611572000</v>
      </c>
      <c r="S87" s="747"/>
      <c r="T87" s="747">
        <v>0</v>
      </c>
      <c r="U87" s="747">
        <f t="shared" si="40"/>
        <v>428000</v>
      </c>
      <c r="V87" s="747">
        <f t="shared" si="41"/>
        <v>9611572000</v>
      </c>
      <c r="W87" s="747">
        <f t="shared" si="42"/>
        <v>0</v>
      </c>
      <c r="X87" s="747">
        <f t="shared" si="43"/>
        <v>9611572000</v>
      </c>
      <c r="Y87" s="661" t="s">
        <v>1424</v>
      </c>
    </row>
    <row r="88" spans="1:25" s="660" customFormat="1">
      <c r="A88" s="766" t="s">
        <v>360</v>
      </c>
      <c r="B88" s="760" t="s">
        <v>41</v>
      </c>
      <c r="C88" s="729" t="s">
        <v>777</v>
      </c>
      <c r="D88" s="739"/>
      <c r="E88" s="731">
        <f>E89+E95+E103</f>
        <v>463954164000</v>
      </c>
      <c r="F88" s="731">
        <f t="shared" ref="F88:X88" si="44">F89+F95+F103</f>
        <v>246725156000</v>
      </c>
      <c r="G88" s="731">
        <f t="shared" si="44"/>
        <v>2164589380</v>
      </c>
      <c r="H88" s="731">
        <f t="shared" si="44"/>
        <v>0</v>
      </c>
      <c r="I88" s="731">
        <f t="shared" si="44"/>
        <v>386622000</v>
      </c>
      <c r="J88" s="731">
        <f t="shared" si="44"/>
        <v>0</v>
      </c>
      <c r="K88" s="731">
        <f t="shared" si="44"/>
        <v>0</v>
      </c>
      <c r="L88" s="731">
        <f t="shared" si="44"/>
        <v>0</v>
      </c>
      <c r="M88" s="731">
        <f t="shared" si="44"/>
        <v>0</v>
      </c>
      <c r="N88" s="731">
        <f t="shared" si="44"/>
        <v>0</v>
      </c>
      <c r="O88" s="731">
        <f t="shared" si="44"/>
        <v>0</v>
      </c>
      <c r="P88" s="731">
        <f t="shared" si="44"/>
        <v>42648000000</v>
      </c>
      <c r="Q88" s="731">
        <f t="shared" si="44"/>
        <v>40047380100</v>
      </c>
      <c r="R88" s="731">
        <f t="shared" si="44"/>
        <v>40047380100</v>
      </c>
      <c r="S88" s="731">
        <f t="shared" si="44"/>
        <v>0</v>
      </c>
      <c r="T88" s="731">
        <f t="shared" si="44"/>
        <v>2600619900</v>
      </c>
      <c r="U88" s="731">
        <f t="shared" si="44"/>
        <v>0</v>
      </c>
      <c r="V88" s="731">
        <f t="shared" si="44"/>
        <v>40434002100</v>
      </c>
      <c r="W88" s="731">
        <f t="shared" si="44"/>
        <v>1777967380</v>
      </c>
      <c r="X88" s="731">
        <f t="shared" si="44"/>
        <v>286772536100</v>
      </c>
      <c r="Y88" s="679"/>
    </row>
    <row r="89" spans="1:25" s="660" customFormat="1" ht="21">
      <c r="A89" s="759" t="s">
        <v>1462</v>
      </c>
      <c r="B89" s="737" t="s">
        <v>1463</v>
      </c>
      <c r="C89" s="729" t="s">
        <v>777</v>
      </c>
      <c r="D89" s="739"/>
      <c r="E89" s="731">
        <f>E90</f>
        <v>277990000000</v>
      </c>
      <c r="F89" s="731">
        <f t="shared" ref="F89:U90" si="45">F90</f>
        <v>127337550000</v>
      </c>
      <c r="G89" s="731">
        <f t="shared" si="45"/>
        <v>646216000</v>
      </c>
      <c r="H89" s="731">
        <f t="shared" si="45"/>
        <v>0</v>
      </c>
      <c r="I89" s="731">
        <f t="shared" si="45"/>
        <v>154606000</v>
      </c>
      <c r="J89" s="731">
        <f t="shared" si="45"/>
        <v>0</v>
      </c>
      <c r="K89" s="731">
        <f t="shared" si="45"/>
        <v>0</v>
      </c>
      <c r="L89" s="731">
        <f t="shared" si="45"/>
        <v>0</v>
      </c>
      <c r="M89" s="731">
        <f t="shared" si="45"/>
        <v>0</v>
      </c>
      <c r="N89" s="731">
        <f t="shared" si="45"/>
        <v>0</v>
      </c>
      <c r="O89" s="731">
        <f t="shared" si="45"/>
        <v>0</v>
      </c>
      <c r="P89" s="731">
        <f t="shared" si="45"/>
        <v>22734000000</v>
      </c>
      <c r="Q89" s="731">
        <f t="shared" si="45"/>
        <v>20738177900</v>
      </c>
      <c r="R89" s="731">
        <f t="shared" si="45"/>
        <v>20738177900</v>
      </c>
      <c r="S89" s="731">
        <f t="shared" si="45"/>
        <v>0</v>
      </c>
      <c r="T89" s="731">
        <f t="shared" si="45"/>
        <v>1995822100</v>
      </c>
      <c r="U89" s="731">
        <f t="shared" si="45"/>
        <v>0</v>
      </c>
      <c r="V89" s="731">
        <f t="shared" ref="Q89:X90" si="46">V90</f>
        <v>20892783900</v>
      </c>
      <c r="W89" s="731">
        <f t="shared" si="46"/>
        <v>491610000</v>
      </c>
      <c r="X89" s="731">
        <f t="shared" si="46"/>
        <v>148075727900</v>
      </c>
      <c r="Y89" s="680"/>
    </row>
    <row r="90" spans="1:25" s="660" customFormat="1" ht="21">
      <c r="A90" s="736" t="s">
        <v>254</v>
      </c>
      <c r="B90" s="737" t="s">
        <v>1392</v>
      </c>
      <c r="C90" s="729" t="s">
        <v>777</v>
      </c>
      <c r="D90" s="739"/>
      <c r="E90" s="731">
        <f>E91</f>
        <v>277990000000</v>
      </c>
      <c r="F90" s="731">
        <f t="shared" si="45"/>
        <v>127337550000</v>
      </c>
      <c r="G90" s="731">
        <f t="shared" si="45"/>
        <v>646216000</v>
      </c>
      <c r="H90" s="731">
        <f t="shared" si="45"/>
        <v>0</v>
      </c>
      <c r="I90" s="731">
        <f t="shared" si="45"/>
        <v>154606000</v>
      </c>
      <c r="J90" s="731">
        <f t="shared" si="45"/>
        <v>0</v>
      </c>
      <c r="K90" s="731">
        <f t="shared" si="45"/>
        <v>0</v>
      </c>
      <c r="L90" s="731">
        <f t="shared" si="45"/>
        <v>0</v>
      </c>
      <c r="M90" s="731">
        <f t="shared" si="45"/>
        <v>0</v>
      </c>
      <c r="N90" s="731">
        <f t="shared" si="45"/>
        <v>0</v>
      </c>
      <c r="O90" s="731">
        <f t="shared" si="45"/>
        <v>0</v>
      </c>
      <c r="P90" s="731">
        <f t="shared" si="45"/>
        <v>22734000000</v>
      </c>
      <c r="Q90" s="731">
        <f t="shared" si="46"/>
        <v>20738177900</v>
      </c>
      <c r="R90" s="731">
        <f t="shared" si="46"/>
        <v>20738177900</v>
      </c>
      <c r="S90" s="731">
        <f t="shared" si="46"/>
        <v>0</v>
      </c>
      <c r="T90" s="731">
        <f t="shared" si="46"/>
        <v>1995822100</v>
      </c>
      <c r="U90" s="731">
        <f t="shared" si="46"/>
        <v>0</v>
      </c>
      <c r="V90" s="731">
        <f t="shared" si="46"/>
        <v>20892783900</v>
      </c>
      <c r="W90" s="731">
        <f t="shared" si="46"/>
        <v>491610000</v>
      </c>
      <c r="X90" s="731">
        <f t="shared" si="46"/>
        <v>148075727900</v>
      </c>
      <c r="Y90" s="667"/>
    </row>
    <row r="91" spans="1:25" s="663" customFormat="1" ht="22.5">
      <c r="A91" s="740" t="s">
        <v>1393</v>
      </c>
      <c r="B91" s="741" t="s">
        <v>1394</v>
      </c>
      <c r="C91" s="750" t="s">
        <v>777</v>
      </c>
      <c r="D91" s="742"/>
      <c r="E91" s="743">
        <f>SUM(E92:E94)</f>
        <v>277990000000</v>
      </c>
      <c r="F91" s="743">
        <f t="shared" ref="F91:X91" si="47">SUM(F92:F94)</f>
        <v>127337550000</v>
      </c>
      <c r="G91" s="743">
        <f t="shared" si="47"/>
        <v>646216000</v>
      </c>
      <c r="H91" s="743">
        <f t="shared" si="47"/>
        <v>0</v>
      </c>
      <c r="I91" s="743">
        <f t="shared" si="47"/>
        <v>154606000</v>
      </c>
      <c r="J91" s="743">
        <f t="shared" si="47"/>
        <v>0</v>
      </c>
      <c r="K91" s="743">
        <f t="shared" si="47"/>
        <v>0</v>
      </c>
      <c r="L91" s="743">
        <f t="shared" si="47"/>
        <v>0</v>
      </c>
      <c r="M91" s="743">
        <f t="shared" si="47"/>
        <v>0</v>
      </c>
      <c r="N91" s="743">
        <f t="shared" si="47"/>
        <v>0</v>
      </c>
      <c r="O91" s="743">
        <f t="shared" si="47"/>
        <v>0</v>
      </c>
      <c r="P91" s="743">
        <f t="shared" si="47"/>
        <v>22734000000</v>
      </c>
      <c r="Q91" s="743">
        <f t="shared" si="47"/>
        <v>20738177900</v>
      </c>
      <c r="R91" s="743">
        <f t="shared" si="47"/>
        <v>20738177900</v>
      </c>
      <c r="S91" s="743">
        <f t="shared" si="47"/>
        <v>0</v>
      </c>
      <c r="T91" s="743">
        <f t="shared" si="47"/>
        <v>1995822100</v>
      </c>
      <c r="U91" s="743">
        <f t="shared" si="47"/>
        <v>0</v>
      </c>
      <c r="V91" s="743">
        <f t="shared" si="47"/>
        <v>20892783900</v>
      </c>
      <c r="W91" s="743">
        <f t="shared" si="47"/>
        <v>491610000</v>
      </c>
      <c r="X91" s="743">
        <f t="shared" si="47"/>
        <v>148075727900</v>
      </c>
      <c r="Y91" s="668"/>
    </row>
    <row r="92" spans="1:25" s="658" customFormat="1">
      <c r="A92" s="744">
        <v>1</v>
      </c>
      <c r="B92" s="753" t="s">
        <v>1464</v>
      </c>
      <c r="C92" s="738" t="s">
        <v>777</v>
      </c>
      <c r="D92" s="746" t="s">
        <v>42</v>
      </c>
      <c r="E92" s="747">
        <v>109565000000</v>
      </c>
      <c r="F92" s="747">
        <v>85307730000</v>
      </c>
      <c r="G92" s="747">
        <v>417200000</v>
      </c>
      <c r="H92" s="747"/>
      <c r="I92" s="747">
        <v>96507000</v>
      </c>
      <c r="J92" s="747"/>
      <c r="K92" s="747"/>
      <c r="L92" s="747"/>
      <c r="M92" s="747"/>
      <c r="N92" s="747"/>
      <c r="O92" s="747"/>
      <c r="P92" s="747">
        <v>12734000000</v>
      </c>
      <c r="Q92" s="747">
        <f t="shared" si="39"/>
        <v>10748140900</v>
      </c>
      <c r="R92" s="747">
        <v>10748140900</v>
      </c>
      <c r="S92" s="747"/>
      <c r="T92" s="747">
        <v>1985859100</v>
      </c>
      <c r="U92" s="747">
        <f t="shared" si="40"/>
        <v>0</v>
      </c>
      <c r="V92" s="747">
        <f t="shared" si="41"/>
        <v>10844647900</v>
      </c>
      <c r="W92" s="747">
        <f t="shared" si="42"/>
        <v>320693000</v>
      </c>
      <c r="X92" s="747">
        <f t="shared" si="43"/>
        <v>96055870900</v>
      </c>
      <c r="Y92" s="681" t="s">
        <v>1465</v>
      </c>
    </row>
    <row r="93" spans="1:25" s="658" customFormat="1" ht="22.5">
      <c r="A93" s="744">
        <v>2</v>
      </c>
      <c r="B93" s="753" t="s">
        <v>2709</v>
      </c>
      <c r="C93" s="738" t="s">
        <v>777</v>
      </c>
      <c r="D93" s="746" t="s">
        <v>42</v>
      </c>
      <c r="E93" s="747">
        <v>130927000000</v>
      </c>
      <c r="F93" s="747">
        <v>30629820000</v>
      </c>
      <c r="G93" s="747">
        <v>229016000</v>
      </c>
      <c r="H93" s="747"/>
      <c r="I93" s="747">
        <v>58099000</v>
      </c>
      <c r="J93" s="747"/>
      <c r="K93" s="747"/>
      <c r="L93" s="747"/>
      <c r="M93" s="747"/>
      <c r="N93" s="747"/>
      <c r="O93" s="747"/>
      <c r="P93" s="747">
        <v>5000000000</v>
      </c>
      <c r="Q93" s="747">
        <f t="shared" si="39"/>
        <v>4990530000</v>
      </c>
      <c r="R93" s="747">
        <v>4990530000</v>
      </c>
      <c r="S93" s="747"/>
      <c r="T93" s="747">
        <v>9470000</v>
      </c>
      <c r="U93" s="747">
        <f t="shared" si="40"/>
        <v>0</v>
      </c>
      <c r="V93" s="747">
        <f t="shared" si="41"/>
        <v>5048629000</v>
      </c>
      <c r="W93" s="747">
        <f t="shared" si="42"/>
        <v>170917000</v>
      </c>
      <c r="X93" s="747">
        <f t="shared" si="43"/>
        <v>35620350000</v>
      </c>
      <c r="Y93" s="681" t="s">
        <v>1465</v>
      </c>
    </row>
    <row r="94" spans="1:25" s="658" customFormat="1" ht="22.5">
      <c r="A94" s="744">
        <v>3</v>
      </c>
      <c r="B94" s="753" t="s">
        <v>2710</v>
      </c>
      <c r="C94" s="738" t="s">
        <v>777</v>
      </c>
      <c r="D94" s="746" t="s">
        <v>42</v>
      </c>
      <c r="E94" s="747">
        <v>37498000000</v>
      </c>
      <c r="F94" s="747">
        <v>11400000000</v>
      </c>
      <c r="G94" s="747"/>
      <c r="H94" s="747"/>
      <c r="I94" s="747"/>
      <c r="J94" s="747"/>
      <c r="K94" s="747"/>
      <c r="L94" s="747"/>
      <c r="M94" s="747"/>
      <c r="N94" s="747"/>
      <c r="O94" s="747"/>
      <c r="P94" s="747">
        <v>5000000000</v>
      </c>
      <c r="Q94" s="747">
        <f t="shared" si="39"/>
        <v>4999507000</v>
      </c>
      <c r="R94" s="747">
        <v>4999507000</v>
      </c>
      <c r="S94" s="747"/>
      <c r="T94" s="747">
        <v>493000</v>
      </c>
      <c r="U94" s="747">
        <f t="shared" si="40"/>
        <v>0</v>
      </c>
      <c r="V94" s="747">
        <f t="shared" si="41"/>
        <v>4999507000</v>
      </c>
      <c r="W94" s="747">
        <f t="shared" si="42"/>
        <v>0</v>
      </c>
      <c r="X94" s="747">
        <f t="shared" si="43"/>
        <v>16399507000</v>
      </c>
      <c r="Y94" s="681" t="s">
        <v>1465</v>
      </c>
    </row>
    <row r="95" spans="1:25" s="660" customFormat="1">
      <c r="A95" s="759" t="s">
        <v>1462</v>
      </c>
      <c r="B95" s="737" t="s">
        <v>1466</v>
      </c>
      <c r="C95" s="729" t="s">
        <v>777</v>
      </c>
      <c r="D95" s="730"/>
      <c r="E95" s="731">
        <f>E96+E100</f>
        <v>42070000000</v>
      </c>
      <c r="F95" s="731">
        <f t="shared" ref="F95:X95" si="48">F96+F100</f>
        <v>20496845000</v>
      </c>
      <c r="G95" s="731">
        <f t="shared" si="48"/>
        <v>68600000</v>
      </c>
      <c r="H95" s="731">
        <f t="shared" si="48"/>
        <v>0</v>
      </c>
      <c r="I95" s="731">
        <f t="shared" si="48"/>
        <v>68600000</v>
      </c>
      <c r="J95" s="731">
        <f t="shared" si="48"/>
        <v>0</v>
      </c>
      <c r="K95" s="731">
        <f t="shared" si="48"/>
        <v>0</v>
      </c>
      <c r="L95" s="731">
        <f t="shared" si="48"/>
        <v>0</v>
      </c>
      <c r="M95" s="731">
        <f t="shared" si="48"/>
        <v>0</v>
      </c>
      <c r="N95" s="731">
        <f t="shared" si="48"/>
        <v>0</v>
      </c>
      <c r="O95" s="731">
        <f t="shared" si="48"/>
        <v>0</v>
      </c>
      <c r="P95" s="731">
        <f t="shared" si="48"/>
        <v>11830000000</v>
      </c>
      <c r="Q95" s="731">
        <f t="shared" si="48"/>
        <v>11251124200</v>
      </c>
      <c r="R95" s="731">
        <f t="shared" si="48"/>
        <v>11251124200</v>
      </c>
      <c r="S95" s="731">
        <f t="shared" si="48"/>
        <v>0</v>
      </c>
      <c r="T95" s="731">
        <f t="shared" si="48"/>
        <v>578875800</v>
      </c>
      <c r="U95" s="731">
        <f t="shared" si="48"/>
        <v>0</v>
      </c>
      <c r="V95" s="731">
        <f t="shared" si="48"/>
        <v>11319724200</v>
      </c>
      <c r="W95" s="731">
        <f t="shared" si="48"/>
        <v>0</v>
      </c>
      <c r="X95" s="731">
        <f t="shared" si="48"/>
        <v>31747969200</v>
      </c>
      <c r="Y95" s="680"/>
    </row>
    <row r="96" spans="1:25" s="660" customFormat="1" ht="21">
      <c r="A96" s="736" t="s">
        <v>254</v>
      </c>
      <c r="B96" s="737" t="s">
        <v>1392</v>
      </c>
      <c r="C96" s="729" t="s">
        <v>777</v>
      </c>
      <c r="D96" s="730"/>
      <c r="E96" s="731">
        <f>E97</f>
        <v>8595000000</v>
      </c>
      <c r="F96" s="731">
        <f t="shared" ref="F96:X96" si="49">F97</f>
        <v>49100000</v>
      </c>
      <c r="G96" s="731">
        <f t="shared" si="49"/>
        <v>49100000</v>
      </c>
      <c r="H96" s="731">
        <f t="shared" si="49"/>
        <v>0</v>
      </c>
      <c r="I96" s="731">
        <f t="shared" si="49"/>
        <v>49100000</v>
      </c>
      <c r="J96" s="731">
        <f t="shared" si="49"/>
        <v>0</v>
      </c>
      <c r="K96" s="731">
        <f t="shared" si="49"/>
        <v>0</v>
      </c>
      <c r="L96" s="731">
        <f t="shared" si="49"/>
        <v>0</v>
      </c>
      <c r="M96" s="731">
        <f t="shared" si="49"/>
        <v>0</v>
      </c>
      <c r="N96" s="731">
        <f t="shared" si="49"/>
        <v>0</v>
      </c>
      <c r="O96" s="731">
        <f t="shared" si="49"/>
        <v>0</v>
      </c>
      <c r="P96" s="731">
        <f t="shared" si="49"/>
        <v>6830000000</v>
      </c>
      <c r="Q96" s="731">
        <f t="shared" si="49"/>
        <v>6829005200</v>
      </c>
      <c r="R96" s="731">
        <f t="shared" si="49"/>
        <v>6829005200</v>
      </c>
      <c r="S96" s="731">
        <f t="shared" si="49"/>
        <v>0</v>
      </c>
      <c r="T96" s="731">
        <f t="shared" si="49"/>
        <v>994800</v>
      </c>
      <c r="U96" s="731">
        <f t="shared" si="49"/>
        <v>0</v>
      </c>
      <c r="V96" s="731">
        <f t="shared" si="49"/>
        <v>6878105200</v>
      </c>
      <c r="W96" s="731">
        <f t="shared" si="49"/>
        <v>0</v>
      </c>
      <c r="X96" s="731">
        <f t="shared" si="49"/>
        <v>6878105200</v>
      </c>
      <c r="Y96" s="667"/>
    </row>
    <row r="97" spans="1:25" s="663" customFormat="1" ht="22.5">
      <c r="A97" s="740" t="s">
        <v>1393</v>
      </c>
      <c r="B97" s="741" t="s">
        <v>1394</v>
      </c>
      <c r="C97" s="750" t="s">
        <v>777</v>
      </c>
      <c r="D97" s="742"/>
      <c r="E97" s="743">
        <f>SUM(E98:E99)</f>
        <v>8595000000</v>
      </c>
      <c r="F97" s="743">
        <f t="shared" ref="F97:X97" si="50">SUM(F98:F99)</f>
        <v>49100000</v>
      </c>
      <c r="G97" s="743">
        <f t="shared" si="50"/>
        <v>49100000</v>
      </c>
      <c r="H97" s="743">
        <f t="shared" si="50"/>
        <v>0</v>
      </c>
      <c r="I97" s="743">
        <f t="shared" si="50"/>
        <v>49100000</v>
      </c>
      <c r="J97" s="743">
        <f t="shared" si="50"/>
        <v>0</v>
      </c>
      <c r="K97" s="743">
        <f t="shared" si="50"/>
        <v>0</v>
      </c>
      <c r="L97" s="743">
        <f t="shared" si="50"/>
        <v>0</v>
      </c>
      <c r="M97" s="743">
        <f t="shared" si="50"/>
        <v>0</v>
      </c>
      <c r="N97" s="743">
        <f t="shared" si="50"/>
        <v>0</v>
      </c>
      <c r="O97" s="743">
        <f t="shared" si="50"/>
        <v>0</v>
      </c>
      <c r="P97" s="743">
        <f t="shared" si="50"/>
        <v>6830000000</v>
      </c>
      <c r="Q97" s="743">
        <f t="shared" si="50"/>
        <v>6829005200</v>
      </c>
      <c r="R97" s="743">
        <f t="shared" si="50"/>
        <v>6829005200</v>
      </c>
      <c r="S97" s="743">
        <f t="shared" si="50"/>
        <v>0</v>
      </c>
      <c r="T97" s="743">
        <f t="shared" si="50"/>
        <v>994800</v>
      </c>
      <c r="U97" s="743">
        <f t="shared" si="50"/>
        <v>0</v>
      </c>
      <c r="V97" s="743">
        <f t="shared" si="50"/>
        <v>6878105200</v>
      </c>
      <c r="W97" s="743">
        <f t="shared" si="50"/>
        <v>0</v>
      </c>
      <c r="X97" s="743">
        <f t="shared" si="50"/>
        <v>6878105200</v>
      </c>
      <c r="Y97" s="668"/>
    </row>
    <row r="98" spans="1:25" s="658" customFormat="1" ht="22.5">
      <c r="A98" s="744">
        <v>1</v>
      </c>
      <c r="B98" s="764" t="s">
        <v>1467</v>
      </c>
      <c r="C98" s="738" t="s">
        <v>777</v>
      </c>
      <c r="D98" s="746">
        <v>7004692</v>
      </c>
      <c r="E98" s="747">
        <v>1878000000</v>
      </c>
      <c r="F98" s="747"/>
      <c r="G98" s="747"/>
      <c r="H98" s="747"/>
      <c r="I98" s="747"/>
      <c r="J98" s="747"/>
      <c r="K98" s="747"/>
      <c r="L98" s="747"/>
      <c r="M98" s="747"/>
      <c r="N98" s="747"/>
      <c r="O98" s="747"/>
      <c r="P98" s="747">
        <v>113000000</v>
      </c>
      <c r="Q98" s="747">
        <f t="shared" si="39"/>
        <v>112755200</v>
      </c>
      <c r="R98" s="747">
        <v>112755200</v>
      </c>
      <c r="S98" s="747"/>
      <c r="T98" s="747">
        <v>244800</v>
      </c>
      <c r="U98" s="747">
        <f t="shared" si="40"/>
        <v>0</v>
      </c>
      <c r="V98" s="747">
        <f t="shared" si="41"/>
        <v>112755200</v>
      </c>
      <c r="W98" s="747">
        <f t="shared" si="42"/>
        <v>0</v>
      </c>
      <c r="X98" s="747">
        <f t="shared" si="43"/>
        <v>112755200</v>
      </c>
      <c r="Y98" s="681" t="s">
        <v>719</v>
      </c>
    </row>
    <row r="99" spans="1:25" s="658" customFormat="1" ht="22.5">
      <c r="A99" s="744">
        <v>2</v>
      </c>
      <c r="B99" s="764" t="s">
        <v>1468</v>
      </c>
      <c r="C99" s="738" t="s">
        <v>777</v>
      </c>
      <c r="D99" s="746">
        <v>7004692</v>
      </c>
      <c r="E99" s="747">
        <v>6717000000</v>
      </c>
      <c r="F99" s="747">
        <v>49100000</v>
      </c>
      <c r="G99" s="747">
        <v>49100000</v>
      </c>
      <c r="H99" s="747"/>
      <c r="I99" s="747">
        <v>49100000</v>
      </c>
      <c r="J99" s="747"/>
      <c r="K99" s="747"/>
      <c r="L99" s="747"/>
      <c r="M99" s="747"/>
      <c r="N99" s="747"/>
      <c r="O99" s="747"/>
      <c r="P99" s="747">
        <v>6717000000</v>
      </c>
      <c r="Q99" s="747">
        <f t="shared" si="39"/>
        <v>6716250000</v>
      </c>
      <c r="R99" s="747">
        <v>6716250000</v>
      </c>
      <c r="S99" s="747"/>
      <c r="T99" s="747">
        <v>750000</v>
      </c>
      <c r="U99" s="747">
        <f t="shared" si="40"/>
        <v>0</v>
      </c>
      <c r="V99" s="747">
        <f t="shared" si="41"/>
        <v>6765350000</v>
      </c>
      <c r="W99" s="747">
        <f t="shared" si="42"/>
        <v>0</v>
      </c>
      <c r="X99" s="747">
        <f t="shared" si="43"/>
        <v>6765350000</v>
      </c>
      <c r="Y99" s="682" t="s">
        <v>719</v>
      </c>
    </row>
    <row r="100" spans="1:25" s="660" customFormat="1">
      <c r="A100" s="736" t="s">
        <v>256</v>
      </c>
      <c r="B100" s="737" t="s">
        <v>1430</v>
      </c>
      <c r="C100" s="729" t="s">
        <v>777</v>
      </c>
      <c r="D100" s="739"/>
      <c r="E100" s="731">
        <f>E101</f>
        <v>33475000000</v>
      </c>
      <c r="F100" s="731">
        <f t="shared" ref="F100:U101" si="51">F101</f>
        <v>20447745000</v>
      </c>
      <c r="G100" s="731">
        <f t="shared" si="51"/>
        <v>19500000</v>
      </c>
      <c r="H100" s="731">
        <f t="shared" si="51"/>
        <v>0</v>
      </c>
      <c r="I100" s="731">
        <f t="shared" si="51"/>
        <v>19500000</v>
      </c>
      <c r="J100" s="731">
        <f t="shared" si="51"/>
        <v>0</v>
      </c>
      <c r="K100" s="731">
        <f t="shared" si="51"/>
        <v>0</v>
      </c>
      <c r="L100" s="731">
        <f t="shared" si="51"/>
        <v>0</v>
      </c>
      <c r="M100" s="731">
        <f t="shared" si="51"/>
        <v>0</v>
      </c>
      <c r="N100" s="731">
        <f t="shared" si="51"/>
        <v>0</v>
      </c>
      <c r="O100" s="731">
        <f t="shared" si="51"/>
        <v>0</v>
      </c>
      <c r="P100" s="731">
        <f t="shared" si="51"/>
        <v>5000000000</v>
      </c>
      <c r="Q100" s="731">
        <f t="shared" si="51"/>
        <v>4422119000</v>
      </c>
      <c r="R100" s="731">
        <f t="shared" si="51"/>
        <v>4422119000</v>
      </c>
      <c r="S100" s="731">
        <f t="shared" si="51"/>
        <v>0</v>
      </c>
      <c r="T100" s="731">
        <f t="shared" si="51"/>
        <v>577881000</v>
      </c>
      <c r="U100" s="731">
        <f t="shared" si="51"/>
        <v>0</v>
      </c>
      <c r="V100" s="731">
        <f t="shared" ref="Q100:X101" si="52">V101</f>
        <v>4441619000</v>
      </c>
      <c r="W100" s="731">
        <f t="shared" si="52"/>
        <v>0</v>
      </c>
      <c r="X100" s="731">
        <f t="shared" si="52"/>
        <v>24869864000</v>
      </c>
      <c r="Y100" s="662"/>
    </row>
    <row r="101" spans="1:25" s="663" customFormat="1" ht="22.5">
      <c r="A101" s="740" t="s">
        <v>1393</v>
      </c>
      <c r="B101" s="741" t="s">
        <v>1438</v>
      </c>
      <c r="C101" s="750" t="s">
        <v>777</v>
      </c>
      <c r="D101" s="742"/>
      <c r="E101" s="743">
        <f>E102</f>
        <v>33475000000</v>
      </c>
      <c r="F101" s="743">
        <f t="shared" si="51"/>
        <v>20447745000</v>
      </c>
      <c r="G101" s="743">
        <f t="shared" si="51"/>
        <v>19500000</v>
      </c>
      <c r="H101" s="743">
        <f t="shared" si="51"/>
        <v>0</v>
      </c>
      <c r="I101" s="743">
        <f t="shared" si="51"/>
        <v>19500000</v>
      </c>
      <c r="J101" s="743">
        <f t="shared" si="51"/>
        <v>0</v>
      </c>
      <c r="K101" s="743">
        <f t="shared" si="51"/>
        <v>0</v>
      </c>
      <c r="L101" s="743">
        <f t="shared" si="51"/>
        <v>0</v>
      </c>
      <c r="M101" s="743">
        <f t="shared" si="51"/>
        <v>0</v>
      </c>
      <c r="N101" s="743">
        <f t="shared" si="51"/>
        <v>0</v>
      </c>
      <c r="O101" s="743">
        <f t="shared" si="51"/>
        <v>0</v>
      </c>
      <c r="P101" s="743">
        <f t="shared" si="51"/>
        <v>5000000000</v>
      </c>
      <c r="Q101" s="743">
        <f t="shared" si="52"/>
        <v>4422119000</v>
      </c>
      <c r="R101" s="743">
        <f t="shared" si="52"/>
        <v>4422119000</v>
      </c>
      <c r="S101" s="743">
        <f t="shared" si="52"/>
        <v>0</v>
      </c>
      <c r="T101" s="743">
        <f t="shared" si="52"/>
        <v>577881000</v>
      </c>
      <c r="U101" s="743">
        <f t="shared" si="52"/>
        <v>0</v>
      </c>
      <c r="V101" s="743">
        <f t="shared" si="52"/>
        <v>4441619000</v>
      </c>
      <c r="W101" s="743">
        <f t="shared" si="52"/>
        <v>0</v>
      </c>
      <c r="X101" s="743">
        <f t="shared" si="52"/>
        <v>24869864000</v>
      </c>
      <c r="Y101" s="664"/>
    </row>
    <row r="102" spans="1:25" s="658" customFormat="1" ht="22.5">
      <c r="A102" s="744">
        <v>1</v>
      </c>
      <c r="B102" s="764" t="s">
        <v>1469</v>
      </c>
      <c r="C102" s="738" t="s">
        <v>777</v>
      </c>
      <c r="D102" s="746">
        <v>7004692</v>
      </c>
      <c r="E102" s="747">
        <v>33475000000</v>
      </c>
      <c r="F102" s="747">
        <v>20447745000</v>
      </c>
      <c r="G102" s="747">
        <v>19500000</v>
      </c>
      <c r="H102" s="747"/>
      <c r="I102" s="747">
        <v>19500000</v>
      </c>
      <c r="J102" s="747"/>
      <c r="K102" s="747"/>
      <c r="L102" s="747"/>
      <c r="M102" s="747"/>
      <c r="N102" s="747"/>
      <c r="O102" s="747"/>
      <c r="P102" s="747">
        <v>5000000000</v>
      </c>
      <c r="Q102" s="747">
        <f t="shared" si="39"/>
        <v>4422119000</v>
      </c>
      <c r="R102" s="747">
        <v>4422119000</v>
      </c>
      <c r="S102" s="747"/>
      <c r="T102" s="747">
        <v>577881000</v>
      </c>
      <c r="U102" s="747">
        <f t="shared" si="40"/>
        <v>0</v>
      </c>
      <c r="V102" s="747">
        <f t="shared" si="41"/>
        <v>4441619000</v>
      </c>
      <c r="W102" s="747">
        <f t="shared" si="42"/>
        <v>0</v>
      </c>
      <c r="X102" s="747">
        <f t="shared" si="43"/>
        <v>24869864000</v>
      </c>
      <c r="Y102" s="681" t="s">
        <v>719</v>
      </c>
    </row>
    <row r="103" spans="1:25" s="660" customFormat="1" ht="21">
      <c r="A103" s="759" t="s">
        <v>1462</v>
      </c>
      <c r="B103" s="760" t="s">
        <v>1470</v>
      </c>
      <c r="C103" s="729" t="s">
        <v>777</v>
      </c>
      <c r="D103" s="739"/>
      <c r="E103" s="731">
        <f>E104</f>
        <v>143894164000</v>
      </c>
      <c r="F103" s="731">
        <f t="shared" ref="F103:U104" si="53">F104</f>
        <v>98890761000</v>
      </c>
      <c r="G103" s="731">
        <f t="shared" si="53"/>
        <v>1449773380</v>
      </c>
      <c r="H103" s="731">
        <f t="shared" si="53"/>
        <v>0</v>
      </c>
      <c r="I103" s="731">
        <f t="shared" si="53"/>
        <v>163416000</v>
      </c>
      <c r="J103" s="731">
        <f t="shared" si="53"/>
        <v>0</v>
      </c>
      <c r="K103" s="731">
        <f t="shared" si="53"/>
        <v>0</v>
      </c>
      <c r="L103" s="731">
        <f t="shared" si="53"/>
        <v>0</v>
      </c>
      <c r="M103" s="731">
        <f t="shared" si="53"/>
        <v>0</v>
      </c>
      <c r="N103" s="731">
        <f t="shared" si="53"/>
        <v>0</v>
      </c>
      <c r="O103" s="731">
        <f t="shared" si="53"/>
        <v>0</v>
      </c>
      <c r="P103" s="731">
        <f t="shared" si="53"/>
        <v>8084000000</v>
      </c>
      <c r="Q103" s="731">
        <f t="shared" si="53"/>
        <v>8058078000</v>
      </c>
      <c r="R103" s="731">
        <f t="shared" si="53"/>
        <v>8058078000</v>
      </c>
      <c r="S103" s="731">
        <f t="shared" si="53"/>
        <v>0</v>
      </c>
      <c r="T103" s="731">
        <f t="shared" si="53"/>
        <v>25922000</v>
      </c>
      <c r="U103" s="731">
        <f t="shared" si="53"/>
        <v>0</v>
      </c>
      <c r="V103" s="731">
        <f t="shared" ref="Q103:X104" si="54">V104</f>
        <v>8221494000</v>
      </c>
      <c r="W103" s="731">
        <f t="shared" si="54"/>
        <v>1286357380</v>
      </c>
      <c r="X103" s="731">
        <f t="shared" si="54"/>
        <v>106948839000</v>
      </c>
      <c r="Y103" s="680"/>
    </row>
    <row r="104" spans="1:25" s="660" customFormat="1">
      <c r="A104" s="736" t="s">
        <v>254</v>
      </c>
      <c r="B104" s="737" t="s">
        <v>1430</v>
      </c>
      <c r="C104" s="729" t="s">
        <v>777</v>
      </c>
      <c r="D104" s="730"/>
      <c r="E104" s="731">
        <f>E105</f>
        <v>143894164000</v>
      </c>
      <c r="F104" s="731">
        <f t="shared" si="53"/>
        <v>98890761000</v>
      </c>
      <c r="G104" s="731">
        <f t="shared" si="53"/>
        <v>1449773380</v>
      </c>
      <c r="H104" s="731">
        <f t="shared" si="53"/>
        <v>0</v>
      </c>
      <c r="I104" s="731">
        <f t="shared" si="53"/>
        <v>163416000</v>
      </c>
      <c r="J104" s="731">
        <f t="shared" si="53"/>
        <v>0</v>
      </c>
      <c r="K104" s="731">
        <f t="shared" si="53"/>
        <v>0</v>
      </c>
      <c r="L104" s="731">
        <f t="shared" si="53"/>
        <v>0</v>
      </c>
      <c r="M104" s="731">
        <f t="shared" si="53"/>
        <v>0</v>
      </c>
      <c r="N104" s="731">
        <f t="shared" si="53"/>
        <v>0</v>
      </c>
      <c r="O104" s="731">
        <f t="shared" si="53"/>
        <v>0</v>
      </c>
      <c r="P104" s="731">
        <f t="shared" si="53"/>
        <v>8084000000</v>
      </c>
      <c r="Q104" s="731">
        <f t="shared" si="54"/>
        <v>8058078000</v>
      </c>
      <c r="R104" s="731">
        <f t="shared" si="54"/>
        <v>8058078000</v>
      </c>
      <c r="S104" s="731">
        <f t="shared" si="54"/>
        <v>0</v>
      </c>
      <c r="T104" s="731">
        <f t="shared" si="54"/>
        <v>25922000</v>
      </c>
      <c r="U104" s="731">
        <f t="shared" si="54"/>
        <v>0</v>
      </c>
      <c r="V104" s="731">
        <f t="shared" si="54"/>
        <v>8221494000</v>
      </c>
      <c r="W104" s="731">
        <f t="shared" si="54"/>
        <v>1286357380</v>
      </c>
      <c r="X104" s="731">
        <f t="shared" si="54"/>
        <v>106948839000</v>
      </c>
      <c r="Y104" s="662"/>
    </row>
    <row r="105" spans="1:25" s="663" customFormat="1" ht="22.5">
      <c r="A105" s="740" t="s">
        <v>1393</v>
      </c>
      <c r="B105" s="741" t="s">
        <v>1438</v>
      </c>
      <c r="C105" s="750" t="s">
        <v>777</v>
      </c>
      <c r="D105" s="756"/>
      <c r="E105" s="743">
        <f>SUM(E106:E112)</f>
        <v>143894164000</v>
      </c>
      <c r="F105" s="743">
        <f t="shared" ref="F105:X105" si="55">SUM(F106:F112)</f>
        <v>98890761000</v>
      </c>
      <c r="G105" s="743">
        <f t="shared" si="55"/>
        <v>1449773380</v>
      </c>
      <c r="H105" s="743">
        <f t="shared" si="55"/>
        <v>0</v>
      </c>
      <c r="I105" s="743">
        <f t="shared" si="55"/>
        <v>163416000</v>
      </c>
      <c r="J105" s="743">
        <f t="shared" si="55"/>
        <v>0</v>
      </c>
      <c r="K105" s="743">
        <f t="shared" si="55"/>
        <v>0</v>
      </c>
      <c r="L105" s="743">
        <f t="shared" si="55"/>
        <v>0</v>
      </c>
      <c r="M105" s="743">
        <f t="shared" si="55"/>
        <v>0</v>
      </c>
      <c r="N105" s="743">
        <f t="shared" si="55"/>
        <v>0</v>
      </c>
      <c r="O105" s="743">
        <f t="shared" si="55"/>
        <v>0</v>
      </c>
      <c r="P105" s="743">
        <f t="shared" si="55"/>
        <v>8084000000</v>
      </c>
      <c r="Q105" s="743">
        <f t="shared" si="55"/>
        <v>8058078000</v>
      </c>
      <c r="R105" s="743">
        <f t="shared" si="55"/>
        <v>8058078000</v>
      </c>
      <c r="S105" s="743">
        <f t="shared" si="55"/>
        <v>0</v>
      </c>
      <c r="T105" s="743">
        <f t="shared" si="55"/>
        <v>25922000</v>
      </c>
      <c r="U105" s="743">
        <f t="shared" si="55"/>
        <v>0</v>
      </c>
      <c r="V105" s="743">
        <f t="shared" si="55"/>
        <v>8221494000</v>
      </c>
      <c r="W105" s="743">
        <f t="shared" si="55"/>
        <v>1286357380</v>
      </c>
      <c r="X105" s="743">
        <f t="shared" si="55"/>
        <v>106948839000</v>
      </c>
      <c r="Y105" s="664"/>
    </row>
    <row r="106" spans="1:25" s="658" customFormat="1" ht="31.5">
      <c r="A106" s="744">
        <v>1</v>
      </c>
      <c r="B106" s="771" t="s">
        <v>1471</v>
      </c>
      <c r="C106" s="738" t="s">
        <v>777</v>
      </c>
      <c r="D106" s="758">
        <v>7004686</v>
      </c>
      <c r="E106" s="747">
        <v>6456000000</v>
      </c>
      <c r="F106" s="747">
        <v>4000000000</v>
      </c>
      <c r="G106" s="747"/>
      <c r="H106" s="747"/>
      <c r="I106" s="747"/>
      <c r="J106" s="747"/>
      <c r="K106" s="747"/>
      <c r="L106" s="747"/>
      <c r="M106" s="747"/>
      <c r="N106" s="747"/>
      <c r="O106" s="747"/>
      <c r="P106" s="747">
        <v>2040000000</v>
      </c>
      <c r="Q106" s="747">
        <f t="shared" si="39"/>
        <v>2029904000</v>
      </c>
      <c r="R106" s="747">
        <v>2029904000</v>
      </c>
      <c r="S106" s="747"/>
      <c r="T106" s="747">
        <v>10096000</v>
      </c>
      <c r="U106" s="747">
        <f t="shared" si="40"/>
        <v>0</v>
      </c>
      <c r="V106" s="747">
        <f t="shared" si="41"/>
        <v>2029904000</v>
      </c>
      <c r="W106" s="747">
        <f t="shared" si="42"/>
        <v>0</v>
      </c>
      <c r="X106" s="747">
        <f t="shared" si="43"/>
        <v>6029904000</v>
      </c>
      <c r="Y106" s="681" t="s">
        <v>1472</v>
      </c>
    </row>
    <row r="107" spans="1:25" s="658" customFormat="1" ht="31.5">
      <c r="A107" s="744">
        <v>2</v>
      </c>
      <c r="B107" s="771" t="s">
        <v>1473</v>
      </c>
      <c r="C107" s="738" t="s">
        <v>777</v>
      </c>
      <c r="D107" s="758">
        <v>7004686</v>
      </c>
      <c r="E107" s="747">
        <v>5286000000</v>
      </c>
      <c r="F107" s="747">
        <v>3862040000</v>
      </c>
      <c r="G107" s="747"/>
      <c r="H107" s="747"/>
      <c r="I107" s="747"/>
      <c r="J107" s="747"/>
      <c r="K107" s="747"/>
      <c r="L107" s="747"/>
      <c r="M107" s="747"/>
      <c r="N107" s="747"/>
      <c r="O107" s="747"/>
      <c r="P107" s="747">
        <v>1053000000</v>
      </c>
      <c r="Q107" s="747">
        <f t="shared" si="39"/>
        <v>1041374000</v>
      </c>
      <c r="R107" s="747">
        <v>1041374000</v>
      </c>
      <c r="S107" s="747"/>
      <c r="T107" s="747">
        <v>11626000</v>
      </c>
      <c r="U107" s="747">
        <f t="shared" si="40"/>
        <v>0</v>
      </c>
      <c r="V107" s="747">
        <f t="shared" si="41"/>
        <v>1041374000</v>
      </c>
      <c r="W107" s="747">
        <f t="shared" si="42"/>
        <v>0</v>
      </c>
      <c r="X107" s="747">
        <f t="shared" si="43"/>
        <v>4903414000</v>
      </c>
      <c r="Y107" s="681" t="s">
        <v>1472</v>
      </c>
    </row>
    <row r="108" spans="1:25" s="658" customFormat="1" ht="31.5">
      <c r="A108" s="744">
        <v>3</v>
      </c>
      <c r="B108" s="771" t="s">
        <v>1474</v>
      </c>
      <c r="C108" s="738" t="s">
        <v>777</v>
      </c>
      <c r="D108" s="746">
        <v>7004686</v>
      </c>
      <c r="E108" s="747">
        <v>5906000000</v>
      </c>
      <c r="F108" s="747">
        <v>799657000</v>
      </c>
      <c r="G108" s="747"/>
      <c r="H108" s="747"/>
      <c r="I108" s="747"/>
      <c r="J108" s="747"/>
      <c r="K108" s="747"/>
      <c r="L108" s="747"/>
      <c r="M108" s="747"/>
      <c r="N108" s="747"/>
      <c r="O108" s="747"/>
      <c r="P108" s="747">
        <v>4991000000</v>
      </c>
      <c r="Q108" s="747">
        <f t="shared" si="39"/>
        <v>4986800000</v>
      </c>
      <c r="R108" s="747">
        <v>4986800000</v>
      </c>
      <c r="S108" s="747"/>
      <c r="T108" s="747">
        <v>4200000</v>
      </c>
      <c r="U108" s="747">
        <f t="shared" si="40"/>
        <v>0</v>
      </c>
      <c r="V108" s="747">
        <f t="shared" si="41"/>
        <v>4986800000</v>
      </c>
      <c r="W108" s="747">
        <f t="shared" si="42"/>
        <v>0</v>
      </c>
      <c r="X108" s="747">
        <f t="shared" si="43"/>
        <v>5786457000</v>
      </c>
      <c r="Y108" s="681" t="s">
        <v>1472</v>
      </c>
    </row>
    <row r="109" spans="1:25" s="658" customFormat="1">
      <c r="A109" s="744">
        <v>4</v>
      </c>
      <c r="B109" s="745" t="s">
        <v>1475</v>
      </c>
      <c r="C109" s="738" t="s">
        <v>777</v>
      </c>
      <c r="D109" s="746">
        <v>7004686</v>
      </c>
      <c r="E109" s="747">
        <v>2399919000</v>
      </c>
      <c r="F109" s="747">
        <v>3281676000</v>
      </c>
      <c r="G109" s="747">
        <v>24218000</v>
      </c>
      <c r="H109" s="747"/>
      <c r="I109" s="747">
        <v>24218000</v>
      </c>
      <c r="J109" s="747"/>
      <c r="K109" s="747"/>
      <c r="L109" s="747"/>
      <c r="M109" s="747"/>
      <c r="N109" s="747"/>
      <c r="O109" s="747"/>
      <c r="P109" s="747"/>
      <c r="Q109" s="747">
        <f t="shared" si="39"/>
        <v>0</v>
      </c>
      <c r="R109" s="747"/>
      <c r="S109" s="747"/>
      <c r="T109" s="747"/>
      <c r="U109" s="747">
        <f t="shared" si="40"/>
        <v>0</v>
      </c>
      <c r="V109" s="747">
        <f t="shared" si="41"/>
        <v>24218000</v>
      </c>
      <c r="W109" s="747">
        <f t="shared" si="42"/>
        <v>0</v>
      </c>
      <c r="X109" s="747">
        <f t="shared" si="43"/>
        <v>3281676000</v>
      </c>
      <c r="Y109" s="683"/>
    </row>
    <row r="110" spans="1:25" s="658" customFormat="1">
      <c r="A110" s="744">
        <v>5</v>
      </c>
      <c r="B110" s="745" t="s">
        <v>1476</v>
      </c>
      <c r="C110" s="738" t="s">
        <v>777</v>
      </c>
      <c r="D110" s="746">
        <v>7004686</v>
      </c>
      <c r="E110" s="747">
        <v>112960000000</v>
      </c>
      <c r="F110" s="747">
        <v>76254046000</v>
      </c>
      <c r="G110" s="747">
        <v>837177380</v>
      </c>
      <c r="H110" s="747"/>
      <c r="I110" s="747"/>
      <c r="J110" s="747"/>
      <c r="K110" s="747"/>
      <c r="L110" s="747"/>
      <c r="M110" s="747"/>
      <c r="N110" s="747"/>
      <c r="O110" s="747"/>
      <c r="P110" s="747"/>
      <c r="Q110" s="747">
        <f t="shared" si="39"/>
        <v>0</v>
      </c>
      <c r="R110" s="747"/>
      <c r="S110" s="747"/>
      <c r="T110" s="747"/>
      <c r="U110" s="747">
        <f t="shared" si="40"/>
        <v>0</v>
      </c>
      <c r="V110" s="747">
        <f t="shared" si="41"/>
        <v>0</v>
      </c>
      <c r="W110" s="747">
        <f t="shared" si="42"/>
        <v>837177380</v>
      </c>
      <c r="X110" s="747">
        <f t="shared" si="43"/>
        <v>76254046000</v>
      </c>
      <c r="Y110" s="683"/>
    </row>
    <row r="111" spans="1:25" s="658" customFormat="1" ht="22.5">
      <c r="A111" s="744">
        <v>6</v>
      </c>
      <c r="B111" s="745" t="s">
        <v>1477</v>
      </c>
      <c r="C111" s="738" t="s">
        <v>777</v>
      </c>
      <c r="D111" s="746">
        <v>7004686</v>
      </c>
      <c r="E111" s="747">
        <v>5490382000</v>
      </c>
      <c r="F111" s="747">
        <v>5393343000</v>
      </c>
      <c r="G111" s="747">
        <v>139198000</v>
      </c>
      <c r="H111" s="747"/>
      <c r="I111" s="747">
        <v>139198000</v>
      </c>
      <c r="J111" s="747"/>
      <c r="K111" s="747"/>
      <c r="L111" s="747"/>
      <c r="M111" s="747"/>
      <c r="N111" s="747"/>
      <c r="O111" s="747"/>
      <c r="P111" s="747"/>
      <c r="Q111" s="747">
        <f t="shared" si="39"/>
        <v>0</v>
      </c>
      <c r="R111" s="747"/>
      <c r="S111" s="747"/>
      <c r="T111" s="747"/>
      <c r="U111" s="747">
        <f t="shared" si="40"/>
        <v>0</v>
      </c>
      <c r="V111" s="747">
        <f t="shared" si="41"/>
        <v>139198000</v>
      </c>
      <c r="W111" s="747">
        <f t="shared" si="42"/>
        <v>0</v>
      </c>
      <c r="X111" s="747">
        <f t="shared" si="43"/>
        <v>5393343000</v>
      </c>
      <c r="Y111" s="683"/>
    </row>
    <row r="112" spans="1:25" s="658" customFormat="1">
      <c r="A112" s="744">
        <v>7</v>
      </c>
      <c r="B112" s="745" t="s">
        <v>1478</v>
      </c>
      <c r="C112" s="738" t="s">
        <v>777</v>
      </c>
      <c r="D112" s="746">
        <v>7004686</v>
      </c>
      <c r="E112" s="747">
        <v>5395863000</v>
      </c>
      <c r="F112" s="747">
        <v>5299999000</v>
      </c>
      <c r="G112" s="747">
        <v>449180000</v>
      </c>
      <c r="H112" s="747"/>
      <c r="I112" s="747"/>
      <c r="J112" s="747"/>
      <c r="K112" s="747"/>
      <c r="L112" s="747"/>
      <c r="M112" s="747"/>
      <c r="N112" s="747"/>
      <c r="O112" s="747"/>
      <c r="P112" s="747"/>
      <c r="Q112" s="747">
        <f t="shared" si="39"/>
        <v>0</v>
      </c>
      <c r="R112" s="747"/>
      <c r="S112" s="747"/>
      <c r="T112" s="747"/>
      <c r="U112" s="747">
        <f t="shared" si="40"/>
        <v>0</v>
      </c>
      <c r="V112" s="747">
        <f t="shared" si="41"/>
        <v>0</v>
      </c>
      <c r="W112" s="747">
        <f t="shared" si="42"/>
        <v>449180000</v>
      </c>
      <c r="X112" s="747">
        <f t="shared" si="43"/>
        <v>5299999000</v>
      </c>
      <c r="Y112" s="683"/>
    </row>
    <row r="113" spans="1:25" s="660" customFormat="1" ht="31.5">
      <c r="A113" s="766" t="s">
        <v>327</v>
      </c>
      <c r="B113" s="773" t="s">
        <v>800</v>
      </c>
      <c r="C113" s="729" t="s">
        <v>777</v>
      </c>
      <c r="D113" s="739"/>
      <c r="E113" s="731">
        <f>SUM(E114:E132)</f>
        <v>335422611468</v>
      </c>
      <c r="F113" s="731">
        <f t="shared" ref="F113:O113" si="56">SUM(F114:F132)</f>
        <v>0</v>
      </c>
      <c r="G113" s="731">
        <f t="shared" si="56"/>
        <v>0</v>
      </c>
      <c r="H113" s="731">
        <f t="shared" si="56"/>
        <v>0</v>
      </c>
      <c r="I113" s="731">
        <f t="shared" si="56"/>
        <v>0</v>
      </c>
      <c r="J113" s="731">
        <f t="shared" si="56"/>
        <v>0</v>
      </c>
      <c r="K113" s="731">
        <f t="shared" si="56"/>
        <v>0</v>
      </c>
      <c r="L113" s="731">
        <f t="shared" si="56"/>
        <v>0</v>
      </c>
      <c r="M113" s="731">
        <f t="shared" si="56"/>
        <v>0</v>
      </c>
      <c r="N113" s="731">
        <f t="shared" si="56"/>
        <v>0</v>
      </c>
      <c r="O113" s="731">
        <f t="shared" si="56"/>
        <v>0</v>
      </c>
      <c r="P113" s="731">
        <f>SUM(P114:P132)</f>
        <v>4955000000</v>
      </c>
      <c r="Q113" s="731">
        <f t="shared" ref="Q113:X113" si="57">SUM(Q114:Q132)</f>
        <v>4291648623</v>
      </c>
      <c r="R113" s="731">
        <f t="shared" si="57"/>
        <v>3978044000</v>
      </c>
      <c r="S113" s="731">
        <f t="shared" si="57"/>
        <v>313604623</v>
      </c>
      <c r="T113" s="731">
        <f t="shared" si="57"/>
        <v>661717377</v>
      </c>
      <c r="U113" s="731">
        <f t="shared" si="57"/>
        <v>1634000</v>
      </c>
      <c r="V113" s="731">
        <f t="shared" si="57"/>
        <v>3978044000</v>
      </c>
      <c r="W113" s="731">
        <f t="shared" si="57"/>
        <v>313604623</v>
      </c>
      <c r="X113" s="731">
        <f t="shared" si="57"/>
        <v>4291648623</v>
      </c>
      <c r="Y113" s="684" t="s">
        <v>801</v>
      </c>
    </row>
    <row r="114" spans="1:25" s="658" customFormat="1" ht="31.5">
      <c r="A114" s="763">
        <v>1</v>
      </c>
      <c r="B114" s="764" t="s">
        <v>1479</v>
      </c>
      <c r="C114" s="738" t="s">
        <v>777</v>
      </c>
      <c r="D114" s="746">
        <v>7673320</v>
      </c>
      <c r="E114" s="747">
        <v>927632000</v>
      </c>
      <c r="F114" s="747"/>
      <c r="G114" s="747"/>
      <c r="H114" s="747"/>
      <c r="I114" s="747"/>
      <c r="J114" s="747"/>
      <c r="K114" s="747"/>
      <c r="L114" s="747"/>
      <c r="M114" s="747"/>
      <c r="N114" s="747"/>
      <c r="O114" s="747"/>
      <c r="P114" s="747">
        <v>315000000</v>
      </c>
      <c r="Q114" s="747">
        <f t="shared" si="39"/>
        <v>313366000</v>
      </c>
      <c r="R114" s="747">
        <v>313366000</v>
      </c>
      <c r="S114" s="747"/>
      <c r="T114" s="747">
        <v>0</v>
      </c>
      <c r="U114" s="747">
        <f t="shared" si="40"/>
        <v>1634000</v>
      </c>
      <c r="V114" s="747">
        <f t="shared" si="41"/>
        <v>313366000</v>
      </c>
      <c r="W114" s="747">
        <f t="shared" si="42"/>
        <v>0</v>
      </c>
      <c r="X114" s="747">
        <f t="shared" si="43"/>
        <v>313366000</v>
      </c>
      <c r="Y114" s="685" t="s">
        <v>1447</v>
      </c>
    </row>
    <row r="115" spans="1:25" s="658" customFormat="1">
      <c r="A115" s="763">
        <v>2</v>
      </c>
      <c r="B115" s="774" t="s">
        <v>1480</v>
      </c>
      <c r="C115" s="738" t="s">
        <v>777</v>
      </c>
      <c r="D115" s="746" t="s">
        <v>1481</v>
      </c>
      <c r="E115" s="747">
        <v>8616531000</v>
      </c>
      <c r="F115" s="747"/>
      <c r="G115" s="747"/>
      <c r="H115" s="747"/>
      <c r="I115" s="747"/>
      <c r="J115" s="747"/>
      <c r="K115" s="747"/>
      <c r="L115" s="747"/>
      <c r="M115" s="747"/>
      <c r="N115" s="747"/>
      <c r="O115" s="747"/>
      <c r="P115" s="747">
        <v>200000000</v>
      </c>
      <c r="Q115" s="747">
        <f t="shared" si="39"/>
        <v>200000000</v>
      </c>
      <c r="R115" s="747">
        <v>200000000</v>
      </c>
      <c r="S115" s="747"/>
      <c r="T115" s="747"/>
      <c r="U115" s="747">
        <f t="shared" si="40"/>
        <v>0</v>
      </c>
      <c r="V115" s="747">
        <f t="shared" si="41"/>
        <v>200000000</v>
      </c>
      <c r="W115" s="747">
        <f t="shared" si="42"/>
        <v>0</v>
      </c>
      <c r="X115" s="747">
        <f t="shared" si="43"/>
        <v>200000000</v>
      </c>
      <c r="Y115" s="686" t="s">
        <v>796</v>
      </c>
    </row>
    <row r="116" spans="1:25" s="658" customFormat="1">
      <c r="A116" s="763">
        <v>3</v>
      </c>
      <c r="B116" s="774" t="s">
        <v>1482</v>
      </c>
      <c r="C116" s="738" t="s">
        <v>777</v>
      </c>
      <c r="D116" s="746">
        <v>7682985</v>
      </c>
      <c r="E116" s="747">
        <v>7285000000</v>
      </c>
      <c r="F116" s="747"/>
      <c r="G116" s="747"/>
      <c r="H116" s="747"/>
      <c r="I116" s="747"/>
      <c r="J116" s="747"/>
      <c r="K116" s="747"/>
      <c r="L116" s="747"/>
      <c r="M116" s="747"/>
      <c r="N116" s="747"/>
      <c r="O116" s="747"/>
      <c r="P116" s="747">
        <v>200000000</v>
      </c>
      <c r="Q116" s="747">
        <f t="shared" si="39"/>
        <v>200000000</v>
      </c>
      <c r="R116" s="747">
        <v>200000000</v>
      </c>
      <c r="S116" s="747"/>
      <c r="T116" s="747"/>
      <c r="U116" s="747">
        <f t="shared" si="40"/>
        <v>0</v>
      </c>
      <c r="V116" s="747">
        <f t="shared" si="41"/>
        <v>200000000</v>
      </c>
      <c r="W116" s="747">
        <f t="shared" si="42"/>
        <v>0</v>
      </c>
      <c r="X116" s="747">
        <f t="shared" si="43"/>
        <v>200000000</v>
      </c>
      <c r="Y116" s="686" t="s">
        <v>1450</v>
      </c>
    </row>
    <row r="117" spans="1:25" s="658" customFormat="1">
      <c r="A117" s="763">
        <v>4</v>
      </c>
      <c r="B117" s="774" t="s">
        <v>1483</v>
      </c>
      <c r="C117" s="738" t="s">
        <v>777</v>
      </c>
      <c r="D117" s="758">
        <v>7653356</v>
      </c>
      <c r="E117" s="747">
        <v>4554295000</v>
      </c>
      <c r="F117" s="754"/>
      <c r="G117" s="754"/>
      <c r="H117" s="754"/>
      <c r="I117" s="754"/>
      <c r="J117" s="754"/>
      <c r="K117" s="754"/>
      <c r="L117" s="754"/>
      <c r="M117" s="754"/>
      <c r="N117" s="754"/>
      <c r="O117" s="754"/>
      <c r="P117" s="747">
        <v>200000000</v>
      </c>
      <c r="Q117" s="747">
        <f t="shared" si="39"/>
        <v>200000000</v>
      </c>
      <c r="R117" s="754">
        <v>200000000</v>
      </c>
      <c r="S117" s="754"/>
      <c r="T117" s="754"/>
      <c r="U117" s="747">
        <f t="shared" si="40"/>
        <v>0</v>
      </c>
      <c r="V117" s="747">
        <f t="shared" si="41"/>
        <v>200000000</v>
      </c>
      <c r="W117" s="747">
        <f t="shared" si="42"/>
        <v>0</v>
      </c>
      <c r="X117" s="747">
        <f t="shared" si="43"/>
        <v>200000000</v>
      </c>
      <c r="Y117" s="686" t="s">
        <v>1417</v>
      </c>
    </row>
    <row r="118" spans="1:25" s="658" customFormat="1">
      <c r="A118" s="763">
        <v>5</v>
      </c>
      <c r="B118" s="774" t="s">
        <v>1484</v>
      </c>
      <c r="C118" s="738" t="s">
        <v>777</v>
      </c>
      <c r="D118" s="746">
        <v>7685901</v>
      </c>
      <c r="E118" s="747">
        <v>697500000</v>
      </c>
      <c r="F118" s="747"/>
      <c r="G118" s="747"/>
      <c r="H118" s="747"/>
      <c r="I118" s="747"/>
      <c r="J118" s="747"/>
      <c r="K118" s="747"/>
      <c r="L118" s="747"/>
      <c r="M118" s="747"/>
      <c r="N118" s="747"/>
      <c r="O118" s="747"/>
      <c r="P118" s="747">
        <v>200000000</v>
      </c>
      <c r="Q118" s="747">
        <f t="shared" si="39"/>
        <v>200000000</v>
      </c>
      <c r="R118" s="747">
        <v>150000000</v>
      </c>
      <c r="S118" s="747">
        <v>50000000</v>
      </c>
      <c r="T118" s="747"/>
      <c r="U118" s="747">
        <f t="shared" si="40"/>
        <v>0</v>
      </c>
      <c r="V118" s="747">
        <f t="shared" si="41"/>
        <v>150000000</v>
      </c>
      <c r="W118" s="747">
        <f t="shared" si="42"/>
        <v>50000000</v>
      </c>
      <c r="X118" s="747">
        <f t="shared" si="43"/>
        <v>200000000</v>
      </c>
      <c r="Y118" s="686" t="s">
        <v>1417</v>
      </c>
    </row>
    <row r="119" spans="1:25" s="658" customFormat="1">
      <c r="A119" s="763">
        <v>6</v>
      </c>
      <c r="B119" s="774" t="s">
        <v>1485</v>
      </c>
      <c r="C119" s="738" t="s">
        <v>777</v>
      </c>
      <c r="D119" s="746">
        <v>7685902</v>
      </c>
      <c r="E119" s="747">
        <v>337043000</v>
      </c>
      <c r="F119" s="747"/>
      <c r="G119" s="747"/>
      <c r="H119" s="747"/>
      <c r="I119" s="747"/>
      <c r="J119" s="747"/>
      <c r="K119" s="747"/>
      <c r="L119" s="747"/>
      <c r="M119" s="747"/>
      <c r="N119" s="747"/>
      <c r="O119" s="747"/>
      <c r="P119" s="747">
        <v>200000000</v>
      </c>
      <c r="Q119" s="747">
        <f t="shared" si="39"/>
        <v>200000000</v>
      </c>
      <c r="R119" s="747">
        <v>200000000</v>
      </c>
      <c r="S119" s="747"/>
      <c r="T119" s="747"/>
      <c r="U119" s="747">
        <f t="shared" si="40"/>
        <v>0</v>
      </c>
      <c r="V119" s="747">
        <f t="shared" si="41"/>
        <v>200000000</v>
      </c>
      <c r="W119" s="747">
        <f t="shared" si="42"/>
        <v>0</v>
      </c>
      <c r="X119" s="747">
        <f t="shared" si="43"/>
        <v>200000000</v>
      </c>
      <c r="Y119" s="686" t="s">
        <v>1417</v>
      </c>
    </row>
    <row r="120" spans="1:25" s="658" customFormat="1">
      <c r="A120" s="763">
        <v>7</v>
      </c>
      <c r="B120" s="774" t="s">
        <v>1486</v>
      </c>
      <c r="C120" s="738" t="s">
        <v>777</v>
      </c>
      <c r="D120" s="746">
        <v>7684552</v>
      </c>
      <c r="E120" s="747">
        <v>14920748000</v>
      </c>
      <c r="F120" s="747"/>
      <c r="G120" s="747"/>
      <c r="H120" s="747"/>
      <c r="I120" s="747"/>
      <c r="J120" s="747"/>
      <c r="K120" s="747"/>
      <c r="L120" s="747"/>
      <c r="M120" s="747"/>
      <c r="N120" s="747"/>
      <c r="O120" s="747"/>
      <c r="P120" s="747">
        <v>200000000</v>
      </c>
      <c r="Q120" s="747">
        <f t="shared" si="39"/>
        <v>200000000</v>
      </c>
      <c r="R120" s="747">
        <v>200000000</v>
      </c>
      <c r="S120" s="747"/>
      <c r="T120" s="747"/>
      <c r="U120" s="747">
        <f t="shared" si="40"/>
        <v>0</v>
      </c>
      <c r="V120" s="747">
        <f t="shared" si="41"/>
        <v>200000000</v>
      </c>
      <c r="W120" s="747">
        <f t="shared" si="42"/>
        <v>0</v>
      </c>
      <c r="X120" s="747">
        <f t="shared" si="43"/>
        <v>200000000</v>
      </c>
      <c r="Y120" s="686" t="s">
        <v>1487</v>
      </c>
    </row>
    <row r="121" spans="1:25" s="658" customFormat="1">
      <c r="A121" s="763">
        <v>8</v>
      </c>
      <c r="B121" s="774" t="s">
        <v>1488</v>
      </c>
      <c r="C121" s="738" t="s">
        <v>777</v>
      </c>
      <c r="D121" s="746"/>
      <c r="E121" s="747"/>
      <c r="F121" s="747"/>
      <c r="G121" s="747"/>
      <c r="H121" s="747"/>
      <c r="I121" s="747"/>
      <c r="J121" s="747"/>
      <c r="K121" s="747"/>
      <c r="L121" s="747"/>
      <c r="M121" s="747"/>
      <c r="N121" s="747"/>
      <c r="O121" s="747"/>
      <c r="P121" s="747">
        <v>200000000</v>
      </c>
      <c r="Q121" s="747">
        <f t="shared" si="39"/>
        <v>0</v>
      </c>
      <c r="R121" s="747"/>
      <c r="S121" s="747"/>
      <c r="T121" s="747">
        <v>200000000</v>
      </c>
      <c r="U121" s="747">
        <f t="shared" si="40"/>
        <v>0</v>
      </c>
      <c r="V121" s="747">
        <f t="shared" si="41"/>
        <v>0</v>
      </c>
      <c r="W121" s="747">
        <f t="shared" si="42"/>
        <v>0</v>
      </c>
      <c r="X121" s="747">
        <f t="shared" si="43"/>
        <v>0</v>
      </c>
      <c r="Y121" s="686" t="s">
        <v>1487</v>
      </c>
    </row>
    <row r="122" spans="1:25" s="660" customFormat="1">
      <c r="A122" s="763">
        <v>9</v>
      </c>
      <c r="B122" s="774" t="s">
        <v>1489</v>
      </c>
      <c r="C122" s="738" t="s">
        <v>777</v>
      </c>
      <c r="D122" s="746"/>
      <c r="E122" s="747">
        <v>13701328000</v>
      </c>
      <c r="F122" s="731"/>
      <c r="G122" s="731"/>
      <c r="H122" s="731"/>
      <c r="I122" s="731"/>
      <c r="J122" s="731"/>
      <c r="K122" s="731"/>
      <c r="L122" s="731"/>
      <c r="M122" s="731"/>
      <c r="N122" s="731"/>
      <c r="O122" s="731"/>
      <c r="P122" s="747">
        <v>650000000</v>
      </c>
      <c r="Q122" s="747">
        <f t="shared" si="39"/>
        <v>569853000</v>
      </c>
      <c r="R122" s="747">
        <v>569853000</v>
      </c>
      <c r="S122" s="747"/>
      <c r="T122" s="747">
        <v>80147000</v>
      </c>
      <c r="U122" s="747">
        <f t="shared" si="40"/>
        <v>0</v>
      </c>
      <c r="V122" s="747">
        <f t="shared" si="41"/>
        <v>569853000</v>
      </c>
      <c r="W122" s="747">
        <f t="shared" si="42"/>
        <v>0</v>
      </c>
      <c r="X122" s="747">
        <f t="shared" si="43"/>
        <v>569853000</v>
      </c>
      <c r="Y122" s="686" t="s">
        <v>1432</v>
      </c>
    </row>
    <row r="123" spans="1:25" s="658" customFormat="1">
      <c r="A123" s="763">
        <v>10</v>
      </c>
      <c r="B123" s="774" t="s">
        <v>1490</v>
      </c>
      <c r="C123" s="738" t="s">
        <v>777</v>
      </c>
      <c r="D123" s="758">
        <v>7679836</v>
      </c>
      <c r="E123" s="747">
        <v>14897900000</v>
      </c>
      <c r="F123" s="747"/>
      <c r="G123" s="747"/>
      <c r="H123" s="747"/>
      <c r="I123" s="747"/>
      <c r="J123" s="747"/>
      <c r="K123" s="747"/>
      <c r="L123" s="747"/>
      <c r="M123" s="747"/>
      <c r="N123" s="747"/>
      <c r="O123" s="747"/>
      <c r="P123" s="747">
        <v>200000000</v>
      </c>
      <c r="Q123" s="747">
        <f t="shared" si="39"/>
        <v>200000000</v>
      </c>
      <c r="R123" s="747">
        <v>200000000</v>
      </c>
      <c r="S123" s="747"/>
      <c r="T123" s="747"/>
      <c r="U123" s="747">
        <f t="shared" si="40"/>
        <v>0</v>
      </c>
      <c r="V123" s="747">
        <f t="shared" si="41"/>
        <v>200000000</v>
      </c>
      <c r="W123" s="747">
        <f t="shared" si="42"/>
        <v>0</v>
      </c>
      <c r="X123" s="747">
        <f t="shared" si="43"/>
        <v>200000000</v>
      </c>
      <c r="Y123" s="686" t="s">
        <v>1432</v>
      </c>
    </row>
    <row r="124" spans="1:25" s="658" customFormat="1" ht="22.5">
      <c r="A124" s="763">
        <v>11</v>
      </c>
      <c r="B124" s="774" t="s">
        <v>1491</v>
      </c>
      <c r="C124" s="738" t="s">
        <v>777</v>
      </c>
      <c r="D124" s="758">
        <v>7693905</v>
      </c>
      <c r="E124" s="747">
        <v>10095749000</v>
      </c>
      <c r="F124" s="747"/>
      <c r="G124" s="747"/>
      <c r="H124" s="747"/>
      <c r="I124" s="747"/>
      <c r="J124" s="747"/>
      <c r="K124" s="747"/>
      <c r="L124" s="747"/>
      <c r="M124" s="747"/>
      <c r="N124" s="747"/>
      <c r="O124" s="747"/>
      <c r="P124" s="747">
        <v>221000000</v>
      </c>
      <c r="Q124" s="747">
        <f t="shared" si="39"/>
        <v>165604623</v>
      </c>
      <c r="R124" s="747"/>
      <c r="S124" s="747">
        <v>165604623</v>
      </c>
      <c r="T124" s="747">
        <v>55395377</v>
      </c>
      <c r="U124" s="747">
        <f t="shared" si="40"/>
        <v>0</v>
      </c>
      <c r="V124" s="747">
        <f t="shared" si="41"/>
        <v>0</v>
      </c>
      <c r="W124" s="747">
        <f t="shared" si="42"/>
        <v>165604623</v>
      </c>
      <c r="X124" s="747">
        <f t="shared" si="43"/>
        <v>165604623</v>
      </c>
      <c r="Y124" s="686" t="s">
        <v>1492</v>
      </c>
    </row>
    <row r="125" spans="1:25" s="658" customFormat="1" ht="31.5">
      <c r="A125" s="763">
        <v>12</v>
      </c>
      <c r="B125" s="774" t="s">
        <v>1493</v>
      </c>
      <c r="C125" s="738" t="s">
        <v>777</v>
      </c>
      <c r="D125" s="758">
        <v>7636415</v>
      </c>
      <c r="E125" s="747">
        <v>34520294000</v>
      </c>
      <c r="F125" s="747"/>
      <c r="G125" s="747"/>
      <c r="H125" s="747"/>
      <c r="I125" s="747"/>
      <c r="J125" s="747"/>
      <c r="K125" s="747"/>
      <c r="L125" s="747"/>
      <c r="M125" s="747"/>
      <c r="N125" s="747"/>
      <c r="O125" s="747"/>
      <c r="P125" s="747">
        <v>250000000</v>
      </c>
      <c r="Q125" s="747">
        <f t="shared" si="39"/>
        <v>250000000</v>
      </c>
      <c r="R125" s="747">
        <v>250000000</v>
      </c>
      <c r="S125" s="747"/>
      <c r="T125" s="747"/>
      <c r="U125" s="747">
        <f t="shared" si="40"/>
        <v>0</v>
      </c>
      <c r="V125" s="747">
        <f t="shared" si="41"/>
        <v>250000000</v>
      </c>
      <c r="W125" s="747">
        <f t="shared" si="42"/>
        <v>0</v>
      </c>
      <c r="X125" s="747">
        <f t="shared" si="43"/>
        <v>250000000</v>
      </c>
      <c r="Y125" s="685" t="s">
        <v>1494</v>
      </c>
    </row>
    <row r="126" spans="1:25" s="658" customFormat="1" ht="31.5">
      <c r="A126" s="763">
        <v>13</v>
      </c>
      <c r="B126" s="774" t="s">
        <v>1495</v>
      </c>
      <c r="C126" s="738" t="s">
        <v>777</v>
      </c>
      <c r="D126" s="758">
        <v>7610805</v>
      </c>
      <c r="E126" s="747">
        <v>44258096000</v>
      </c>
      <c r="F126" s="747"/>
      <c r="G126" s="747"/>
      <c r="H126" s="747"/>
      <c r="I126" s="747"/>
      <c r="J126" s="747"/>
      <c r="K126" s="747"/>
      <c r="L126" s="747"/>
      <c r="M126" s="747"/>
      <c r="N126" s="747"/>
      <c r="O126" s="747"/>
      <c r="P126" s="747">
        <v>200000000</v>
      </c>
      <c r="Q126" s="747">
        <f t="shared" si="39"/>
        <v>200000000</v>
      </c>
      <c r="R126" s="747">
        <v>200000000</v>
      </c>
      <c r="S126" s="747"/>
      <c r="T126" s="747"/>
      <c r="U126" s="747">
        <f t="shared" si="40"/>
        <v>0</v>
      </c>
      <c r="V126" s="747">
        <f t="shared" si="41"/>
        <v>200000000</v>
      </c>
      <c r="W126" s="747">
        <f t="shared" si="42"/>
        <v>0</v>
      </c>
      <c r="X126" s="747">
        <f t="shared" si="43"/>
        <v>200000000</v>
      </c>
      <c r="Y126" s="685" t="s">
        <v>1494</v>
      </c>
    </row>
    <row r="127" spans="1:25" s="658" customFormat="1" ht="31.5">
      <c r="A127" s="763">
        <v>14</v>
      </c>
      <c r="B127" s="774" t="s">
        <v>1496</v>
      </c>
      <c r="C127" s="738" t="s">
        <v>777</v>
      </c>
      <c r="D127" s="758"/>
      <c r="E127" s="747">
        <v>119929190000</v>
      </c>
      <c r="F127" s="747"/>
      <c r="G127" s="747"/>
      <c r="H127" s="747"/>
      <c r="I127" s="747"/>
      <c r="J127" s="747"/>
      <c r="K127" s="747"/>
      <c r="L127" s="747"/>
      <c r="M127" s="747"/>
      <c r="N127" s="747"/>
      <c r="O127" s="747"/>
      <c r="P127" s="747">
        <v>150000000</v>
      </c>
      <c r="Q127" s="747">
        <f t="shared" si="39"/>
        <v>150000000</v>
      </c>
      <c r="R127" s="747">
        <v>150000000</v>
      </c>
      <c r="S127" s="747"/>
      <c r="T127" s="747"/>
      <c r="U127" s="747">
        <f t="shared" si="40"/>
        <v>0</v>
      </c>
      <c r="V127" s="747">
        <f t="shared" si="41"/>
        <v>150000000</v>
      </c>
      <c r="W127" s="747">
        <f t="shared" si="42"/>
        <v>0</v>
      </c>
      <c r="X127" s="747">
        <f t="shared" si="43"/>
        <v>150000000</v>
      </c>
      <c r="Y127" s="685" t="s">
        <v>1494</v>
      </c>
    </row>
    <row r="128" spans="1:25" s="658" customFormat="1" ht="31.5">
      <c r="A128" s="763">
        <v>15</v>
      </c>
      <c r="B128" s="774" t="s">
        <v>1497</v>
      </c>
      <c r="C128" s="738" t="s">
        <v>777</v>
      </c>
      <c r="D128" s="758">
        <v>7639406</v>
      </c>
      <c r="E128" s="747">
        <v>49705332000</v>
      </c>
      <c r="F128" s="747"/>
      <c r="G128" s="747"/>
      <c r="H128" s="747"/>
      <c r="I128" s="747"/>
      <c r="J128" s="747"/>
      <c r="K128" s="747"/>
      <c r="L128" s="747"/>
      <c r="M128" s="747"/>
      <c r="N128" s="747"/>
      <c r="O128" s="747"/>
      <c r="P128" s="747">
        <v>669000000</v>
      </c>
      <c r="Q128" s="747">
        <f t="shared" si="39"/>
        <v>657825000</v>
      </c>
      <c r="R128" s="747">
        <v>657825000</v>
      </c>
      <c r="S128" s="747"/>
      <c r="T128" s="747">
        <v>11175000</v>
      </c>
      <c r="U128" s="747">
        <f t="shared" si="40"/>
        <v>0</v>
      </c>
      <c r="V128" s="747">
        <f t="shared" si="41"/>
        <v>657825000</v>
      </c>
      <c r="W128" s="747">
        <f t="shared" si="42"/>
        <v>0</v>
      </c>
      <c r="X128" s="747">
        <f t="shared" si="43"/>
        <v>657825000</v>
      </c>
      <c r="Y128" s="685" t="s">
        <v>1494</v>
      </c>
    </row>
    <row r="129" spans="1:25" s="658" customFormat="1" ht="31.5">
      <c r="A129" s="763">
        <v>16</v>
      </c>
      <c r="B129" s="774" t="s">
        <v>1498</v>
      </c>
      <c r="C129" s="738" t="s">
        <v>777</v>
      </c>
      <c r="D129" s="758">
        <v>7650304</v>
      </c>
      <c r="E129" s="747">
        <v>10275973468</v>
      </c>
      <c r="F129" s="747"/>
      <c r="G129" s="747"/>
      <c r="H129" s="747"/>
      <c r="I129" s="747"/>
      <c r="J129" s="747"/>
      <c r="K129" s="747"/>
      <c r="L129" s="747"/>
      <c r="M129" s="747"/>
      <c r="N129" s="747"/>
      <c r="O129" s="747"/>
      <c r="P129" s="747">
        <v>100000000</v>
      </c>
      <c r="Q129" s="747">
        <f t="shared" si="39"/>
        <v>100000000</v>
      </c>
      <c r="R129" s="747">
        <v>2000000</v>
      </c>
      <c r="S129" s="747">
        <v>98000000</v>
      </c>
      <c r="T129" s="747"/>
      <c r="U129" s="747">
        <f t="shared" si="40"/>
        <v>0</v>
      </c>
      <c r="V129" s="747">
        <f t="shared" si="41"/>
        <v>2000000</v>
      </c>
      <c r="W129" s="747">
        <f t="shared" si="42"/>
        <v>98000000</v>
      </c>
      <c r="X129" s="747">
        <f t="shared" si="43"/>
        <v>100000000</v>
      </c>
      <c r="Y129" s="685" t="s">
        <v>1494</v>
      </c>
    </row>
    <row r="130" spans="1:25" s="658" customFormat="1" ht="33.75">
      <c r="A130" s="763">
        <v>17</v>
      </c>
      <c r="B130" s="774" t="s">
        <v>1499</v>
      </c>
      <c r="C130" s="738" t="s">
        <v>777</v>
      </c>
      <c r="D130" s="758"/>
      <c r="E130" s="747"/>
      <c r="F130" s="747"/>
      <c r="G130" s="747"/>
      <c r="H130" s="747"/>
      <c r="I130" s="747"/>
      <c r="J130" s="747"/>
      <c r="K130" s="747"/>
      <c r="L130" s="747"/>
      <c r="M130" s="747"/>
      <c r="N130" s="747"/>
      <c r="O130" s="747"/>
      <c r="P130" s="747">
        <v>200000000</v>
      </c>
      <c r="Q130" s="747">
        <f t="shared" si="39"/>
        <v>0</v>
      </c>
      <c r="R130" s="747"/>
      <c r="S130" s="747"/>
      <c r="T130" s="747">
        <v>200000000</v>
      </c>
      <c r="U130" s="747">
        <f t="shared" si="40"/>
        <v>0</v>
      </c>
      <c r="V130" s="747">
        <f t="shared" si="41"/>
        <v>0</v>
      </c>
      <c r="W130" s="747">
        <f t="shared" si="42"/>
        <v>0</v>
      </c>
      <c r="X130" s="747">
        <f t="shared" si="43"/>
        <v>0</v>
      </c>
      <c r="Y130" s="686" t="s">
        <v>1500</v>
      </c>
    </row>
    <row r="131" spans="1:25" s="658" customFormat="1" ht="22.5">
      <c r="A131" s="763">
        <v>18</v>
      </c>
      <c r="B131" s="774" t="s">
        <v>1501</v>
      </c>
      <c r="C131" s="738" t="s">
        <v>777</v>
      </c>
      <c r="D131" s="758"/>
      <c r="E131" s="747"/>
      <c r="F131" s="747"/>
      <c r="G131" s="747"/>
      <c r="H131" s="747"/>
      <c r="I131" s="747"/>
      <c r="J131" s="747"/>
      <c r="K131" s="747"/>
      <c r="L131" s="747"/>
      <c r="M131" s="747"/>
      <c r="N131" s="747"/>
      <c r="O131" s="747"/>
      <c r="P131" s="747">
        <v>100000000</v>
      </c>
      <c r="Q131" s="747">
        <f t="shared" si="39"/>
        <v>0</v>
      </c>
      <c r="R131" s="747"/>
      <c r="S131" s="747"/>
      <c r="T131" s="747">
        <v>100000000</v>
      </c>
      <c r="U131" s="747">
        <f t="shared" si="40"/>
        <v>0</v>
      </c>
      <c r="V131" s="747">
        <f t="shared" si="41"/>
        <v>0</v>
      </c>
      <c r="W131" s="747">
        <f t="shared" si="42"/>
        <v>0</v>
      </c>
      <c r="X131" s="747">
        <f t="shared" si="43"/>
        <v>0</v>
      </c>
      <c r="Y131" s="686" t="s">
        <v>1500</v>
      </c>
    </row>
    <row r="132" spans="1:25" s="658" customFormat="1">
      <c r="A132" s="763">
        <v>19</v>
      </c>
      <c r="B132" s="774" t="s">
        <v>803</v>
      </c>
      <c r="C132" s="738" t="s">
        <v>777</v>
      </c>
      <c r="D132" s="758">
        <v>7626030</v>
      </c>
      <c r="E132" s="747">
        <v>700000000</v>
      </c>
      <c r="F132" s="747"/>
      <c r="G132" s="747"/>
      <c r="H132" s="747"/>
      <c r="I132" s="747"/>
      <c r="J132" s="747"/>
      <c r="K132" s="747"/>
      <c r="L132" s="747"/>
      <c r="M132" s="747"/>
      <c r="N132" s="747"/>
      <c r="O132" s="747"/>
      <c r="P132" s="747">
        <v>500000000</v>
      </c>
      <c r="Q132" s="747">
        <f t="shared" si="39"/>
        <v>485000000</v>
      </c>
      <c r="R132" s="747">
        <v>485000000</v>
      </c>
      <c r="S132" s="747"/>
      <c r="T132" s="747">
        <v>15000000</v>
      </c>
      <c r="U132" s="747">
        <f t="shared" si="40"/>
        <v>0</v>
      </c>
      <c r="V132" s="747">
        <f t="shared" si="41"/>
        <v>485000000</v>
      </c>
      <c r="W132" s="747">
        <f t="shared" si="42"/>
        <v>0</v>
      </c>
      <c r="X132" s="747">
        <f t="shared" si="43"/>
        <v>485000000</v>
      </c>
      <c r="Y132" s="686" t="s">
        <v>19</v>
      </c>
    </row>
    <row r="133" spans="1:25" s="660" customFormat="1" ht="21">
      <c r="A133" s="766" t="s">
        <v>408</v>
      </c>
      <c r="B133" s="773" t="s">
        <v>1502</v>
      </c>
      <c r="C133" s="729" t="s">
        <v>777</v>
      </c>
      <c r="D133" s="730"/>
      <c r="E133" s="731">
        <f>SUM(E135:E383)</f>
        <v>1943541121540</v>
      </c>
      <c r="F133" s="731">
        <f t="shared" ref="F133:O133" si="58">SUM(F135:F383)</f>
        <v>5711577800</v>
      </c>
      <c r="G133" s="731">
        <f t="shared" si="58"/>
        <v>0</v>
      </c>
      <c r="H133" s="731">
        <f t="shared" si="58"/>
        <v>0</v>
      </c>
      <c r="I133" s="731">
        <f t="shared" si="58"/>
        <v>0</v>
      </c>
      <c r="J133" s="731">
        <f t="shared" si="58"/>
        <v>0</v>
      </c>
      <c r="K133" s="731">
        <f t="shared" si="58"/>
        <v>0</v>
      </c>
      <c r="L133" s="731">
        <f t="shared" si="58"/>
        <v>0</v>
      </c>
      <c r="M133" s="731">
        <f t="shared" si="58"/>
        <v>0</v>
      </c>
      <c r="N133" s="731">
        <f t="shared" si="58"/>
        <v>0</v>
      </c>
      <c r="O133" s="731">
        <f t="shared" si="58"/>
        <v>0</v>
      </c>
      <c r="P133" s="731">
        <f>SUM(P135:P383)</f>
        <v>18176000000</v>
      </c>
      <c r="Q133" s="731">
        <f t="shared" ref="Q133:W133" si="59">SUM(Q135:Q383)</f>
        <v>17077839464</v>
      </c>
      <c r="R133" s="731">
        <f t="shared" si="59"/>
        <v>17077839464</v>
      </c>
      <c r="S133" s="731">
        <f t="shared" si="59"/>
        <v>0</v>
      </c>
      <c r="T133" s="731">
        <f t="shared" si="59"/>
        <v>0</v>
      </c>
      <c r="U133" s="731">
        <f t="shared" si="59"/>
        <v>1098160536</v>
      </c>
      <c r="V133" s="731">
        <f t="shared" si="59"/>
        <v>17077839464</v>
      </c>
      <c r="W133" s="731">
        <f t="shared" si="59"/>
        <v>0</v>
      </c>
      <c r="X133" s="731">
        <f>SUM(X135:X383)</f>
        <v>21027185464</v>
      </c>
      <c r="Y133" s="684" t="s">
        <v>1503</v>
      </c>
    </row>
    <row r="134" spans="1:25" s="660" customFormat="1">
      <c r="A134" s="766"/>
      <c r="B134" s="775" t="s">
        <v>1504</v>
      </c>
      <c r="C134" s="776"/>
      <c r="D134" s="777"/>
      <c r="E134" s="731"/>
      <c r="F134" s="731"/>
      <c r="G134" s="731"/>
      <c r="H134" s="731"/>
      <c r="I134" s="731"/>
      <c r="J134" s="731"/>
      <c r="K134" s="731"/>
      <c r="L134" s="731"/>
      <c r="M134" s="731"/>
      <c r="N134" s="731"/>
      <c r="O134" s="731"/>
      <c r="P134" s="731"/>
      <c r="Q134" s="747">
        <f t="shared" si="39"/>
        <v>0</v>
      </c>
      <c r="R134" s="731"/>
      <c r="S134" s="731"/>
      <c r="T134" s="731"/>
      <c r="U134" s="747">
        <f t="shared" si="40"/>
        <v>0</v>
      </c>
      <c r="V134" s="747">
        <f t="shared" si="41"/>
        <v>0</v>
      </c>
      <c r="W134" s="747">
        <f t="shared" si="42"/>
        <v>0</v>
      </c>
      <c r="X134" s="747"/>
      <c r="Y134" s="687"/>
    </row>
    <row r="135" spans="1:25" s="660" customFormat="1">
      <c r="A135" s="778">
        <v>1</v>
      </c>
      <c r="B135" s="764" t="s">
        <v>1505</v>
      </c>
      <c r="C135" s="779" t="s">
        <v>777</v>
      </c>
      <c r="D135" s="780" t="s">
        <v>1506</v>
      </c>
      <c r="E135" s="747">
        <v>2434113000</v>
      </c>
      <c r="F135" s="747"/>
      <c r="G135" s="747"/>
      <c r="H135" s="747"/>
      <c r="I135" s="747"/>
      <c r="J135" s="747"/>
      <c r="K135" s="747"/>
      <c r="L135" s="747"/>
      <c r="M135" s="747"/>
      <c r="N135" s="747"/>
      <c r="O135" s="747"/>
      <c r="P135" s="747">
        <v>1410000</v>
      </c>
      <c r="Q135" s="747">
        <f t="shared" si="39"/>
        <v>1410000</v>
      </c>
      <c r="R135" s="747">
        <v>1410000</v>
      </c>
      <c r="S135" s="747"/>
      <c r="T135" s="747"/>
      <c r="U135" s="747">
        <f t="shared" si="40"/>
        <v>0</v>
      </c>
      <c r="V135" s="747">
        <f t="shared" si="41"/>
        <v>1410000</v>
      </c>
      <c r="W135" s="747">
        <f t="shared" si="42"/>
        <v>0</v>
      </c>
      <c r="X135" s="747">
        <f t="shared" si="43"/>
        <v>1410000</v>
      </c>
      <c r="Y135" s="687"/>
    </row>
    <row r="136" spans="1:25" s="660" customFormat="1">
      <c r="A136" s="778">
        <v>2</v>
      </c>
      <c r="B136" s="764" t="s">
        <v>1507</v>
      </c>
      <c r="C136" s="779" t="s">
        <v>777</v>
      </c>
      <c r="D136" s="780" t="s">
        <v>1508</v>
      </c>
      <c r="E136" s="747">
        <v>1197000</v>
      </c>
      <c r="F136" s="747"/>
      <c r="G136" s="747"/>
      <c r="H136" s="747"/>
      <c r="I136" s="747"/>
      <c r="J136" s="747"/>
      <c r="K136" s="747"/>
      <c r="L136" s="747"/>
      <c r="M136" s="747"/>
      <c r="N136" s="747"/>
      <c r="O136" s="747"/>
      <c r="P136" s="747">
        <v>1197000</v>
      </c>
      <c r="Q136" s="747">
        <f t="shared" si="39"/>
        <v>1197000</v>
      </c>
      <c r="R136" s="747">
        <v>1197000</v>
      </c>
      <c r="S136" s="747"/>
      <c r="T136" s="747"/>
      <c r="U136" s="747">
        <f t="shared" si="40"/>
        <v>0</v>
      </c>
      <c r="V136" s="747">
        <f t="shared" si="41"/>
        <v>1197000</v>
      </c>
      <c r="W136" s="747">
        <f t="shared" si="42"/>
        <v>0</v>
      </c>
      <c r="X136" s="747">
        <f t="shared" si="43"/>
        <v>1197000</v>
      </c>
      <c r="Y136" s="687"/>
    </row>
    <row r="137" spans="1:25" s="660" customFormat="1">
      <c r="A137" s="778">
        <v>3</v>
      </c>
      <c r="B137" s="764" t="s">
        <v>1509</v>
      </c>
      <c r="C137" s="779" t="s">
        <v>777</v>
      </c>
      <c r="D137" s="780" t="s">
        <v>1510</v>
      </c>
      <c r="E137" s="747">
        <v>20567305787</v>
      </c>
      <c r="F137" s="747"/>
      <c r="G137" s="747"/>
      <c r="H137" s="747"/>
      <c r="I137" s="747"/>
      <c r="J137" s="747"/>
      <c r="K137" s="747"/>
      <c r="L137" s="747"/>
      <c r="M137" s="747"/>
      <c r="N137" s="747"/>
      <c r="O137" s="747"/>
      <c r="P137" s="747">
        <v>10819000</v>
      </c>
      <c r="Q137" s="747">
        <f t="shared" si="39"/>
        <v>10819000</v>
      </c>
      <c r="R137" s="747">
        <v>10819000</v>
      </c>
      <c r="S137" s="747"/>
      <c r="T137" s="747"/>
      <c r="U137" s="747">
        <f t="shared" si="40"/>
        <v>0</v>
      </c>
      <c r="V137" s="747">
        <f t="shared" si="41"/>
        <v>10819000</v>
      </c>
      <c r="W137" s="747">
        <f t="shared" si="42"/>
        <v>0</v>
      </c>
      <c r="X137" s="747">
        <f t="shared" si="43"/>
        <v>10819000</v>
      </c>
      <c r="Y137" s="687"/>
    </row>
    <row r="138" spans="1:25" s="660" customFormat="1" ht="22.5">
      <c r="A138" s="778">
        <v>4</v>
      </c>
      <c r="B138" s="764" t="s">
        <v>1511</v>
      </c>
      <c r="C138" s="779" t="s">
        <v>777</v>
      </c>
      <c r="D138" s="780" t="s">
        <v>1512</v>
      </c>
      <c r="E138" s="747">
        <v>3500519000</v>
      </c>
      <c r="F138" s="747"/>
      <c r="G138" s="747"/>
      <c r="H138" s="747"/>
      <c r="I138" s="747"/>
      <c r="J138" s="747"/>
      <c r="K138" s="747"/>
      <c r="L138" s="747"/>
      <c r="M138" s="747"/>
      <c r="N138" s="747"/>
      <c r="O138" s="747"/>
      <c r="P138" s="747">
        <v>6693000</v>
      </c>
      <c r="Q138" s="747">
        <f t="shared" si="39"/>
        <v>6693000</v>
      </c>
      <c r="R138" s="747">
        <v>6693000</v>
      </c>
      <c r="S138" s="747"/>
      <c r="T138" s="747"/>
      <c r="U138" s="747">
        <f t="shared" si="40"/>
        <v>0</v>
      </c>
      <c r="V138" s="747">
        <f t="shared" si="41"/>
        <v>6693000</v>
      </c>
      <c r="W138" s="747">
        <f t="shared" si="42"/>
        <v>0</v>
      </c>
      <c r="X138" s="747">
        <f t="shared" si="43"/>
        <v>6693000</v>
      </c>
      <c r="Y138" s="687"/>
    </row>
    <row r="139" spans="1:25" s="660" customFormat="1" ht="22.5">
      <c r="A139" s="778">
        <v>5</v>
      </c>
      <c r="B139" s="764" t="s">
        <v>1513</v>
      </c>
      <c r="C139" s="779" t="s">
        <v>777</v>
      </c>
      <c r="D139" s="780" t="s">
        <v>1514</v>
      </c>
      <c r="E139" s="747">
        <v>998821000</v>
      </c>
      <c r="F139" s="747"/>
      <c r="G139" s="747"/>
      <c r="H139" s="747"/>
      <c r="I139" s="747"/>
      <c r="J139" s="747"/>
      <c r="K139" s="747"/>
      <c r="L139" s="747"/>
      <c r="M139" s="747"/>
      <c r="N139" s="747"/>
      <c r="O139" s="747"/>
      <c r="P139" s="747">
        <v>50119000</v>
      </c>
      <c r="Q139" s="747">
        <f t="shared" si="39"/>
        <v>50119000</v>
      </c>
      <c r="R139" s="747">
        <v>50119000</v>
      </c>
      <c r="S139" s="747"/>
      <c r="T139" s="747"/>
      <c r="U139" s="747">
        <f t="shared" si="40"/>
        <v>0</v>
      </c>
      <c r="V139" s="747">
        <f t="shared" si="41"/>
        <v>50119000</v>
      </c>
      <c r="W139" s="747">
        <f t="shared" si="42"/>
        <v>0</v>
      </c>
      <c r="X139" s="747">
        <f t="shared" si="43"/>
        <v>50119000</v>
      </c>
      <c r="Y139" s="687"/>
    </row>
    <row r="140" spans="1:25" s="660" customFormat="1">
      <c r="A140" s="778">
        <v>6</v>
      </c>
      <c r="B140" s="764" t="s">
        <v>1515</v>
      </c>
      <c r="C140" s="779" t="s">
        <v>777</v>
      </c>
      <c r="D140" s="780" t="s">
        <v>1516</v>
      </c>
      <c r="E140" s="747">
        <v>8442994840</v>
      </c>
      <c r="F140" s="747"/>
      <c r="G140" s="747"/>
      <c r="H140" s="747"/>
      <c r="I140" s="747"/>
      <c r="J140" s="747"/>
      <c r="K140" s="747"/>
      <c r="L140" s="747"/>
      <c r="M140" s="747"/>
      <c r="N140" s="747"/>
      <c r="O140" s="747"/>
      <c r="P140" s="747">
        <v>1873000</v>
      </c>
      <c r="Q140" s="747">
        <f t="shared" si="39"/>
        <v>1873000</v>
      </c>
      <c r="R140" s="747">
        <v>1873000</v>
      </c>
      <c r="S140" s="747"/>
      <c r="T140" s="747"/>
      <c r="U140" s="747">
        <f t="shared" si="40"/>
        <v>0</v>
      </c>
      <c r="V140" s="747">
        <f t="shared" si="41"/>
        <v>1873000</v>
      </c>
      <c r="W140" s="747">
        <f t="shared" si="42"/>
        <v>0</v>
      </c>
      <c r="X140" s="747">
        <f t="shared" si="43"/>
        <v>1873000</v>
      </c>
      <c r="Y140" s="687"/>
    </row>
    <row r="141" spans="1:25" s="660" customFormat="1">
      <c r="A141" s="778">
        <v>7</v>
      </c>
      <c r="B141" s="775" t="s">
        <v>1517</v>
      </c>
      <c r="C141" s="781"/>
      <c r="D141" s="782"/>
      <c r="E141" s="747"/>
      <c r="F141" s="747"/>
      <c r="G141" s="747"/>
      <c r="H141" s="747"/>
      <c r="I141" s="747"/>
      <c r="J141" s="747"/>
      <c r="K141" s="747"/>
      <c r="L141" s="747"/>
      <c r="M141" s="747"/>
      <c r="N141" s="747"/>
      <c r="O141" s="747"/>
      <c r="P141" s="747"/>
      <c r="Q141" s="747"/>
      <c r="R141" s="747"/>
      <c r="S141" s="747"/>
      <c r="T141" s="747"/>
      <c r="U141" s="747">
        <f t="shared" si="40"/>
        <v>0</v>
      </c>
      <c r="V141" s="747">
        <f t="shared" si="41"/>
        <v>0</v>
      </c>
      <c r="W141" s="747">
        <f t="shared" si="42"/>
        <v>0</v>
      </c>
      <c r="X141" s="747"/>
      <c r="Y141" s="687"/>
    </row>
    <row r="142" spans="1:25" s="660" customFormat="1" ht="22.5">
      <c r="A142" s="778">
        <v>8</v>
      </c>
      <c r="B142" s="783" t="s">
        <v>1518</v>
      </c>
      <c r="C142" s="779" t="s">
        <v>777</v>
      </c>
      <c r="D142" s="780" t="s">
        <v>1519</v>
      </c>
      <c r="E142" s="747">
        <v>5916775000</v>
      </c>
      <c r="F142" s="747"/>
      <c r="G142" s="747"/>
      <c r="H142" s="747"/>
      <c r="I142" s="747"/>
      <c r="J142" s="747"/>
      <c r="K142" s="747"/>
      <c r="L142" s="747"/>
      <c r="M142" s="747"/>
      <c r="N142" s="747"/>
      <c r="O142" s="747"/>
      <c r="P142" s="747">
        <v>159672000</v>
      </c>
      <c r="Q142" s="747">
        <f t="shared" si="39"/>
        <v>159672000</v>
      </c>
      <c r="R142" s="747">
        <v>159672000</v>
      </c>
      <c r="S142" s="747"/>
      <c r="T142" s="747"/>
      <c r="U142" s="747">
        <f t="shared" si="40"/>
        <v>0</v>
      </c>
      <c r="V142" s="747">
        <f t="shared" si="41"/>
        <v>159672000</v>
      </c>
      <c r="W142" s="747">
        <f t="shared" si="42"/>
        <v>0</v>
      </c>
      <c r="X142" s="747">
        <f t="shared" si="43"/>
        <v>159672000</v>
      </c>
      <c r="Y142" s="687"/>
    </row>
    <row r="143" spans="1:25" s="660" customFormat="1" ht="22.5">
      <c r="A143" s="778">
        <v>9</v>
      </c>
      <c r="B143" s="783" t="s">
        <v>1520</v>
      </c>
      <c r="C143" s="779" t="s">
        <v>777</v>
      </c>
      <c r="D143" s="780" t="s">
        <v>1521</v>
      </c>
      <c r="E143" s="747">
        <v>23931431107</v>
      </c>
      <c r="F143" s="747"/>
      <c r="G143" s="747"/>
      <c r="H143" s="747"/>
      <c r="I143" s="747"/>
      <c r="J143" s="747"/>
      <c r="K143" s="747"/>
      <c r="L143" s="747"/>
      <c r="M143" s="747"/>
      <c r="N143" s="747"/>
      <c r="O143" s="747"/>
      <c r="P143" s="747">
        <v>89077000</v>
      </c>
      <c r="Q143" s="747">
        <f t="shared" si="39"/>
        <v>89077000</v>
      </c>
      <c r="R143" s="747">
        <v>89077000</v>
      </c>
      <c r="S143" s="747"/>
      <c r="T143" s="747"/>
      <c r="U143" s="747">
        <f t="shared" si="40"/>
        <v>0</v>
      </c>
      <c r="V143" s="747">
        <f t="shared" si="41"/>
        <v>89077000</v>
      </c>
      <c r="W143" s="747">
        <f t="shared" si="42"/>
        <v>0</v>
      </c>
      <c r="X143" s="747">
        <f t="shared" si="43"/>
        <v>89077000</v>
      </c>
      <c r="Y143" s="687"/>
    </row>
    <row r="144" spans="1:25" s="660" customFormat="1">
      <c r="A144" s="778">
        <v>10</v>
      </c>
      <c r="B144" s="764" t="s">
        <v>1522</v>
      </c>
      <c r="C144" s="779" t="s">
        <v>777</v>
      </c>
      <c r="D144" s="780" t="s">
        <v>1523</v>
      </c>
      <c r="E144" s="747">
        <v>938222000</v>
      </c>
      <c r="F144" s="747"/>
      <c r="G144" s="747"/>
      <c r="H144" s="747"/>
      <c r="I144" s="747"/>
      <c r="J144" s="747"/>
      <c r="K144" s="747"/>
      <c r="L144" s="747"/>
      <c r="M144" s="747"/>
      <c r="N144" s="747"/>
      <c r="O144" s="747"/>
      <c r="P144" s="747">
        <v>5388000</v>
      </c>
      <c r="Q144" s="747">
        <f t="shared" ref="Q144:Q207" si="60">R144+S144</f>
        <v>4388000</v>
      </c>
      <c r="R144" s="747">
        <v>4388000</v>
      </c>
      <c r="S144" s="747"/>
      <c r="T144" s="747"/>
      <c r="U144" s="747">
        <f t="shared" ref="U144:U207" si="61">P144-Q144-T144</f>
        <v>1000000</v>
      </c>
      <c r="V144" s="747">
        <f t="shared" ref="V144:V207" si="62">I144+L144+R144</f>
        <v>4388000</v>
      </c>
      <c r="W144" s="747">
        <f t="shared" ref="W144:W207" si="63">G144-H144-I144+M144+S144</f>
        <v>0</v>
      </c>
      <c r="X144" s="747">
        <f t="shared" ref="X144:X207" si="64">F144+K144+Q144</f>
        <v>4388000</v>
      </c>
      <c r="Y144" s="687"/>
    </row>
    <row r="145" spans="1:25" s="660" customFormat="1">
      <c r="A145" s="778">
        <v>11</v>
      </c>
      <c r="B145" s="784" t="s">
        <v>1524</v>
      </c>
      <c r="C145" s="779" t="s">
        <v>777</v>
      </c>
      <c r="D145" s="780" t="s">
        <v>1525</v>
      </c>
      <c r="E145" s="747">
        <v>4605307000</v>
      </c>
      <c r="F145" s="747"/>
      <c r="G145" s="747"/>
      <c r="H145" s="747"/>
      <c r="I145" s="747"/>
      <c r="J145" s="747"/>
      <c r="K145" s="747"/>
      <c r="L145" s="747"/>
      <c r="M145" s="747"/>
      <c r="N145" s="747"/>
      <c r="O145" s="747"/>
      <c r="P145" s="747">
        <v>3136000</v>
      </c>
      <c r="Q145" s="747">
        <f t="shared" si="60"/>
        <v>3136000</v>
      </c>
      <c r="R145" s="747">
        <v>3136000</v>
      </c>
      <c r="S145" s="747"/>
      <c r="T145" s="747"/>
      <c r="U145" s="747">
        <f t="shared" si="61"/>
        <v>0</v>
      </c>
      <c r="V145" s="747">
        <f t="shared" si="62"/>
        <v>3136000</v>
      </c>
      <c r="W145" s="747">
        <f t="shared" si="63"/>
        <v>0</v>
      </c>
      <c r="X145" s="747">
        <f t="shared" si="64"/>
        <v>3136000</v>
      </c>
      <c r="Y145" s="687"/>
    </row>
    <row r="146" spans="1:25" s="660" customFormat="1" ht="22.5">
      <c r="A146" s="778">
        <v>12</v>
      </c>
      <c r="B146" s="784" t="s">
        <v>1526</v>
      </c>
      <c r="C146" s="779" t="s">
        <v>777</v>
      </c>
      <c r="D146" s="780" t="s">
        <v>1527</v>
      </c>
      <c r="E146" s="747">
        <v>878000000</v>
      </c>
      <c r="F146" s="747"/>
      <c r="G146" s="747"/>
      <c r="H146" s="747"/>
      <c r="I146" s="747"/>
      <c r="J146" s="747"/>
      <c r="K146" s="747"/>
      <c r="L146" s="747"/>
      <c r="M146" s="747"/>
      <c r="N146" s="747"/>
      <c r="O146" s="747"/>
      <c r="P146" s="747">
        <v>5886000</v>
      </c>
      <c r="Q146" s="747">
        <f t="shared" si="60"/>
        <v>5886000</v>
      </c>
      <c r="R146" s="747">
        <v>5886000</v>
      </c>
      <c r="S146" s="747"/>
      <c r="T146" s="747"/>
      <c r="U146" s="747">
        <f t="shared" si="61"/>
        <v>0</v>
      </c>
      <c r="V146" s="747">
        <f t="shared" si="62"/>
        <v>5886000</v>
      </c>
      <c r="W146" s="747">
        <f t="shared" si="63"/>
        <v>0</v>
      </c>
      <c r="X146" s="747">
        <f t="shared" si="64"/>
        <v>5886000</v>
      </c>
      <c r="Y146" s="687"/>
    </row>
    <row r="147" spans="1:25" s="660" customFormat="1">
      <c r="A147" s="778">
        <v>13</v>
      </c>
      <c r="B147" s="775" t="s">
        <v>1528</v>
      </c>
      <c r="C147" s="776"/>
      <c r="D147" s="777"/>
      <c r="E147" s="747"/>
      <c r="F147" s="747"/>
      <c r="G147" s="747"/>
      <c r="H147" s="747"/>
      <c r="I147" s="747"/>
      <c r="J147" s="747"/>
      <c r="K147" s="747"/>
      <c r="L147" s="747"/>
      <c r="M147" s="747"/>
      <c r="N147" s="747"/>
      <c r="O147" s="747"/>
      <c r="P147" s="747"/>
      <c r="Q147" s="747"/>
      <c r="R147" s="747"/>
      <c r="S147" s="747"/>
      <c r="T147" s="747"/>
      <c r="U147" s="747">
        <f t="shared" si="61"/>
        <v>0</v>
      </c>
      <c r="V147" s="747">
        <f t="shared" si="62"/>
        <v>0</v>
      </c>
      <c r="W147" s="747">
        <f t="shared" si="63"/>
        <v>0</v>
      </c>
      <c r="X147" s="747"/>
      <c r="Y147" s="687"/>
    </row>
    <row r="148" spans="1:25" s="660" customFormat="1" ht="22.5">
      <c r="A148" s="778">
        <v>14</v>
      </c>
      <c r="B148" s="784" t="s">
        <v>1529</v>
      </c>
      <c r="C148" s="779" t="s">
        <v>777</v>
      </c>
      <c r="D148" s="780" t="s">
        <v>1530</v>
      </c>
      <c r="E148" s="747">
        <v>29659400000</v>
      </c>
      <c r="F148" s="747"/>
      <c r="G148" s="747"/>
      <c r="H148" s="747"/>
      <c r="I148" s="747"/>
      <c r="J148" s="747"/>
      <c r="K148" s="747"/>
      <c r="L148" s="747"/>
      <c r="M148" s="747"/>
      <c r="N148" s="747"/>
      <c r="O148" s="747"/>
      <c r="P148" s="747">
        <v>392629000</v>
      </c>
      <c r="Q148" s="747">
        <f t="shared" si="60"/>
        <v>392629000</v>
      </c>
      <c r="R148" s="747">
        <v>392629000</v>
      </c>
      <c r="S148" s="747"/>
      <c r="T148" s="747"/>
      <c r="U148" s="747">
        <f t="shared" si="61"/>
        <v>0</v>
      </c>
      <c r="V148" s="747">
        <f t="shared" si="62"/>
        <v>392629000</v>
      </c>
      <c r="W148" s="747">
        <f t="shared" si="63"/>
        <v>0</v>
      </c>
      <c r="X148" s="747">
        <f t="shared" si="64"/>
        <v>392629000</v>
      </c>
      <c r="Y148" s="687"/>
    </row>
    <row r="149" spans="1:25" s="660" customFormat="1">
      <c r="A149" s="778">
        <v>15</v>
      </c>
      <c r="B149" s="775" t="s">
        <v>1531</v>
      </c>
      <c r="C149" s="779"/>
      <c r="D149" s="780"/>
      <c r="E149" s="747"/>
      <c r="F149" s="747"/>
      <c r="G149" s="747"/>
      <c r="H149" s="747"/>
      <c r="I149" s="747"/>
      <c r="J149" s="747"/>
      <c r="K149" s="747"/>
      <c r="L149" s="747"/>
      <c r="M149" s="747"/>
      <c r="N149" s="747"/>
      <c r="O149" s="747"/>
      <c r="P149" s="747"/>
      <c r="Q149" s="747"/>
      <c r="R149" s="747"/>
      <c r="S149" s="747"/>
      <c r="T149" s="747"/>
      <c r="U149" s="747">
        <f t="shared" si="61"/>
        <v>0</v>
      </c>
      <c r="V149" s="747">
        <f t="shared" si="62"/>
        <v>0</v>
      </c>
      <c r="W149" s="747">
        <f t="shared" si="63"/>
        <v>0</v>
      </c>
      <c r="X149" s="747"/>
      <c r="Y149" s="687"/>
    </row>
    <row r="150" spans="1:25" s="660" customFormat="1">
      <c r="A150" s="778">
        <v>16</v>
      </c>
      <c r="B150" s="784" t="s">
        <v>1532</v>
      </c>
      <c r="C150" s="779" t="s">
        <v>777</v>
      </c>
      <c r="D150" s="780" t="s">
        <v>1533</v>
      </c>
      <c r="E150" s="747">
        <v>4945264298</v>
      </c>
      <c r="F150" s="747"/>
      <c r="G150" s="747"/>
      <c r="H150" s="747"/>
      <c r="I150" s="747"/>
      <c r="J150" s="747"/>
      <c r="K150" s="747"/>
      <c r="L150" s="747"/>
      <c r="M150" s="747"/>
      <c r="N150" s="747"/>
      <c r="O150" s="747"/>
      <c r="P150" s="747">
        <v>21572000</v>
      </c>
      <c r="Q150" s="747">
        <f t="shared" si="60"/>
        <v>21572000</v>
      </c>
      <c r="R150" s="747">
        <v>21572000</v>
      </c>
      <c r="S150" s="747"/>
      <c r="T150" s="747"/>
      <c r="U150" s="747">
        <f t="shared" si="61"/>
        <v>0</v>
      </c>
      <c r="V150" s="747">
        <f t="shared" si="62"/>
        <v>21572000</v>
      </c>
      <c r="W150" s="747">
        <f t="shared" si="63"/>
        <v>0</v>
      </c>
      <c r="X150" s="747">
        <f t="shared" si="64"/>
        <v>21572000</v>
      </c>
      <c r="Y150" s="687"/>
    </row>
    <row r="151" spans="1:25" s="660" customFormat="1" ht="22.5">
      <c r="A151" s="778">
        <v>17</v>
      </c>
      <c r="B151" s="784" t="s">
        <v>1534</v>
      </c>
      <c r="C151" s="779" t="s">
        <v>777</v>
      </c>
      <c r="D151" s="780" t="s">
        <v>1535</v>
      </c>
      <c r="E151" s="747">
        <v>16949049159</v>
      </c>
      <c r="F151" s="747"/>
      <c r="G151" s="747"/>
      <c r="H151" s="747"/>
      <c r="I151" s="747"/>
      <c r="J151" s="747"/>
      <c r="K151" s="747"/>
      <c r="L151" s="747"/>
      <c r="M151" s="747"/>
      <c r="N151" s="747"/>
      <c r="O151" s="747"/>
      <c r="P151" s="747">
        <v>91480000</v>
      </c>
      <c r="Q151" s="747">
        <f t="shared" si="60"/>
        <v>91480000</v>
      </c>
      <c r="R151" s="747">
        <v>91480000</v>
      </c>
      <c r="S151" s="747"/>
      <c r="T151" s="747"/>
      <c r="U151" s="747">
        <f t="shared" si="61"/>
        <v>0</v>
      </c>
      <c r="V151" s="747">
        <f t="shared" si="62"/>
        <v>91480000</v>
      </c>
      <c r="W151" s="747">
        <f t="shared" si="63"/>
        <v>0</v>
      </c>
      <c r="X151" s="747">
        <f t="shared" si="64"/>
        <v>91480000</v>
      </c>
      <c r="Y151" s="687"/>
    </row>
    <row r="152" spans="1:25" s="660" customFormat="1">
      <c r="A152" s="778">
        <v>18</v>
      </c>
      <c r="B152" s="775" t="s">
        <v>1536</v>
      </c>
      <c r="C152" s="779"/>
      <c r="D152" s="780"/>
      <c r="E152" s="747"/>
      <c r="F152" s="747"/>
      <c r="G152" s="747"/>
      <c r="H152" s="747"/>
      <c r="I152" s="747"/>
      <c r="J152" s="747"/>
      <c r="K152" s="747"/>
      <c r="L152" s="747"/>
      <c r="M152" s="747"/>
      <c r="N152" s="747"/>
      <c r="O152" s="747"/>
      <c r="P152" s="747"/>
      <c r="Q152" s="747"/>
      <c r="R152" s="747"/>
      <c r="S152" s="747"/>
      <c r="T152" s="747"/>
      <c r="U152" s="747">
        <f t="shared" si="61"/>
        <v>0</v>
      </c>
      <c r="V152" s="747">
        <f t="shared" si="62"/>
        <v>0</v>
      </c>
      <c r="W152" s="747">
        <f t="shared" si="63"/>
        <v>0</v>
      </c>
      <c r="X152" s="747"/>
      <c r="Y152" s="687"/>
    </row>
    <row r="153" spans="1:25" s="660" customFormat="1" ht="22.5">
      <c r="A153" s="778">
        <v>19</v>
      </c>
      <c r="B153" s="784" t="s">
        <v>1537</v>
      </c>
      <c r="C153" s="779" t="s">
        <v>777</v>
      </c>
      <c r="D153" s="780" t="s">
        <v>1538</v>
      </c>
      <c r="E153" s="747">
        <v>780408220</v>
      </c>
      <c r="F153" s="747"/>
      <c r="G153" s="747"/>
      <c r="H153" s="747"/>
      <c r="I153" s="747"/>
      <c r="J153" s="747"/>
      <c r="K153" s="747"/>
      <c r="L153" s="747"/>
      <c r="M153" s="747"/>
      <c r="N153" s="747"/>
      <c r="O153" s="747"/>
      <c r="P153" s="747">
        <v>2071000</v>
      </c>
      <c r="Q153" s="747">
        <f t="shared" si="60"/>
        <v>2070769</v>
      </c>
      <c r="R153" s="747">
        <v>2070769</v>
      </c>
      <c r="S153" s="747"/>
      <c r="T153" s="747"/>
      <c r="U153" s="747">
        <f t="shared" si="61"/>
        <v>231</v>
      </c>
      <c r="V153" s="747">
        <f t="shared" si="62"/>
        <v>2070769</v>
      </c>
      <c r="W153" s="747">
        <f t="shared" si="63"/>
        <v>0</v>
      </c>
      <c r="X153" s="747">
        <f t="shared" si="64"/>
        <v>2070769</v>
      </c>
      <c r="Y153" s="687"/>
    </row>
    <row r="154" spans="1:25" s="660" customFormat="1" ht="22.5">
      <c r="A154" s="778">
        <v>20</v>
      </c>
      <c r="B154" s="784" t="s">
        <v>1539</v>
      </c>
      <c r="C154" s="779"/>
      <c r="D154" s="780">
        <v>7159665</v>
      </c>
      <c r="E154" s="747"/>
      <c r="F154" s="747"/>
      <c r="G154" s="747"/>
      <c r="H154" s="747"/>
      <c r="I154" s="747"/>
      <c r="J154" s="747"/>
      <c r="K154" s="747"/>
      <c r="L154" s="747"/>
      <c r="M154" s="747"/>
      <c r="N154" s="747"/>
      <c r="O154" s="747"/>
      <c r="P154" s="747">
        <v>501000</v>
      </c>
      <c r="Q154" s="747"/>
      <c r="R154" s="747"/>
      <c r="S154" s="747"/>
      <c r="T154" s="747"/>
      <c r="U154" s="747">
        <f t="shared" si="61"/>
        <v>501000</v>
      </c>
      <c r="V154" s="747">
        <f t="shared" si="62"/>
        <v>0</v>
      </c>
      <c r="W154" s="747">
        <f t="shared" si="63"/>
        <v>0</v>
      </c>
      <c r="X154" s="747">
        <f t="shared" si="64"/>
        <v>0</v>
      </c>
      <c r="Y154" s="687"/>
    </row>
    <row r="155" spans="1:25" s="660" customFormat="1">
      <c r="A155" s="778">
        <v>21</v>
      </c>
      <c r="B155" s="785" t="s">
        <v>1540</v>
      </c>
      <c r="C155" s="779"/>
      <c r="D155" s="780">
        <v>7232318</v>
      </c>
      <c r="E155" s="747"/>
      <c r="F155" s="747"/>
      <c r="G155" s="747"/>
      <c r="H155" s="747"/>
      <c r="I155" s="747"/>
      <c r="J155" s="747"/>
      <c r="K155" s="747"/>
      <c r="L155" s="747"/>
      <c r="M155" s="747"/>
      <c r="N155" s="747"/>
      <c r="O155" s="747"/>
      <c r="P155" s="747">
        <v>1543000</v>
      </c>
      <c r="Q155" s="747"/>
      <c r="R155" s="747"/>
      <c r="S155" s="747"/>
      <c r="T155" s="747"/>
      <c r="U155" s="747">
        <f t="shared" si="61"/>
        <v>1543000</v>
      </c>
      <c r="V155" s="747">
        <f t="shared" si="62"/>
        <v>0</v>
      </c>
      <c r="W155" s="747">
        <f t="shared" si="63"/>
        <v>0</v>
      </c>
      <c r="X155" s="747">
        <f t="shared" si="64"/>
        <v>0</v>
      </c>
      <c r="Y155" s="687"/>
    </row>
    <row r="156" spans="1:25" s="660" customFormat="1">
      <c r="A156" s="778">
        <v>22</v>
      </c>
      <c r="B156" s="785" t="s">
        <v>1541</v>
      </c>
      <c r="C156" s="779"/>
      <c r="D156" s="780">
        <v>7255597</v>
      </c>
      <c r="E156" s="747"/>
      <c r="F156" s="747"/>
      <c r="G156" s="747"/>
      <c r="H156" s="747"/>
      <c r="I156" s="747"/>
      <c r="J156" s="747"/>
      <c r="K156" s="747"/>
      <c r="L156" s="747"/>
      <c r="M156" s="747"/>
      <c r="N156" s="747"/>
      <c r="O156" s="747"/>
      <c r="P156" s="747">
        <v>7705000</v>
      </c>
      <c r="Q156" s="747"/>
      <c r="R156" s="747"/>
      <c r="S156" s="747"/>
      <c r="T156" s="747"/>
      <c r="U156" s="747">
        <f t="shared" si="61"/>
        <v>7705000</v>
      </c>
      <c r="V156" s="747">
        <f t="shared" si="62"/>
        <v>0</v>
      </c>
      <c r="W156" s="747">
        <f t="shared" si="63"/>
        <v>0</v>
      </c>
      <c r="X156" s="747">
        <f t="shared" si="64"/>
        <v>0</v>
      </c>
      <c r="Y156" s="687"/>
    </row>
    <row r="157" spans="1:25" s="660" customFormat="1" ht="34.5">
      <c r="A157" s="778">
        <v>23</v>
      </c>
      <c r="B157" s="786" t="s">
        <v>1542</v>
      </c>
      <c r="C157" s="779" t="s">
        <v>777</v>
      </c>
      <c r="D157" s="780" t="s">
        <v>1543</v>
      </c>
      <c r="E157" s="747"/>
      <c r="F157" s="747"/>
      <c r="G157" s="747"/>
      <c r="H157" s="747"/>
      <c r="I157" s="747"/>
      <c r="J157" s="747"/>
      <c r="K157" s="747"/>
      <c r="L157" s="747"/>
      <c r="M157" s="747"/>
      <c r="N157" s="747"/>
      <c r="O157" s="747"/>
      <c r="P157" s="747">
        <v>11197000</v>
      </c>
      <c r="Q157" s="747">
        <f t="shared" si="60"/>
        <v>11196963</v>
      </c>
      <c r="R157" s="747">
        <v>11196963</v>
      </c>
      <c r="S157" s="747"/>
      <c r="T157" s="747"/>
      <c r="U157" s="747">
        <f t="shared" si="61"/>
        <v>37</v>
      </c>
      <c r="V157" s="747">
        <f t="shared" si="62"/>
        <v>11196963</v>
      </c>
      <c r="W157" s="747">
        <f t="shared" si="63"/>
        <v>0</v>
      </c>
      <c r="X157" s="747">
        <f t="shared" si="64"/>
        <v>11196963</v>
      </c>
      <c r="Y157" s="687"/>
    </row>
    <row r="158" spans="1:25" s="660" customFormat="1">
      <c r="A158" s="778">
        <v>24</v>
      </c>
      <c r="B158" s="785" t="s">
        <v>1544</v>
      </c>
      <c r="C158" s="779"/>
      <c r="D158" s="780" t="s">
        <v>1543</v>
      </c>
      <c r="E158" s="747"/>
      <c r="F158" s="747"/>
      <c r="G158" s="747"/>
      <c r="H158" s="747"/>
      <c r="I158" s="747"/>
      <c r="J158" s="747"/>
      <c r="K158" s="747"/>
      <c r="L158" s="747"/>
      <c r="M158" s="747"/>
      <c r="N158" s="747"/>
      <c r="O158" s="747"/>
      <c r="P158" s="747">
        <v>500000</v>
      </c>
      <c r="Q158" s="747">
        <f t="shared" si="60"/>
        <v>0</v>
      </c>
      <c r="R158" s="747"/>
      <c r="S158" s="747"/>
      <c r="T158" s="747"/>
      <c r="U158" s="747">
        <f t="shared" si="61"/>
        <v>500000</v>
      </c>
      <c r="V158" s="747">
        <f t="shared" si="62"/>
        <v>0</v>
      </c>
      <c r="W158" s="747">
        <f t="shared" si="63"/>
        <v>0</v>
      </c>
      <c r="X158" s="747">
        <f t="shared" si="64"/>
        <v>0</v>
      </c>
      <c r="Y158" s="687"/>
    </row>
    <row r="159" spans="1:25" s="660" customFormat="1">
      <c r="A159" s="778">
        <v>25</v>
      </c>
      <c r="B159" s="787" t="s">
        <v>1545</v>
      </c>
      <c r="C159" s="779"/>
      <c r="D159" s="780"/>
      <c r="E159" s="747"/>
      <c r="F159" s="747"/>
      <c r="G159" s="747"/>
      <c r="H159" s="747"/>
      <c r="I159" s="747"/>
      <c r="J159" s="747"/>
      <c r="K159" s="747"/>
      <c r="L159" s="747"/>
      <c r="M159" s="747"/>
      <c r="N159" s="747"/>
      <c r="O159" s="747"/>
      <c r="P159" s="747"/>
      <c r="Q159" s="747"/>
      <c r="R159" s="747"/>
      <c r="S159" s="747"/>
      <c r="T159" s="747"/>
      <c r="U159" s="747">
        <f t="shared" si="61"/>
        <v>0</v>
      </c>
      <c r="V159" s="747">
        <f t="shared" si="62"/>
        <v>0</v>
      </c>
      <c r="W159" s="747">
        <f t="shared" si="63"/>
        <v>0</v>
      </c>
      <c r="X159" s="747"/>
      <c r="Y159" s="687"/>
    </row>
    <row r="160" spans="1:25" s="660" customFormat="1">
      <c r="A160" s="778">
        <v>26</v>
      </c>
      <c r="B160" s="784" t="s">
        <v>1546</v>
      </c>
      <c r="C160" s="779" t="s">
        <v>777</v>
      </c>
      <c r="D160" s="780" t="s">
        <v>1547</v>
      </c>
      <c r="E160" s="747">
        <v>230158625327</v>
      </c>
      <c r="F160" s="747"/>
      <c r="G160" s="747"/>
      <c r="H160" s="747"/>
      <c r="I160" s="747"/>
      <c r="J160" s="747"/>
      <c r="K160" s="747"/>
      <c r="L160" s="747"/>
      <c r="M160" s="747"/>
      <c r="N160" s="747"/>
      <c r="O160" s="747"/>
      <c r="P160" s="747">
        <v>1052210000</v>
      </c>
      <c r="Q160" s="747">
        <f t="shared" si="60"/>
        <v>1052210000</v>
      </c>
      <c r="R160" s="747">
        <v>1052210000</v>
      </c>
      <c r="S160" s="747"/>
      <c r="T160" s="747"/>
      <c r="U160" s="747">
        <f t="shared" si="61"/>
        <v>0</v>
      </c>
      <c r="V160" s="747">
        <f t="shared" si="62"/>
        <v>1052210000</v>
      </c>
      <c r="W160" s="747">
        <f t="shared" si="63"/>
        <v>0</v>
      </c>
      <c r="X160" s="747">
        <f t="shared" si="64"/>
        <v>1052210000</v>
      </c>
      <c r="Y160" s="687"/>
    </row>
    <row r="161" spans="1:25" s="660" customFormat="1">
      <c r="A161" s="778">
        <v>27</v>
      </c>
      <c r="B161" s="784" t="s">
        <v>1548</v>
      </c>
      <c r="C161" s="779" t="s">
        <v>777</v>
      </c>
      <c r="D161" s="780" t="s">
        <v>1549</v>
      </c>
      <c r="E161" s="747">
        <v>50208823000</v>
      </c>
      <c r="F161" s="747"/>
      <c r="G161" s="747"/>
      <c r="H161" s="747"/>
      <c r="I161" s="747"/>
      <c r="J161" s="747"/>
      <c r="K161" s="747"/>
      <c r="L161" s="747"/>
      <c r="M161" s="747"/>
      <c r="N161" s="747"/>
      <c r="O161" s="747"/>
      <c r="P161" s="747">
        <v>137093000</v>
      </c>
      <c r="Q161" s="747">
        <f t="shared" si="60"/>
        <v>137092572</v>
      </c>
      <c r="R161" s="747">
        <v>137092572</v>
      </c>
      <c r="S161" s="747"/>
      <c r="T161" s="747"/>
      <c r="U161" s="747">
        <f t="shared" si="61"/>
        <v>428</v>
      </c>
      <c r="V161" s="747">
        <f t="shared" si="62"/>
        <v>137092572</v>
      </c>
      <c r="W161" s="747">
        <f t="shared" si="63"/>
        <v>0</v>
      </c>
      <c r="X161" s="747">
        <f t="shared" si="64"/>
        <v>137092572</v>
      </c>
      <c r="Y161" s="687"/>
    </row>
    <row r="162" spans="1:25" s="660" customFormat="1">
      <c r="A162" s="778">
        <v>28</v>
      </c>
      <c r="B162" s="784" t="s">
        <v>1550</v>
      </c>
      <c r="C162" s="779" t="s">
        <v>777</v>
      </c>
      <c r="D162" s="780" t="s">
        <v>1551</v>
      </c>
      <c r="E162" s="747">
        <v>47328385000</v>
      </c>
      <c r="F162" s="747"/>
      <c r="G162" s="747"/>
      <c r="H162" s="747"/>
      <c r="I162" s="747"/>
      <c r="J162" s="747"/>
      <c r="K162" s="747"/>
      <c r="L162" s="747"/>
      <c r="M162" s="747"/>
      <c r="N162" s="747"/>
      <c r="O162" s="747"/>
      <c r="P162" s="747">
        <v>61329000</v>
      </c>
      <c r="Q162" s="747">
        <f t="shared" si="60"/>
        <v>61328289</v>
      </c>
      <c r="R162" s="747">
        <v>61328289</v>
      </c>
      <c r="S162" s="747"/>
      <c r="T162" s="747"/>
      <c r="U162" s="747">
        <f t="shared" si="61"/>
        <v>711</v>
      </c>
      <c r="V162" s="747">
        <f t="shared" si="62"/>
        <v>61328289</v>
      </c>
      <c r="W162" s="747">
        <f t="shared" si="63"/>
        <v>0</v>
      </c>
      <c r="X162" s="747">
        <f t="shared" si="64"/>
        <v>61328289</v>
      </c>
      <c r="Y162" s="687"/>
    </row>
    <row r="163" spans="1:25" s="660" customFormat="1">
      <c r="A163" s="778">
        <v>29</v>
      </c>
      <c r="B163" s="784" t="s">
        <v>1552</v>
      </c>
      <c r="C163" s="779" t="s">
        <v>777</v>
      </c>
      <c r="D163" s="780" t="s">
        <v>1553</v>
      </c>
      <c r="E163" s="747">
        <v>1289236000</v>
      </c>
      <c r="F163" s="747"/>
      <c r="G163" s="747"/>
      <c r="H163" s="747"/>
      <c r="I163" s="747"/>
      <c r="J163" s="747"/>
      <c r="K163" s="747"/>
      <c r="L163" s="747"/>
      <c r="M163" s="747"/>
      <c r="N163" s="747"/>
      <c r="O163" s="747"/>
      <c r="P163" s="747">
        <v>3400000</v>
      </c>
      <c r="Q163" s="747">
        <f t="shared" si="60"/>
        <v>3399093</v>
      </c>
      <c r="R163" s="747">
        <v>3399093</v>
      </c>
      <c r="S163" s="747"/>
      <c r="T163" s="747"/>
      <c r="U163" s="747">
        <f t="shared" si="61"/>
        <v>907</v>
      </c>
      <c r="V163" s="747">
        <f t="shared" si="62"/>
        <v>3399093</v>
      </c>
      <c r="W163" s="747">
        <f t="shared" si="63"/>
        <v>0</v>
      </c>
      <c r="X163" s="747">
        <f t="shared" si="64"/>
        <v>3399093</v>
      </c>
      <c r="Y163" s="687"/>
    </row>
    <row r="164" spans="1:25" s="660" customFormat="1">
      <c r="A164" s="778">
        <v>30</v>
      </c>
      <c r="B164" s="784" t="s">
        <v>1554</v>
      </c>
      <c r="C164" s="779" t="s">
        <v>777</v>
      </c>
      <c r="D164" s="780" t="s">
        <v>1555</v>
      </c>
      <c r="E164" s="747">
        <v>2072097000</v>
      </c>
      <c r="F164" s="747"/>
      <c r="G164" s="747"/>
      <c r="H164" s="747"/>
      <c r="I164" s="747"/>
      <c r="J164" s="747"/>
      <c r="K164" s="747"/>
      <c r="L164" s="747"/>
      <c r="M164" s="747"/>
      <c r="N164" s="747"/>
      <c r="O164" s="747"/>
      <c r="P164" s="747">
        <v>4766000</v>
      </c>
      <c r="Q164" s="747">
        <f t="shared" si="60"/>
        <v>4765823</v>
      </c>
      <c r="R164" s="747">
        <v>4765823</v>
      </c>
      <c r="S164" s="747"/>
      <c r="T164" s="747"/>
      <c r="U164" s="747">
        <f t="shared" si="61"/>
        <v>177</v>
      </c>
      <c r="V164" s="747">
        <f t="shared" si="62"/>
        <v>4765823</v>
      </c>
      <c r="W164" s="747">
        <f t="shared" si="63"/>
        <v>0</v>
      </c>
      <c r="X164" s="747">
        <f t="shared" si="64"/>
        <v>4765823</v>
      </c>
      <c r="Y164" s="687"/>
    </row>
    <row r="165" spans="1:25" s="660" customFormat="1">
      <c r="A165" s="778">
        <v>31</v>
      </c>
      <c r="B165" s="784" t="s">
        <v>1556</v>
      </c>
      <c r="C165" s="779" t="s">
        <v>777</v>
      </c>
      <c r="D165" s="780" t="s">
        <v>1557</v>
      </c>
      <c r="E165" s="747">
        <v>63554981000</v>
      </c>
      <c r="F165" s="747"/>
      <c r="G165" s="747"/>
      <c r="H165" s="747"/>
      <c r="I165" s="747"/>
      <c r="J165" s="747"/>
      <c r="K165" s="747"/>
      <c r="L165" s="747"/>
      <c r="M165" s="747"/>
      <c r="N165" s="747"/>
      <c r="O165" s="747"/>
      <c r="P165" s="747">
        <v>430085000</v>
      </c>
      <c r="Q165" s="747">
        <f t="shared" si="60"/>
        <v>430084541</v>
      </c>
      <c r="R165" s="747">
        <v>430084541</v>
      </c>
      <c r="S165" s="747"/>
      <c r="T165" s="747"/>
      <c r="U165" s="747">
        <f t="shared" si="61"/>
        <v>459</v>
      </c>
      <c r="V165" s="747">
        <f t="shared" si="62"/>
        <v>430084541</v>
      </c>
      <c r="W165" s="747">
        <f t="shared" si="63"/>
        <v>0</v>
      </c>
      <c r="X165" s="747">
        <f t="shared" si="64"/>
        <v>430084541</v>
      </c>
      <c r="Y165" s="687"/>
    </row>
    <row r="166" spans="1:25" s="660" customFormat="1">
      <c r="A166" s="778">
        <v>32</v>
      </c>
      <c r="B166" s="787" t="s">
        <v>1558</v>
      </c>
      <c r="C166" s="788"/>
      <c r="D166" s="789"/>
      <c r="E166" s="747"/>
      <c r="F166" s="747"/>
      <c r="G166" s="747"/>
      <c r="H166" s="747"/>
      <c r="I166" s="747"/>
      <c r="J166" s="747"/>
      <c r="K166" s="747"/>
      <c r="L166" s="747"/>
      <c r="M166" s="747"/>
      <c r="N166" s="747"/>
      <c r="O166" s="747"/>
      <c r="P166" s="747"/>
      <c r="Q166" s="747"/>
      <c r="R166" s="747"/>
      <c r="S166" s="747"/>
      <c r="T166" s="747"/>
      <c r="U166" s="747">
        <f t="shared" si="61"/>
        <v>0</v>
      </c>
      <c r="V166" s="747">
        <f t="shared" si="62"/>
        <v>0</v>
      </c>
      <c r="W166" s="747">
        <f t="shared" si="63"/>
        <v>0</v>
      </c>
      <c r="X166" s="747"/>
      <c r="Y166" s="687"/>
    </row>
    <row r="167" spans="1:25" s="660" customFormat="1">
      <c r="A167" s="778">
        <v>33</v>
      </c>
      <c r="B167" s="784" t="s">
        <v>1559</v>
      </c>
      <c r="C167" s="779" t="s">
        <v>777</v>
      </c>
      <c r="D167" s="780" t="s">
        <v>1560</v>
      </c>
      <c r="E167" s="747"/>
      <c r="F167" s="747"/>
      <c r="G167" s="747"/>
      <c r="H167" s="747"/>
      <c r="I167" s="747"/>
      <c r="J167" s="747"/>
      <c r="K167" s="747"/>
      <c r="L167" s="747"/>
      <c r="M167" s="747"/>
      <c r="N167" s="747"/>
      <c r="O167" s="747"/>
      <c r="P167" s="747">
        <v>731000</v>
      </c>
      <c r="Q167" s="747">
        <f t="shared" si="60"/>
        <v>731000</v>
      </c>
      <c r="R167" s="747">
        <v>731000</v>
      </c>
      <c r="S167" s="747"/>
      <c r="T167" s="747"/>
      <c r="U167" s="747">
        <f t="shared" si="61"/>
        <v>0</v>
      </c>
      <c r="V167" s="747">
        <f t="shared" si="62"/>
        <v>731000</v>
      </c>
      <c r="W167" s="747">
        <f t="shared" si="63"/>
        <v>0</v>
      </c>
      <c r="X167" s="747">
        <f t="shared" si="64"/>
        <v>731000</v>
      </c>
      <c r="Y167" s="687"/>
    </row>
    <row r="168" spans="1:25" s="660" customFormat="1" ht="22.5">
      <c r="A168" s="778">
        <v>34</v>
      </c>
      <c r="B168" s="785" t="s">
        <v>1561</v>
      </c>
      <c r="C168" s="779" t="s">
        <v>777</v>
      </c>
      <c r="D168" s="780" t="s">
        <v>1562</v>
      </c>
      <c r="E168" s="747">
        <v>1338912729</v>
      </c>
      <c r="F168" s="747"/>
      <c r="G168" s="747"/>
      <c r="H168" s="747"/>
      <c r="I168" s="747"/>
      <c r="J168" s="747"/>
      <c r="K168" s="747"/>
      <c r="L168" s="747"/>
      <c r="M168" s="747"/>
      <c r="N168" s="747"/>
      <c r="O168" s="747"/>
      <c r="P168" s="747">
        <v>1249000</v>
      </c>
      <c r="Q168" s="747">
        <f t="shared" si="60"/>
        <v>1249000</v>
      </c>
      <c r="R168" s="747">
        <v>1249000</v>
      </c>
      <c r="S168" s="747"/>
      <c r="T168" s="747"/>
      <c r="U168" s="747">
        <f t="shared" si="61"/>
        <v>0</v>
      </c>
      <c r="V168" s="747">
        <f t="shared" si="62"/>
        <v>1249000</v>
      </c>
      <c r="W168" s="747">
        <f t="shared" si="63"/>
        <v>0</v>
      </c>
      <c r="X168" s="747">
        <f t="shared" si="64"/>
        <v>1249000</v>
      </c>
      <c r="Y168" s="687"/>
    </row>
    <row r="169" spans="1:25" s="660" customFormat="1" ht="22.5">
      <c r="A169" s="778">
        <v>35</v>
      </c>
      <c r="B169" s="785" t="s">
        <v>1563</v>
      </c>
      <c r="C169" s="779" t="s">
        <v>777</v>
      </c>
      <c r="D169" s="780" t="s">
        <v>1564</v>
      </c>
      <c r="E169" s="747">
        <v>804944667</v>
      </c>
      <c r="F169" s="747"/>
      <c r="G169" s="747"/>
      <c r="H169" s="747"/>
      <c r="I169" s="747"/>
      <c r="J169" s="747"/>
      <c r="K169" s="747"/>
      <c r="L169" s="747"/>
      <c r="M169" s="747"/>
      <c r="N169" s="747"/>
      <c r="O169" s="747"/>
      <c r="P169" s="747">
        <v>609000</v>
      </c>
      <c r="Q169" s="747">
        <f t="shared" si="60"/>
        <v>609000</v>
      </c>
      <c r="R169" s="747">
        <v>609000</v>
      </c>
      <c r="S169" s="747"/>
      <c r="T169" s="747"/>
      <c r="U169" s="747">
        <f t="shared" si="61"/>
        <v>0</v>
      </c>
      <c r="V169" s="747">
        <f t="shared" si="62"/>
        <v>609000</v>
      </c>
      <c r="W169" s="747">
        <f t="shared" si="63"/>
        <v>0</v>
      </c>
      <c r="X169" s="747">
        <f t="shared" si="64"/>
        <v>609000</v>
      </c>
      <c r="Y169" s="687"/>
    </row>
    <row r="170" spans="1:25" s="660" customFormat="1" ht="22.5">
      <c r="A170" s="778">
        <v>36</v>
      </c>
      <c r="B170" s="785" t="s">
        <v>1565</v>
      </c>
      <c r="C170" s="779" t="s">
        <v>777</v>
      </c>
      <c r="D170" s="780" t="s">
        <v>1566</v>
      </c>
      <c r="E170" s="747">
        <v>1178442000</v>
      </c>
      <c r="F170" s="747"/>
      <c r="G170" s="747"/>
      <c r="H170" s="747"/>
      <c r="I170" s="747"/>
      <c r="J170" s="747"/>
      <c r="K170" s="747"/>
      <c r="L170" s="747"/>
      <c r="M170" s="747"/>
      <c r="N170" s="747"/>
      <c r="O170" s="747"/>
      <c r="P170" s="747">
        <v>427000</v>
      </c>
      <c r="Q170" s="747">
        <f t="shared" si="60"/>
        <v>427000</v>
      </c>
      <c r="R170" s="747">
        <v>427000</v>
      </c>
      <c r="S170" s="747"/>
      <c r="T170" s="747"/>
      <c r="U170" s="747">
        <f t="shared" si="61"/>
        <v>0</v>
      </c>
      <c r="V170" s="747">
        <f t="shared" si="62"/>
        <v>427000</v>
      </c>
      <c r="W170" s="747">
        <f t="shared" si="63"/>
        <v>0</v>
      </c>
      <c r="X170" s="747">
        <f t="shared" si="64"/>
        <v>427000</v>
      </c>
      <c r="Y170" s="687"/>
    </row>
    <row r="171" spans="1:25" s="660" customFormat="1" ht="22.5">
      <c r="A171" s="778">
        <v>37</v>
      </c>
      <c r="B171" s="785" t="s">
        <v>1567</v>
      </c>
      <c r="C171" s="779" t="s">
        <v>777</v>
      </c>
      <c r="D171" s="780" t="s">
        <v>1568</v>
      </c>
      <c r="E171" s="747">
        <v>1514825000</v>
      </c>
      <c r="F171" s="747"/>
      <c r="G171" s="747"/>
      <c r="H171" s="747"/>
      <c r="I171" s="747"/>
      <c r="J171" s="747"/>
      <c r="K171" s="747"/>
      <c r="L171" s="747"/>
      <c r="M171" s="747"/>
      <c r="N171" s="747"/>
      <c r="O171" s="747"/>
      <c r="P171" s="747">
        <v>531000</v>
      </c>
      <c r="Q171" s="747">
        <f t="shared" si="60"/>
        <v>531000</v>
      </c>
      <c r="R171" s="747">
        <v>531000</v>
      </c>
      <c r="S171" s="747"/>
      <c r="T171" s="747"/>
      <c r="U171" s="747">
        <f t="shared" si="61"/>
        <v>0</v>
      </c>
      <c r="V171" s="747">
        <f t="shared" si="62"/>
        <v>531000</v>
      </c>
      <c r="W171" s="747">
        <f t="shared" si="63"/>
        <v>0</v>
      </c>
      <c r="X171" s="747">
        <f t="shared" si="64"/>
        <v>531000</v>
      </c>
      <c r="Y171" s="687"/>
    </row>
    <row r="172" spans="1:25" s="660" customFormat="1" ht="22.5">
      <c r="A172" s="778">
        <v>38</v>
      </c>
      <c r="B172" s="784" t="s">
        <v>1569</v>
      </c>
      <c r="C172" s="779" t="s">
        <v>777</v>
      </c>
      <c r="D172" s="780" t="s">
        <v>1570</v>
      </c>
      <c r="E172" s="747">
        <v>1878686000</v>
      </c>
      <c r="F172" s="747"/>
      <c r="G172" s="747"/>
      <c r="H172" s="747"/>
      <c r="I172" s="747"/>
      <c r="J172" s="747"/>
      <c r="K172" s="747"/>
      <c r="L172" s="747"/>
      <c r="M172" s="747"/>
      <c r="N172" s="747"/>
      <c r="O172" s="747"/>
      <c r="P172" s="747">
        <v>501000</v>
      </c>
      <c r="Q172" s="747">
        <f t="shared" si="60"/>
        <v>501000</v>
      </c>
      <c r="R172" s="747">
        <v>501000</v>
      </c>
      <c r="S172" s="747"/>
      <c r="T172" s="747"/>
      <c r="U172" s="747">
        <f t="shared" si="61"/>
        <v>0</v>
      </c>
      <c r="V172" s="747">
        <f t="shared" si="62"/>
        <v>501000</v>
      </c>
      <c r="W172" s="747">
        <f t="shared" si="63"/>
        <v>0</v>
      </c>
      <c r="X172" s="747">
        <f t="shared" si="64"/>
        <v>501000</v>
      </c>
      <c r="Y172" s="687"/>
    </row>
    <row r="173" spans="1:25" s="660" customFormat="1" ht="22.5">
      <c r="A173" s="778">
        <v>39</v>
      </c>
      <c r="B173" s="785" t="s">
        <v>1571</v>
      </c>
      <c r="C173" s="779" t="s">
        <v>777</v>
      </c>
      <c r="D173" s="780" t="s">
        <v>1572</v>
      </c>
      <c r="E173" s="747">
        <v>1477425000</v>
      </c>
      <c r="F173" s="747"/>
      <c r="G173" s="747"/>
      <c r="H173" s="747"/>
      <c r="I173" s="747"/>
      <c r="J173" s="747"/>
      <c r="K173" s="747"/>
      <c r="L173" s="747"/>
      <c r="M173" s="747"/>
      <c r="N173" s="747"/>
      <c r="O173" s="747"/>
      <c r="P173" s="747">
        <v>527000</v>
      </c>
      <c r="Q173" s="747">
        <f t="shared" si="60"/>
        <v>527000</v>
      </c>
      <c r="R173" s="747">
        <v>527000</v>
      </c>
      <c r="S173" s="747"/>
      <c r="T173" s="747"/>
      <c r="U173" s="747">
        <f t="shared" si="61"/>
        <v>0</v>
      </c>
      <c r="V173" s="747">
        <f t="shared" si="62"/>
        <v>527000</v>
      </c>
      <c r="W173" s="747">
        <f t="shared" si="63"/>
        <v>0</v>
      </c>
      <c r="X173" s="747">
        <f t="shared" si="64"/>
        <v>527000</v>
      </c>
      <c r="Y173" s="687"/>
    </row>
    <row r="174" spans="1:25" s="660" customFormat="1" ht="22.5">
      <c r="A174" s="778">
        <v>40</v>
      </c>
      <c r="B174" s="785" t="s">
        <v>1573</v>
      </c>
      <c r="C174" s="779" t="s">
        <v>777</v>
      </c>
      <c r="D174" s="780" t="s">
        <v>1574</v>
      </c>
      <c r="E174" s="747">
        <v>1469400000</v>
      </c>
      <c r="F174" s="747"/>
      <c r="G174" s="747"/>
      <c r="H174" s="747"/>
      <c r="I174" s="747"/>
      <c r="J174" s="747"/>
      <c r="K174" s="747"/>
      <c r="L174" s="747"/>
      <c r="M174" s="747"/>
      <c r="N174" s="747"/>
      <c r="O174" s="747"/>
      <c r="P174" s="747">
        <v>524000</v>
      </c>
      <c r="Q174" s="747">
        <f t="shared" si="60"/>
        <v>524000</v>
      </c>
      <c r="R174" s="747">
        <v>524000</v>
      </c>
      <c r="S174" s="747"/>
      <c r="T174" s="747"/>
      <c r="U174" s="747">
        <f t="shared" si="61"/>
        <v>0</v>
      </c>
      <c r="V174" s="747">
        <f t="shared" si="62"/>
        <v>524000</v>
      </c>
      <c r="W174" s="747">
        <f t="shared" si="63"/>
        <v>0</v>
      </c>
      <c r="X174" s="747">
        <f t="shared" si="64"/>
        <v>524000</v>
      </c>
      <c r="Y174" s="687"/>
    </row>
    <row r="175" spans="1:25" s="660" customFormat="1" ht="22.5">
      <c r="A175" s="778">
        <v>41</v>
      </c>
      <c r="B175" s="785" t="s">
        <v>1575</v>
      </c>
      <c r="C175" s="779" t="s">
        <v>777</v>
      </c>
      <c r="D175" s="780" t="s">
        <v>1576</v>
      </c>
      <c r="E175" s="747">
        <v>2611716000</v>
      </c>
      <c r="F175" s="747"/>
      <c r="G175" s="747"/>
      <c r="H175" s="747"/>
      <c r="I175" s="747"/>
      <c r="J175" s="747"/>
      <c r="K175" s="747"/>
      <c r="L175" s="747"/>
      <c r="M175" s="747"/>
      <c r="N175" s="747"/>
      <c r="O175" s="747"/>
      <c r="P175" s="747">
        <v>1728000</v>
      </c>
      <c r="Q175" s="747">
        <f t="shared" si="60"/>
        <v>1728000</v>
      </c>
      <c r="R175" s="747">
        <v>1728000</v>
      </c>
      <c r="S175" s="747"/>
      <c r="T175" s="747"/>
      <c r="U175" s="747">
        <f t="shared" si="61"/>
        <v>0</v>
      </c>
      <c r="V175" s="747">
        <f t="shared" si="62"/>
        <v>1728000</v>
      </c>
      <c r="W175" s="747">
        <f t="shared" si="63"/>
        <v>0</v>
      </c>
      <c r="X175" s="747">
        <f t="shared" si="64"/>
        <v>1728000</v>
      </c>
      <c r="Y175" s="687"/>
    </row>
    <row r="176" spans="1:25" s="660" customFormat="1" ht="22.5">
      <c r="A176" s="778">
        <v>42</v>
      </c>
      <c r="B176" s="784" t="s">
        <v>1577</v>
      </c>
      <c r="C176" s="779" t="s">
        <v>777</v>
      </c>
      <c r="D176" s="780" t="s">
        <v>1578</v>
      </c>
      <c r="E176" s="747">
        <v>2299415650</v>
      </c>
      <c r="F176" s="747"/>
      <c r="G176" s="747"/>
      <c r="H176" s="747"/>
      <c r="I176" s="747"/>
      <c r="J176" s="747"/>
      <c r="K176" s="747"/>
      <c r="L176" s="747"/>
      <c r="M176" s="747"/>
      <c r="N176" s="747"/>
      <c r="O176" s="747"/>
      <c r="P176" s="747">
        <v>1481000</v>
      </c>
      <c r="Q176" s="747">
        <f t="shared" si="60"/>
        <v>1481000</v>
      </c>
      <c r="R176" s="747">
        <v>1481000</v>
      </c>
      <c r="S176" s="747"/>
      <c r="T176" s="747"/>
      <c r="U176" s="747">
        <f t="shared" si="61"/>
        <v>0</v>
      </c>
      <c r="V176" s="747">
        <f t="shared" si="62"/>
        <v>1481000</v>
      </c>
      <c r="W176" s="747">
        <f t="shared" si="63"/>
        <v>0</v>
      </c>
      <c r="X176" s="747">
        <f t="shared" si="64"/>
        <v>1481000</v>
      </c>
      <c r="Y176" s="687"/>
    </row>
    <row r="177" spans="1:25" s="660" customFormat="1" ht="22.5">
      <c r="A177" s="778">
        <v>43</v>
      </c>
      <c r="B177" s="784" t="s">
        <v>1579</v>
      </c>
      <c r="C177" s="779" t="s">
        <v>777</v>
      </c>
      <c r="D177" s="780" t="s">
        <v>1580</v>
      </c>
      <c r="E177" s="747">
        <v>2611978000</v>
      </c>
      <c r="F177" s="747"/>
      <c r="G177" s="747"/>
      <c r="H177" s="747"/>
      <c r="I177" s="747"/>
      <c r="J177" s="747"/>
      <c r="K177" s="747"/>
      <c r="L177" s="747"/>
      <c r="M177" s="747"/>
      <c r="N177" s="747"/>
      <c r="O177" s="747"/>
      <c r="P177" s="747">
        <v>335000</v>
      </c>
      <c r="Q177" s="747">
        <f t="shared" si="60"/>
        <v>335000</v>
      </c>
      <c r="R177" s="747">
        <v>335000</v>
      </c>
      <c r="S177" s="747"/>
      <c r="T177" s="747"/>
      <c r="U177" s="747">
        <f t="shared" si="61"/>
        <v>0</v>
      </c>
      <c r="V177" s="747">
        <f t="shared" si="62"/>
        <v>335000</v>
      </c>
      <c r="W177" s="747">
        <f t="shared" si="63"/>
        <v>0</v>
      </c>
      <c r="X177" s="747">
        <f t="shared" si="64"/>
        <v>335000</v>
      </c>
      <c r="Y177" s="687"/>
    </row>
    <row r="178" spans="1:25" s="660" customFormat="1" ht="22.5">
      <c r="A178" s="778">
        <v>44</v>
      </c>
      <c r="B178" s="784" t="s">
        <v>1581</v>
      </c>
      <c r="C178" s="779" t="s">
        <v>777</v>
      </c>
      <c r="D178" s="780" t="s">
        <v>1582</v>
      </c>
      <c r="E178" s="747">
        <v>4556025254</v>
      </c>
      <c r="F178" s="747"/>
      <c r="G178" s="747"/>
      <c r="H178" s="747"/>
      <c r="I178" s="747"/>
      <c r="J178" s="747"/>
      <c r="K178" s="747"/>
      <c r="L178" s="747"/>
      <c r="M178" s="747"/>
      <c r="N178" s="747"/>
      <c r="O178" s="747"/>
      <c r="P178" s="747">
        <v>334000</v>
      </c>
      <c r="Q178" s="747">
        <f t="shared" si="60"/>
        <v>334000</v>
      </c>
      <c r="R178" s="747">
        <v>334000</v>
      </c>
      <c r="S178" s="747"/>
      <c r="T178" s="747"/>
      <c r="U178" s="747">
        <f t="shared" si="61"/>
        <v>0</v>
      </c>
      <c r="V178" s="747">
        <f t="shared" si="62"/>
        <v>334000</v>
      </c>
      <c r="W178" s="747">
        <f t="shared" si="63"/>
        <v>0</v>
      </c>
      <c r="X178" s="747">
        <f t="shared" si="64"/>
        <v>334000</v>
      </c>
      <c r="Y178" s="687"/>
    </row>
    <row r="179" spans="1:25" s="660" customFormat="1" ht="22.5">
      <c r="A179" s="778">
        <v>45</v>
      </c>
      <c r="B179" s="784" t="s">
        <v>1583</v>
      </c>
      <c r="C179" s="779" t="s">
        <v>777</v>
      </c>
      <c r="D179" s="780" t="s">
        <v>1584</v>
      </c>
      <c r="E179" s="747">
        <v>7536959849</v>
      </c>
      <c r="F179" s="747"/>
      <c r="G179" s="747"/>
      <c r="H179" s="747"/>
      <c r="I179" s="747"/>
      <c r="J179" s="747"/>
      <c r="K179" s="747"/>
      <c r="L179" s="747"/>
      <c r="M179" s="747"/>
      <c r="N179" s="747"/>
      <c r="O179" s="747"/>
      <c r="P179" s="747">
        <v>35536000</v>
      </c>
      <c r="Q179" s="747">
        <f t="shared" si="60"/>
        <v>35536000</v>
      </c>
      <c r="R179" s="747">
        <v>35536000</v>
      </c>
      <c r="S179" s="747"/>
      <c r="T179" s="747"/>
      <c r="U179" s="747">
        <f t="shared" si="61"/>
        <v>0</v>
      </c>
      <c r="V179" s="747">
        <f t="shared" si="62"/>
        <v>35536000</v>
      </c>
      <c r="W179" s="747">
        <f t="shared" si="63"/>
        <v>0</v>
      </c>
      <c r="X179" s="747">
        <f t="shared" si="64"/>
        <v>35536000</v>
      </c>
      <c r="Y179" s="687"/>
    </row>
    <row r="180" spans="1:25" s="660" customFormat="1" ht="33.75">
      <c r="A180" s="778">
        <v>46</v>
      </c>
      <c r="B180" s="784" t="s">
        <v>1585</v>
      </c>
      <c r="C180" s="779" t="s">
        <v>777</v>
      </c>
      <c r="D180" s="780" t="s">
        <v>1586</v>
      </c>
      <c r="E180" s="747">
        <v>842270610</v>
      </c>
      <c r="F180" s="747"/>
      <c r="G180" s="747"/>
      <c r="H180" s="747"/>
      <c r="I180" s="747"/>
      <c r="J180" s="747"/>
      <c r="K180" s="747"/>
      <c r="L180" s="747"/>
      <c r="M180" s="747"/>
      <c r="N180" s="747"/>
      <c r="O180" s="747"/>
      <c r="P180" s="747">
        <v>3802000</v>
      </c>
      <c r="Q180" s="747">
        <f t="shared" si="60"/>
        <v>3802000</v>
      </c>
      <c r="R180" s="747">
        <v>3802000</v>
      </c>
      <c r="S180" s="747"/>
      <c r="T180" s="747"/>
      <c r="U180" s="747">
        <f t="shared" si="61"/>
        <v>0</v>
      </c>
      <c r="V180" s="747">
        <f t="shared" si="62"/>
        <v>3802000</v>
      </c>
      <c r="W180" s="747">
        <f t="shared" si="63"/>
        <v>0</v>
      </c>
      <c r="X180" s="747">
        <f t="shared" si="64"/>
        <v>3802000</v>
      </c>
      <c r="Y180" s="687"/>
    </row>
    <row r="181" spans="1:25" s="660" customFormat="1" ht="22.5">
      <c r="A181" s="778">
        <v>47</v>
      </c>
      <c r="B181" s="784" t="s">
        <v>1587</v>
      </c>
      <c r="C181" s="779" t="s">
        <v>777</v>
      </c>
      <c r="D181" s="780" t="s">
        <v>1588</v>
      </c>
      <c r="E181" s="747">
        <v>305688766</v>
      </c>
      <c r="F181" s="747"/>
      <c r="G181" s="747"/>
      <c r="H181" s="747"/>
      <c r="I181" s="747"/>
      <c r="J181" s="747"/>
      <c r="K181" s="747"/>
      <c r="L181" s="747"/>
      <c r="M181" s="747"/>
      <c r="N181" s="747"/>
      <c r="O181" s="747"/>
      <c r="P181" s="747">
        <v>743000</v>
      </c>
      <c r="Q181" s="747">
        <f t="shared" si="60"/>
        <v>743000</v>
      </c>
      <c r="R181" s="747">
        <v>743000</v>
      </c>
      <c r="S181" s="747"/>
      <c r="T181" s="747"/>
      <c r="U181" s="747">
        <f t="shared" si="61"/>
        <v>0</v>
      </c>
      <c r="V181" s="747">
        <f t="shared" si="62"/>
        <v>743000</v>
      </c>
      <c r="W181" s="747">
        <f t="shared" si="63"/>
        <v>0</v>
      </c>
      <c r="X181" s="747">
        <f t="shared" si="64"/>
        <v>743000</v>
      </c>
      <c r="Y181" s="687"/>
    </row>
    <row r="182" spans="1:25" s="660" customFormat="1" ht="33.75">
      <c r="A182" s="778">
        <v>48</v>
      </c>
      <c r="B182" s="784" t="s">
        <v>1589</v>
      </c>
      <c r="C182" s="779" t="s">
        <v>777</v>
      </c>
      <c r="D182" s="780" t="s">
        <v>1590</v>
      </c>
      <c r="E182" s="747">
        <v>481905051</v>
      </c>
      <c r="F182" s="747"/>
      <c r="G182" s="747"/>
      <c r="H182" s="747"/>
      <c r="I182" s="747"/>
      <c r="J182" s="747"/>
      <c r="K182" s="747"/>
      <c r="L182" s="747"/>
      <c r="M182" s="747"/>
      <c r="N182" s="747"/>
      <c r="O182" s="747"/>
      <c r="P182" s="747">
        <v>2717000</v>
      </c>
      <c r="Q182" s="747">
        <f t="shared" si="60"/>
        <v>2717000</v>
      </c>
      <c r="R182" s="747">
        <v>2717000</v>
      </c>
      <c r="S182" s="747"/>
      <c r="T182" s="747"/>
      <c r="U182" s="747">
        <f t="shared" si="61"/>
        <v>0</v>
      </c>
      <c r="V182" s="747">
        <f t="shared" si="62"/>
        <v>2717000</v>
      </c>
      <c r="W182" s="747">
        <f t="shared" si="63"/>
        <v>0</v>
      </c>
      <c r="X182" s="747">
        <f t="shared" si="64"/>
        <v>2717000</v>
      </c>
      <c r="Y182" s="687"/>
    </row>
    <row r="183" spans="1:25" s="660" customFormat="1" ht="22.5">
      <c r="A183" s="778">
        <v>49</v>
      </c>
      <c r="B183" s="784" t="s">
        <v>1591</v>
      </c>
      <c r="C183" s="779" t="s">
        <v>777</v>
      </c>
      <c r="D183" s="780" t="s">
        <v>1592</v>
      </c>
      <c r="E183" s="747">
        <v>528769000</v>
      </c>
      <c r="F183" s="747"/>
      <c r="G183" s="747"/>
      <c r="H183" s="747"/>
      <c r="I183" s="747"/>
      <c r="J183" s="747"/>
      <c r="K183" s="747"/>
      <c r="L183" s="747"/>
      <c r="M183" s="747"/>
      <c r="N183" s="747"/>
      <c r="O183" s="747"/>
      <c r="P183" s="747">
        <v>3016000</v>
      </c>
      <c r="Q183" s="747">
        <f t="shared" si="60"/>
        <v>3016000</v>
      </c>
      <c r="R183" s="747">
        <v>3016000</v>
      </c>
      <c r="S183" s="747"/>
      <c r="T183" s="747"/>
      <c r="U183" s="747">
        <f t="shared" si="61"/>
        <v>0</v>
      </c>
      <c r="V183" s="747">
        <f t="shared" si="62"/>
        <v>3016000</v>
      </c>
      <c r="W183" s="747">
        <f t="shared" si="63"/>
        <v>0</v>
      </c>
      <c r="X183" s="747">
        <f t="shared" si="64"/>
        <v>3016000</v>
      </c>
      <c r="Y183" s="687"/>
    </row>
    <row r="184" spans="1:25" s="660" customFormat="1">
      <c r="A184" s="778">
        <v>50</v>
      </c>
      <c r="B184" s="775" t="s">
        <v>1593</v>
      </c>
      <c r="C184" s="781"/>
      <c r="D184" s="782"/>
      <c r="E184" s="747"/>
      <c r="F184" s="747"/>
      <c r="G184" s="747"/>
      <c r="H184" s="747"/>
      <c r="I184" s="747"/>
      <c r="J184" s="747"/>
      <c r="K184" s="747"/>
      <c r="L184" s="747"/>
      <c r="M184" s="747"/>
      <c r="N184" s="747"/>
      <c r="O184" s="747"/>
      <c r="P184" s="747"/>
      <c r="Q184" s="747"/>
      <c r="R184" s="747"/>
      <c r="S184" s="747"/>
      <c r="T184" s="747"/>
      <c r="U184" s="747">
        <f t="shared" si="61"/>
        <v>0</v>
      </c>
      <c r="V184" s="747">
        <f t="shared" si="62"/>
        <v>0</v>
      </c>
      <c r="W184" s="747">
        <f t="shared" si="63"/>
        <v>0</v>
      </c>
      <c r="X184" s="747"/>
      <c r="Y184" s="687"/>
    </row>
    <row r="185" spans="1:25" s="660" customFormat="1">
      <c r="A185" s="778">
        <v>51</v>
      </c>
      <c r="B185" s="764" t="s">
        <v>1594</v>
      </c>
      <c r="C185" s="779" t="s">
        <v>777</v>
      </c>
      <c r="D185" s="780">
        <v>7536924</v>
      </c>
      <c r="E185" s="747">
        <v>2166503000</v>
      </c>
      <c r="F185" s="747"/>
      <c r="G185" s="747"/>
      <c r="H185" s="747"/>
      <c r="I185" s="747"/>
      <c r="J185" s="747"/>
      <c r="K185" s="747"/>
      <c r="L185" s="747"/>
      <c r="M185" s="747"/>
      <c r="N185" s="747"/>
      <c r="O185" s="747"/>
      <c r="P185" s="747">
        <v>2994000</v>
      </c>
      <c r="Q185" s="747">
        <f t="shared" si="60"/>
        <v>2994000</v>
      </c>
      <c r="R185" s="747">
        <v>2994000</v>
      </c>
      <c r="S185" s="747"/>
      <c r="T185" s="747"/>
      <c r="U185" s="747">
        <f t="shared" si="61"/>
        <v>0</v>
      </c>
      <c r="V185" s="747">
        <f t="shared" si="62"/>
        <v>2994000</v>
      </c>
      <c r="W185" s="747">
        <f t="shared" si="63"/>
        <v>0</v>
      </c>
      <c r="X185" s="747">
        <f t="shared" si="64"/>
        <v>2994000</v>
      </c>
      <c r="Y185" s="687"/>
    </row>
    <row r="186" spans="1:25" s="660" customFormat="1" ht="23.25">
      <c r="A186" s="778">
        <v>52</v>
      </c>
      <c r="B186" s="786" t="s">
        <v>1595</v>
      </c>
      <c r="C186" s="779" t="s">
        <v>777</v>
      </c>
      <c r="D186" s="780" t="s">
        <v>1596</v>
      </c>
      <c r="E186" s="747">
        <v>3369926000</v>
      </c>
      <c r="F186" s="747"/>
      <c r="G186" s="747"/>
      <c r="H186" s="747"/>
      <c r="I186" s="747"/>
      <c r="J186" s="747"/>
      <c r="K186" s="747"/>
      <c r="L186" s="747"/>
      <c r="M186" s="747"/>
      <c r="N186" s="747"/>
      <c r="O186" s="747"/>
      <c r="P186" s="747">
        <v>206656000</v>
      </c>
      <c r="Q186" s="747">
        <f t="shared" si="60"/>
        <v>206656000</v>
      </c>
      <c r="R186" s="747">
        <v>206656000</v>
      </c>
      <c r="S186" s="747"/>
      <c r="T186" s="747"/>
      <c r="U186" s="747">
        <f t="shared" si="61"/>
        <v>0</v>
      </c>
      <c r="V186" s="747">
        <f t="shared" si="62"/>
        <v>206656000</v>
      </c>
      <c r="W186" s="747">
        <f t="shared" si="63"/>
        <v>0</v>
      </c>
      <c r="X186" s="747">
        <f t="shared" si="64"/>
        <v>206656000</v>
      </c>
      <c r="Y186" s="687"/>
    </row>
    <row r="187" spans="1:25" s="660" customFormat="1">
      <c r="A187" s="778">
        <v>53</v>
      </c>
      <c r="B187" s="784" t="s">
        <v>1597</v>
      </c>
      <c r="C187" s="779" t="s">
        <v>777</v>
      </c>
      <c r="D187" s="780" t="s">
        <v>1598</v>
      </c>
      <c r="E187" s="747">
        <v>6245834000</v>
      </c>
      <c r="F187" s="747"/>
      <c r="G187" s="747"/>
      <c r="H187" s="747"/>
      <c r="I187" s="747"/>
      <c r="J187" s="747"/>
      <c r="K187" s="747"/>
      <c r="L187" s="747"/>
      <c r="M187" s="747"/>
      <c r="N187" s="747"/>
      <c r="O187" s="747"/>
      <c r="P187" s="747">
        <v>54338000</v>
      </c>
      <c r="Q187" s="747">
        <f t="shared" si="60"/>
        <v>54338000</v>
      </c>
      <c r="R187" s="747">
        <v>54338000</v>
      </c>
      <c r="S187" s="747"/>
      <c r="T187" s="747"/>
      <c r="U187" s="747">
        <f t="shared" si="61"/>
        <v>0</v>
      </c>
      <c r="V187" s="747">
        <f t="shared" si="62"/>
        <v>54338000</v>
      </c>
      <c r="W187" s="747">
        <f t="shared" si="63"/>
        <v>0</v>
      </c>
      <c r="X187" s="747">
        <f t="shared" si="64"/>
        <v>54338000</v>
      </c>
      <c r="Y187" s="687"/>
    </row>
    <row r="188" spans="1:25" s="660" customFormat="1">
      <c r="A188" s="778">
        <v>54</v>
      </c>
      <c r="B188" s="783" t="s">
        <v>1599</v>
      </c>
      <c r="C188" s="779" t="s">
        <v>777</v>
      </c>
      <c r="D188" s="780" t="s">
        <v>1600</v>
      </c>
      <c r="E188" s="747">
        <v>14900538000</v>
      </c>
      <c r="F188" s="747"/>
      <c r="G188" s="747"/>
      <c r="H188" s="747"/>
      <c r="I188" s="747"/>
      <c r="J188" s="747"/>
      <c r="K188" s="747"/>
      <c r="L188" s="747"/>
      <c r="M188" s="747"/>
      <c r="N188" s="747"/>
      <c r="O188" s="747"/>
      <c r="P188" s="747">
        <v>505741000</v>
      </c>
      <c r="Q188" s="747">
        <f t="shared" si="60"/>
        <v>505741000</v>
      </c>
      <c r="R188" s="747">
        <v>505741000</v>
      </c>
      <c r="S188" s="747"/>
      <c r="T188" s="747"/>
      <c r="U188" s="747">
        <f t="shared" si="61"/>
        <v>0</v>
      </c>
      <c r="V188" s="747">
        <f t="shared" si="62"/>
        <v>505741000</v>
      </c>
      <c r="W188" s="747">
        <f t="shared" si="63"/>
        <v>0</v>
      </c>
      <c r="X188" s="747">
        <f t="shared" si="64"/>
        <v>505741000</v>
      </c>
      <c r="Y188" s="687"/>
    </row>
    <row r="189" spans="1:25" s="660" customFormat="1">
      <c r="A189" s="778">
        <v>55</v>
      </c>
      <c r="B189" s="764" t="s">
        <v>1601</v>
      </c>
      <c r="C189" s="779" t="s">
        <v>777</v>
      </c>
      <c r="D189" s="780" t="s">
        <v>422</v>
      </c>
      <c r="E189" s="747">
        <v>6079898000</v>
      </c>
      <c r="F189" s="747">
        <v>3949346000</v>
      </c>
      <c r="G189" s="747"/>
      <c r="H189" s="747"/>
      <c r="I189" s="747"/>
      <c r="J189" s="747"/>
      <c r="K189" s="747"/>
      <c r="L189" s="747"/>
      <c r="M189" s="747"/>
      <c r="N189" s="747"/>
      <c r="O189" s="747"/>
      <c r="P189" s="747">
        <v>42636000</v>
      </c>
      <c r="Q189" s="747">
        <f t="shared" si="60"/>
        <v>42636000</v>
      </c>
      <c r="R189" s="747">
        <v>42636000</v>
      </c>
      <c r="S189" s="747"/>
      <c r="T189" s="747"/>
      <c r="U189" s="747">
        <f t="shared" si="61"/>
        <v>0</v>
      </c>
      <c r="V189" s="747">
        <f t="shared" si="62"/>
        <v>42636000</v>
      </c>
      <c r="W189" s="747">
        <f t="shared" si="63"/>
        <v>0</v>
      </c>
      <c r="X189" s="747">
        <f t="shared" si="64"/>
        <v>3991982000</v>
      </c>
      <c r="Y189" s="687"/>
    </row>
    <row r="190" spans="1:25" s="660" customFormat="1" ht="22.5">
      <c r="A190" s="778">
        <v>56</v>
      </c>
      <c r="B190" s="784" t="s">
        <v>1602</v>
      </c>
      <c r="C190" s="779" t="s">
        <v>777</v>
      </c>
      <c r="D190" s="780">
        <v>7555328</v>
      </c>
      <c r="E190" s="747">
        <v>8692617000</v>
      </c>
      <c r="F190" s="747"/>
      <c r="G190" s="747"/>
      <c r="H190" s="747"/>
      <c r="I190" s="747"/>
      <c r="J190" s="747"/>
      <c r="K190" s="747"/>
      <c r="L190" s="747"/>
      <c r="M190" s="747"/>
      <c r="N190" s="747"/>
      <c r="O190" s="747"/>
      <c r="P190" s="747">
        <v>2814330000</v>
      </c>
      <c r="Q190" s="747">
        <f t="shared" si="60"/>
        <v>2814330000</v>
      </c>
      <c r="R190" s="747">
        <v>2814330000</v>
      </c>
      <c r="S190" s="747"/>
      <c r="T190" s="747"/>
      <c r="U190" s="747">
        <f t="shared" si="61"/>
        <v>0</v>
      </c>
      <c r="V190" s="747">
        <f t="shared" si="62"/>
        <v>2814330000</v>
      </c>
      <c r="W190" s="747">
        <f t="shared" si="63"/>
        <v>0</v>
      </c>
      <c r="X190" s="747">
        <f t="shared" si="64"/>
        <v>2814330000</v>
      </c>
      <c r="Y190" s="687"/>
    </row>
    <row r="191" spans="1:25" s="660" customFormat="1">
      <c r="A191" s="778">
        <v>57</v>
      </c>
      <c r="B191" s="784" t="s">
        <v>1603</v>
      </c>
      <c r="C191" s="779" t="s">
        <v>777</v>
      </c>
      <c r="D191" s="780" t="s">
        <v>1604</v>
      </c>
      <c r="E191" s="747">
        <v>1314004200</v>
      </c>
      <c r="F191" s="747"/>
      <c r="G191" s="747"/>
      <c r="H191" s="747"/>
      <c r="I191" s="747"/>
      <c r="J191" s="747"/>
      <c r="K191" s="747"/>
      <c r="L191" s="747"/>
      <c r="M191" s="747"/>
      <c r="N191" s="747"/>
      <c r="O191" s="747"/>
      <c r="P191" s="747">
        <v>26171000</v>
      </c>
      <c r="Q191" s="747">
        <f t="shared" si="60"/>
        <v>26171000</v>
      </c>
      <c r="R191" s="747">
        <v>26171000</v>
      </c>
      <c r="S191" s="747"/>
      <c r="T191" s="747"/>
      <c r="U191" s="747">
        <f t="shared" si="61"/>
        <v>0</v>
      </c>
      <c r="V191" s="747">
        <f t="shared" si="62"/>
        <v>26171000</v>
      </c>
      <c r="W191" s="747">
        <f t="shared" si="63"/>
        <v>0</v>
      </c>
      <c r="X191" s="747">
        <f t="shared" si="64"/>
        <v>26171000</v>
      </c>
      <c r="Y191" s="687"/>
    </row>
    <row r="192" spans="1:25" s="660" customFormat="1">
      <c r="A192" s="778">
        <v>58</v>
      </c>
      <c r="B192" s="785" t="s">
        <v>1605</v>
      </c>
      <c r="C192" s="779" t="s">
        <v>777</v>
      </c>
      <c r="D192" s="780" t="s">
        <v>1606</v>
      </c>
      <c r="E192" s="747">
        <v>12619960000</v>
      </c>
      <c r="F192" s="747"/>
      <c r="G192" s="747"/>
      <c r="H192" s="747"/>
      <c r="I192" s="747"/>
      <c r="J192" s="747"/>
      <c r="K192" s="747"/>
      <c r="L192" s="747"/>
      <c r="M192" s="747"/>
      <c r="N192" s="747"/>
      <c r="O192" s="747"/>
      <c r="P192" s="747">
        <v>93638000</v>
      </c>
      <c r="Q192" s="747">
        <f t="shared" si="60"/>
        <v>93638000</v>
      </c>
      <c r="R192" s="747">
        <v>93638000</v>
      </c>
      <c r="S192" s="747"/>
      <c r="T192" s="747"/>
      <c r="U192" s="747">
        <f t="shared" si="61"/>
        <v>0</v>
      </c>
      <c r="V192" s="747">
        <f t="shared" si="62"/>
        <v>93638000</v>
      </c>
      <c r="W192" s="747">
        <f t="shared" si="63"/>
        <v>0</v>
      </c>
      <c r="X192" s="747">
        <f t="shared" si="64"/>
        <v>93638000</v>
      </c>
      <c r="Y192" s="687"/>
    </row>
    <row r="193" spans="1:25" s="660" customFormat="1">
      <c r="A193" s="778">
        <v>59</v>
      </c>
      <c r="B193" s="785" t="s">
        <v>1607</v>
      </c>
      <c r="C193" s="779" t="s">
        <v>777</v>
      </c>
      <c r="D193" s="780">
        <v>7551588</v>
      </c>
      <c r="E193" s="747">
        <v>10954951000</v>
      </c>
      <c r="F193" s="747"/>
      <c r="G193" s="747"/>
      <c r="H193" s="747"/>
      <c r="I193" s="747"/>
      <c r="J193" s="747"/>
      <c r="K193" s="747"/>
      <c r="L193" s="747"/>
      <c r="M193" s="747"/>
      <c r="N193" s="747"/>
      <c r="O193" s="747"/>
      <c r="P193" s="747">
        <v>122426000</v>
      </c>
      <c r="Q193" s="747">
        <f t="shared" si="60"/>
        <v>122426000</v>
      </c>
      <c r="R193" s="747">
        <v>122426000</v>
      </c>
      <c r="S193" s="747"/>
      <c r="T193" s="747"/>
      <c r="U193" s="747">
        <f t="shared" si="61"/>
        <v>0</v>
      </c>
      <c r="V193" s="747">
        <f t="shared" si="62"/>
        <v>122426000</v>
      </c>
      <c r="W193" s="747">
        <f t="shared" si="63"/>
        <v>0</v>
      </c>
      <c r="X193" s="747">
        <f t="shared" si="64"/>
        <v>122426000</v>
      </c>
      <c r="Y193" s="687"/>
    </row>
    <row r="194" spans="1:25" s="660" customFormat="1" ht="22.5">
      <c r="A194" s="778">
        <v>60</v>
      </c>
      <c r="B194" s="785" t="s">
        <v>1608</v>
      </c>
      <c r="C194" s="779" t="s">
        <v>777</v>
      </c>
      <c r="D194" s="780" t="s">
        <v>1609</v>
      </c>
      <c r="E194" s="747">
        <v>12281993000</v>
      </c>
      <c r="F194" s="747"/>
      <c r="G194" s="747"/>
      <c r="H194" s="747"/>
      <c r="I194" s="747"/>
      <c r="J194" s="747"/>
      <c r="K194" s="747"/>
      <c r="L194" s="747"/>
      <c r="M194" s="747"/>
      <c r="N194" s="747"/>
      <c r="O194" s="747"/>
      <c r="P194" s="747">
        <v>78605000</v>
      </c>
      <c r="Q194" s="747">
        <f t="shared" si="60"/>
        <v>78605000</v>
      </c>
      <c r="R194" s="747">
        <v>78605000</v>
      </c>
      <c r="S194" s="747"/>
      <c r="T194" s="747"/>
      <c r="U194" s="747">
        <f t="shared" si="61"/>
        <v>0</v>
      </c>
      <c r="V194" s="747">
        <f t="shared" si="62"/>
        <v>78605000</v>
      </c>
      <c r="W194" s="747">
        <f t="shared" si="63"/>
        <v>0</v>
      </c>
      <c r="X194" s="747">
        <f t="shared" si="64"/>
        <v>78605000</v>
      </c>
      <c r="Y194" s="687"/>
    </row>
    <row r="195" spans="1:25" s="660" customFormat="1">
      <c r="A195" s="778">
        <v>61</v>
      </c>
      <c r="B195" s="785" t="s">
        <v>475</v>
      </c>
      <c r="C195" s="779" t="s">
        <v>777</v>
      </c>
      <c r="D195" s="780" t="s">
        <v>1610</v>
      </c>
      <c r="E195" s="747">
        <v>9837690000</v>
      </c>
      <c r="F195" s="747"/>
      <c r="G195" s="747"/>
      <c r="H195" s="747"/>
      <c r="I195" s="747"/>
      <c r="J195" s="747"/>
      <c r="K195" s="747"/>
      <c r="L195" s="747"/>
      <c r="M195" s="747"/>
      <c r="N195" s="747"/>
      <c r="O195" s="747"/>
      <c r="P195" s="747">
        <v>104720000</v>
      </c>
      <c r="Q195" s="747">
        <f t="shared" si="60"/>
        <v>104720000</v>
      </c>
      <c r="R195" s="747">
        <v>104720000</v>
      </c>
      <c r="S195" s="747"/>
      <c r="T195" s="747"/>
      <c r="U195" s="747">
        <f t="shared" si="61"/>
        <v>0</v>
      </c>
      <c r="V195" s="747">
        <f t="shared" si="62"/>
        <v>104720000</v>
      </c>
      <c r="W195" s="747">
        <f t="shared" si="63"/>
        <v>0</v>
      </c>
      <c r="X195" s="747">
        <f t="shared" si="64"/>
        <v>104720000</v>
      </c>
      <c r="Y195" s="687"/>
    </row>
    <row r="196" spans="1:25" s="660" customFormat="1">
      <c r="A196" s="778">
        <v>62</v>
      </c>
      <c r="B196" s="785" t="s">
        <v>1611</v>
      </c>
      <c r="C196" s="779" t="s">
        <v>777</v>
      </c>
      <c r="D196" s="780" t="s">
        <v>1612</v>
      </c>
      <c r="E196" s="747">
        <v>10955748000</v>
      </c>
      <c r="F196" s="747"/>
      <c r="G196" s="747"/>
      <c r="H196" s="747"/>
      <c r="I196" s="747"/>
      <c r="J196" s="747"/>
      <c r="K196" s="747"/>
      <c r="L196" s="747"/>
      <c r="M196" s="747"/>
      <c r="N196" s="747"/>
      <c r="O196" s="747"/>
      <c r="P196" s="747">
        <v>65560000</v>
      </c>
      <c r="Q196" s="747">
        <f t="shared" si="60"/>
        <v>65560000</v>
      </c>
      <c r="R196" s="747">
        <v>65560000</v>
      </c>
      <c r="S196" s="747"/>
      <c r="T196" s="747"/>
      <c r="U196" s="747">
        <f t="shared" si="61"/>
        <v>0</v>
      </c>
      <c r="V196" s="747">
        <f t="shared" si="62"/>
        <v>65560000</v>
      </c>
      <c r="W196" s="747">
        <f t="shared" si="63"/>
        <v>0</v>
      </c>
      <c r="X196" s="747">
        <f t="shared" si="64"/>
        <v>65560000</v>
      </c>
      <c r="Y196" s="687"/>
    </row>
    <row r="197" spans="1:25" s="660" customFormat="1" ht="22.5">
      <c r="A197" s="778">
        <v>63</v>
      </c>
      <c r="B197" s="785" t="s">
        <v>1613</v>
      </c>
      <c r="C197" s="779" t="s">
        <v>777</v>
      </c>
      <c r="D197" s="780" t="s">
        <v>1614</v>
      </c>
      <c r="E197" s="747">
        <v>2418381684</v>
      </c>
      <c r="F197" s="747"/>
      <c r="G197" s="747"/>
      <c r="H197" s="747"/>
      <c r="I197" s="747"/>
      <c r="J197" s="747"/>
      <c r="K197" s="747"/>
      <c r="L197" s="747"/>
      <c r="M197" s="747"/>
      <c r="N197" s="747"/>
      <c r="O197" s="747"/>
      <c r="P197" s="747">
        <v>9181000</v>
      </c>
      <c r="Q197" s="747">
        <f t="shared" si="60"/>
        <v>9181000</v>
      </c>
      <c r="R197" s="747">
        <v>9181000</v>
      </c>
      <c r="S197" s="747"/>
      <c r="T197" s="747"/>
      <c r="U197" s="747">
        <f t="shared" si="61"/>
        <v>0</v>
      </c>
      <c r="V197" s="747">
        <f t="shared" si="62"/>
        <v>9181000</v>
      </c>
      <c r="W197" s="747">
        <f t="shared" si="63"/>
        <v>0</v>
      </c>
      <c r="X197" s="747">
        <f t="shared" si="64"/>
        <v>9181000</v>
      </c>
      <c r="Y197" s="687"/>
    </row>
    <row r="198" spans="1:25" s="660" customFormat="1">
      <c r="A198" s="778">
        <v>64</v>
      </c>
      <c r="B198" s="785" t="s">
        <v>1615</v>
      </c>
      <c r="C198" s="779" t="s">
        <v>777</v>
      </c>
      <c r="D198" s="780" t="s">
        <v>1616</v>
      </c>
      <c r="E198" s="747">
        <v>14783609000</v>
      </c>
      <c r="F198" s="747"/>
      <c r="G198" s="747"/>
      <c r="H198" s="747"/>
      <c r="I198" s="747"/>
      <c r="J198" s="747"/>
      <c r="K198" s="747"/>
      <c r="L198" s="747"/>
      <c r="M198" s="747"/>
      <c r="N198" s="747"/>
      <c r="O198" s="747"/>
      <c r="P198" s="747">
        <v>100136000</v>
      </c>
      <c r="Q198" s="747">
        <f t="shared" si="60"/>
        <v>100136000</v>
      </c>
      <c r="R198" s="747">
        <v>100136000</v>
      </c>
      <c r="S198" s="747"/>
      <c r="T198" s="747"/>
      <c r="U198" s="747">
        <f t="shared" si="61"/>
        <v>0</v>
      </c>
      <c r="V198" s="747">
        <f t="shared" si="62"/>
        <v>100136000</v>
      </c>
      <c r="W198" s="747">
        <f t="shared" si="63"/>
        <v>0</v>
      </c>
      <c r="X198" s="747">
        <f t="shared" si="64"/>
        <v>100136000</v>
      </c>
      <c r="Y198" s="687"/>
    </row>
    <row r="199" spans="1:25" s="660" customFormat="1" ht="22.5">
      <c r="A199" s="778">
        <v>65</v>
      </c>
      <c r="B199" s="785" t="s">
        <v>1617</v>
      </c>
      <c r="C199" s="779" t="s">
        <v>777</v>
      </c>
      <c r="D199" s="780" t="s">
        <v>1618</v>
      </c>
      <c r="E199" s="747">
        <v>57580862390</v>
      </c>
      <c r="F199" s="747"/>
      <c r="G199" s="747"/>
      <c r="H199" s="747"/>
      <c r="I199" s="747"/>
      <c r="J199" s="747"/>
      <c r="K199" s="747"/>
      <c r="L199" s="747"/>
      <c r="M199" s="747"/>
      <c r="N199" s="747"/>
      <c r="O199" s="747"/>
      <c r="P199" s="747">
        <v>65527000</v>
      </c>
      <c r="Q199" s="747">
        <f t="shared" si="60"/>
        <v>65527000</v>
      </c>
      <c r="R199" s="747">
        <v>65527000</v>
      </c>
      <c r="S199" s="747"/>
      <c r="T199" s="747"/>
      <c r="U199" s="747">
        <f t="shared" si="61"/>
        <v>0</v>
      </c>
      <c r="V199" s="747">
        <f t="shared" si="62"/>
        <v>65527000</v>
      </c>
      <c r="W199" s="747">
        <f t="shared" si="63"/>
        <v>0</v>
      </c>
      <c r="X199" s="747">
        <f t="shared" si="64"/>
        <v>65527000</v>
      </c>
      <c r="Y199" s="687"/>
    </row>
    <row r="200" spans="1:25" s="660" customFormat="1">
      <c r="A200" s="778">
        <v>66</v>
      </c>
      <c r="B200" s="785" t="s">
        <v>10</v>
      </c>
      <c r="C200" s="779" t="s">
        <v>777</v>
      </c>
      <c r="D200" s="780" t="s">
        <v>1619</v>
      </c>
      <c r="E200" s="747">
        <v>9796637000</v>
      </c>
      <c r="F200" s="747"/>
      <c r="G200" s="747"/>
      <c r="H200" s="747"/>
      <c r="I200" s="747"/>
      <c r="J200" s="747"/>
      <c r="K200" s="747"/>
      <c r="L200" s="747"/>
      <c r="M200" s="747"/>
      <c r="N200" s="747"/>
      <c r="O200" s="747"/>
      <c r="P200" s="747">
        <v>28178000</v>
      </c>
      <c r="Q200" s="747">
        <f t="shared" si="60"/>
        <v>28178000</v>
      </c>
      <c r="R200" s="747">
        <v>28178000</v>
      </c>
      <c r="S200" s="747"/>
      <c r="T200" s="747"/>
      <c r="U200" s="747">
        <f t="shared" si="61"/>
        <v>0</v>
      </c>
      <c r="V200" s="747">
        <f t="shared" si="62"/>
        <v>28178000</v>
      </c>
      <c r="W200" s="747">
        <f t="shared" si="63"/>
        <v>0</v>
      </c>
      <c r="X200" s="747">
        <f t="shared" si="64"/>
        <v>28178000</v>
      </c>
      <c r="Y200" s="687"/>
    </row>
    <row r="201" spans="1:25" s="660" customFormat="1" ht="22.5">
      <c r="A201" s="778">
        <v>67</v>
      </c>
      <c r="B201" s="784" t="s">
        <v>1620</v>
      </c>
      <c r="C201" s="779" t="s">
        <v>777</v>
      </c>
      <c r="D201" s="780" t="s">
        <v>1621</v>
      </c>
      <c r="E201" s="747">
        <v>6328432012</v>
      </c>
      <c r="F201" s="747"/>
      <c r="G201" s="747"/>
      <c r="H201" s="747"/>
      <c r="I201" s="747"/>
      <c r="J201" s="747"/>
      <c r="K201" s="747"/>
      <c r="L201" s="747"/>
      <c r="M201" s="747"/>
      <c r="N201" s="747"/>
      <c r="O201" s="747"/>
      <c r="P201" s="747">
        <v>933000</v>
      </c>
      <c r="Q201" s="747">
        <f t="shared" si="60"/>
        <v>933000</v>
      </c>
      <c r="R201" s="747">
        <v>933000</v>
      </c>
      <c r="S201" s="747"/>
      <c r="T201" s="747"/>
      <c r="U201" s="747">
        <f t="shared" si="61"/>
        <v>0</v>
      </c>
      <c r="V201" s="747">
        <f t="shared" si="62"/>
        <v>933000</v>
      </c>
      <c r="W201" s="747">
        <f t="shared" si="63"/>
        <v>0</v>
      </c>
      <c r="X201" s="747">
        <f t="shared" si="64"/>
        <v>933000</v>
      </c>
      <c r="Y201" s="687"/>
    </row>
    <row r="202" spans="1:25" s="660" customFormat="1">
      <c r="A202" s="778">
        <v>68</v>
      </c>
      <c r="B202" s="785" t="s">
        <v>1622</v>
      </c>
      <c r="C202" s="779" t="s">
        <v>777</v>
      </c>
      <c r="D202" s="780" t="s">
        <v>1623</v>
      </c>
      <c r="E202" s="747">
        <v>14991152000</v>
      </c>
      <c r="F202" s="747"/>
      <c r="G202" s="747"/>
      <c r="H202" s="747"/>
      <c r="I202" s="747"/>
      <c r="J202" s="747"/>
      <c r="K202" s="747"/>
      <c r="L202" s="747"/>
      <c r="M202" s="747"/>
      <c r="N202" s="747"/>
      <c r="O202" s="747"/>
      <c r="P202" s="747">
        <v>94145000</v>
      </c>
      <c r="Q202" s="747">
        <f t="shared" si="60"/>
        <v>94145000</v>
      </c>
      <c r="R202" s="747">
        <v>94145000</v>
      </c>
      <c r="S202" s="747"/>
      <c r="T202" s="747"/>
      <c r="U202" s="747">
        <f t="shared" si="61"/>
        <v>0</v>
      </c>
      <c r="V202" s="747">
        <f t="shared" si="62"/>
        <v>94145000</v>
      </c>
      <c r="W202" s="747">
        <f t="shared" si="63"/>
        <v>0</v>
      </c>
      <c r="X202" s="747">
        <f t="shared" si="64"/>
        <v>94145000</v>
      </c>
      <c r="Y202" s="687"/>
    </row>
    <row r="203" spans="1:25" s="660" customFormat="1">
      <c r="A203" s="778">
        <v>69</v>
      </c>
      <c r="B203" s="785" t="s">
        <v>1624</v>
      </c>
      <c r="C203" s="779" t="s">
        <v>777</v>
      </c>
      <c r="D203" s="780" t="s">
        <v>1625</v>
      </c>
      <c r="E203" s="747">
        <v>7119736247</v>
      </c>
      <c r="F203" s="747"/>
      <c r="G203" s="747"/>
      <c r="H203" s="747"/>
      <c r="I203" s="747"/>
      <c r="J203" s="747"/>
      <c r="K203" s="747"/>
      <c r="L203" s="747"/>
      <c r="M203" s="747"/>
      <c r="N203" s="747"/>
      <c r="O203" s="747"/>
      <c r="P203" s="747">
        <v>44916000</v>
      </c>
      <c r="Q203" s="747">
        <f t="shared" si="60"/>
        <v>44916000</v>
      </c>
      <c r="R203" s="747">
        <v>44916000</v>
      </c>
      <c r="S203" s="747"/>
      <c r="T203" s="747"/>
      <c r="U203" s="747">
        <f t="shared" si="61"/>
        <v>0</v>
      </c>
      <c r="V203" s="747">
        <f t="shared" si="62"/>
        <v>44916000</v>
      </c>
      <c r="W203" s="747">
        <f t="shared" si="63"/>
        <v>0</v>
      </c>
      <c r="X203" s="747">
        <f t="shared" si="64"/>
        <v>44916000</v>
      </c>
      <c r="Y203" s="687"/>
    </row>
    <row r="204" spans="1:25" s="660" customFormat="1">
      <c r="A204" s="778">
        <v>70</v>
      </c>
      <c r="B204" s="784" t="s">
        <v>1626</v>
      </c>
      <c r="C204" s="779" t="s">
        <v>777</v>
      </c>
      <c r="D204" s="780" t="s">
        <v>1627</v>
      </c>
      <c r="E204" s="747">
        <v>2940456000</v>
      </c>
      <c r="F204" s="747"/>
      <c r="G204" s="747"/>
      <c r="H204" s="747"/>
      <c r="I204" s="747"/>
      <c r="J204" s="747"/>
      <c r="K204" s="747"/>
      <c r="L204" s="747"/>
      <c r="M204" s="747"/>
      <c r="N204" s="747"/>
      <c r="O204" s="747"/>
      <c r="P204" s="747">
        <v>28278000</v>
      </c>
      <c r="Q204" s="747">
        <f t="shared" si="60"/>
        <v>28278000</v>
      </c>
      <c r="R204" s="747">
        <v>28278000</v>
      </c>
      <c r="S204" s="747"/>
      <c r="T204" s="747"/>
      <c r="U204" s="747">
        <f t="shared" si="61"/>
        <v>0</v>
      </c>
      <c r="V204" s="747">
        <f t="shared" si="62"/>
        <v>28278000</v>
      </c>
      <c r="W204" s="747">
        <f t="shared" si="63"/>
        <v>0</v>
      </c>
      <c r="X204" s="747">
        <f t="shared" si="64"/>
        <v>28278000</v>
      </c>
      <c r="Y204" s="687"/>
    </row>
    <row r="205" spans="1:25" s="660" customFormat="1">
      <c r="A205" s="778">
        <v>71</v>
      </c>
      <c r="B205" s="775" t="s">
        <v>1628</v>
      </c>
      <c r="C205" s="781"/>
      <c r="D205" s="782"/>
      <c r="E205" s="747"/>
      <c r="F205" s="747"/>
      <c r="G205" s="747"/>
      <c r="H205" s="747"/>
      <c r="I205" s="747"/>
      <c r="J205" s="747"/>
      <c r="K205" s="747"/>
      <c r="L205" s="747"/>
      <c r="M205" s="747"/>
      <c r="N205" s="747"/>
      <c r="O205" s="747"/>
      <c r="P205" s="747"/>
      <c r="Q205" s="747"/>
      <c r="R205" s="747"/>
      <c r="S205" s="747"/>
      <c r="T205" s="747"/>
      <c r="U205" s="747">
        <f t="shared" si="61"/>
        <v>0</v>
      </c>
      <c r="V205" s="747">
        <f t="shared" si="62"/>
        <v>0</v>
      </c>
      <c r="W205" s="747">
        <f t="shared" si="63"/>
        <v>0</v>
      </c>
      <c r="X205" s="747"/>
      <c r="Y205" s="687"/>
    </row>
    <row r="206" spans="1:25" s="660" customFormat="1">
      <c r="A206" s="778">
        <v>72</v>
      </c>
      <c r="B206" s="783" t="s">
        <v>1629</v>
      </c>
      <c r="C206" s="779" t="s">
        <v>777</v>
      </c>
      <c r="D206" s="780">
        <v>7007612</v>
      </c>
      <c r="E206" s="747">
        <v>884000</v>
      </c>
      <c r="F206" s="747"/>
      <c r="G206" s="747"/>
      <c r="H206" s="747"/>
      <c r="I206" s="747"/>
      <c r="J206" s="747"/>
      <c r="K206" s="747"/>
      <c r="L206" s="747"/>
      <c r="M206" s="747"/>
      <c r="N206" s="747"/>
      <c r="O206" s="747"/>
      <c r="P206" s="747">
        <v>884000</v>
      </c>
      <c r="Q206" s="747">
        <f t="shared" si="60"/>
        <v>884000</v>
      </c>
      <c r="R206" s="747">
        <v>884000</v>
      </c>
      <c r="S206" s="747"/>
      <c r="T206" s="747"/>
      <c r="U206" s="747">
        <f t="shared" si="61"/>
        <v>0</v>
      </c>
      <c r="V206" s="747">
        <f t="shared" si="62"/>
        <v>884000</v>
      </c>
      <c r="W206" s="747">
        <f t="shared" si="63"/>
        <v>0</v>
      </c>
      <c r="X206" s="747">
        <f t="shared" si="64"/>
        <v>884000</v>
      </c>
      <c r="Y206" s="687"/>
    </row>
    <row r="207" spans="1:25" s="660" customFormat="1">
      <c r="A207" s="778">
        <v>73</v>
      </c>
      <c r="B207" s="790" t="s">
        <v>1630</v>
      </c>
      <c r="C207" s="779" t="s">
        <v>777</v>
      </c>
      <c r="D207" s="780" t="s">
        <v>1631</v>
      </c>
      <c r="E207" s="747">
        <v>64586064000</v>
      </c>
      <c r="F207" s="747"/>
      <c r="G207" s="747"/>
      <c r="H207" s="747"/>
      <c r="I207" s="747"/>
      <c r="J207" s="747"/>
      <c r="K207" s="747"/>
      <c r="L207" s="747"/>
      <c r="M207" s="747"/>
      <c r="N207" s="747"/>
      <c r="O207" s="747"/>
      <c r="P207" s="747">
        <v>5604000</v>
      </c>
      <c r="Q207" s="747">
        <f t="shared" si="60"/>
        <v>5604000</v>
      </c>
      <c r="R207" s="747">
        <v>5604000</v>
      </c>
      <c r="S207" s="747"/>
      <c r="T207" s="747"/>
      <c r="U207" s="747">
        <f t="shared" si="61"/>
        <v>0</v>
      </c>
      <c r="V207" s="747">
        <f t="shared" si="62"/>
        <v>5604000</v>
      </c>
      <c r="W207" s="747">
        <f t="shared" si="63"/>
        <v>0</v>
      </c>
      <c r="X207" s="747">
        <f t="shared" si="64"/>
        <v>5604000</v>
      </c>
      <c r="Y207" s="687"/>
    </row>
    <row r="208" spans="1:25" s="660" customFormat="1">
      <c r="A208" s="778">
        <v>74</v>
      </c>
      <c r="B208" s="791" t="s">
        <v>1632</v>
      </c>
      <c r="C208" s="776"/>
      <c r="D208" s="777"/>
      <c r="E208" s="747"/>
      <c r="F208" s="747"/>
      <c r="G208" s="747"/>
      <c r="H208" s="747"/>
      <c r="I208" s="747"/>
      <c r="J208" s="747"/>
      <c r="K208" s="747"/>
      <c r="L208" s="747"/>
      <c r="M208" s="747"/>
      <c r="N208" s="747"/>
      <c r="O208" s="747"/>
      <c r="P208" s="747"/>
      <c r="Q208" s="747"/>
      <c r="R208" s="747"/>
      <c r="S208" s="747"/>
      <c r="T208" s="747"/>
      <c r="U208" s="747">
        <f t="shared" ref="U208:U271" si="65">P208-Q208-T208</f>
        <v>0</v>
      </c>
      <c r="V208" s="747">
        <f t="shared" ref="V208:V271" si="66">I208+L208+R208</f>
        <v>0</v>
      </c>
      <c r="W208" s="747">
        <f t="shared" ref="W208:W271" si="67">G208-H208-I208+M208+S208</f>
        <v>0</v>
      </c>
      <c r="X208" s="747"/>
      <c r="Y208" s="687"/>
    </row>
    <row r="209" spans="1:25" s="660" customFormat="1">
      <c r="A209" s="778">
        <v>75</v>
      </c>
      <c r="B209" s="784" t="s">
        <v>1633</v>
      </c>
      <c r="C209" s="779" t="s">
        <v>777</v>
      </c>
      <c r="D209" s="780" t="s">
        <v>1634</v>
      </c>
      <c r="E209" s="747">
        <v>23473487000</v>
      </c>
      <c r="F209" s="747"/>
      <c r="G209" s="747"/>
      <c r="H209" s="747"/>
      <c r="I209" s="747"/>
      <c r="J209" s="747"/>
      <c r="K209" s="747"/>
      <c r="L209" s="747"/>
      <c r="M209" s="747"/>
      <c r="N209" s="747"/>
      <c r="O209" s="747"/>
      <c r="P209" s="747">
        <v>251327000</v>
      </c>
      <c r="Q209" s="747">
        <f t="shared" ref="Q209:Q272" si="68">R209+S209</f>
        <v>251327000</v>
      </c>
      <c r="R209" s="747">
        <v>251327000</v>
      </c>
      <c r="S209" s="747"/>
      <c r="T209" s="747"/>
      <c r="U209" s="747">
        <f t="shared" si="65"/>
        <v>0</v>
      </c>
      <c r="V209" s="747">
        <f t="shared" si="66"/>
        <v>251327000</v>
      </c>
      <c r="W209" s="747">
        <f t="shared" si="67"/>
        <v>0</v>
      </c>
      <c r="X209" s="747">
        <f t="shared" ref="X209:X272" si="69">F209+K209+Q209</f>
        <v>251327000</v>
      </c>
      <c r="Y209" s="687"/>
    </row>
    <row r="210" spans="1:25" s="660" customFormat="1">
      <c r="A210" s="778">
        <v>76</v>
      </c>
      <c r="B210" s="775" t="s">
        <v>1635</v>
      </c>
      <c r="C210" s="781"/>
      <c r="D210" s="782"/>
      <c r="E210" s="747"/>
      <c r="F210" s="747"/>
      <c r="G210" s="747"/>
      <c r="H210" s="747"/>
      <c r="I210" s="747"/>
      <c r="J210" s="747"/>
      <c r="K210" s="747"/>
      <c r="L210" s="747"/>
      <c r="M210" s="747"/>
      <c r="N210" s="747"/>
      <c r="O210" s="747"/>
      <c r="P210" s="747"/>
      <c r="Q210" s="747"/>
      <c r="R210" s="747"/>
      <c r="S210" s="747"/>
      <c r="T210" s="747"/>
      <c r="U210" s="747">
        <f t="shared" si="65"/>
        <v>0</v>
      </c>
      <c r="V210" s="747">
        <f t="shared" si="66"/>
        <v>0</v>
      </c>
      <c r="W210" s="747">
        <f t="shared" si="67"/>
        <v>0</v>
      </c>
      <c r="X210" s="747"/>
      <c r="Y210" s="687"/>
    </row>
    <row r="211" spans="1:25" s="660" customFormat="1">
      <c r="A211" s="778">
        <v>77</v>
      </c>
      <c r="B211" s="783" t="s">
        <v>1636</v>
      </c>
      <c r="C211" s="779" t="s">
        <v>777</v>
      </c>
      <c r="D211" s="780" t="s">
        <v>1637</v>
      </c>
      <c r="E211" s="747">
        <v>1907347000</v>
      </c>
      <c r="F211" s="747"/>
      <c r="G211" s="747"/>
      <c r="H211" s="747"/>
      <c r="I211" s="747"/>
      <c r="J211" s="747"/>
      <c r="K211" s="747"/>
      <c r="L211" s="747"/>
      <c r="M211" s="747"/>
      <c r="N211" s="747"/>
      <c r="O211" s="747"/>
      <c r="P211" s="747">
        <v>7248000</v>
      </c>
      <c r="Q211" s="747">
        <f t="shared" si="68"/>
        <v>7248000</v>
      </c>
      <c r="R211" s="747">
        <v>7248000</v>
      </c>
      <c r="S211" s="747"/>
      <c r="T211" s="747"/>
      <c r="U211" s="747">
        <f t="shared" si="65"/>
        <v>0</v>
      </c>
      <c r="V211" s="747">
        <f t="shared" si="66"/>
        <v>7248000</v>
      </c>
      <c r="W211" s="747">
        <f t="shared" si="67"/>
        <v>0</v>
      </c>
      <c r="X211" s="747">
        <f t="shared" si="69"/>
        <v>7248000</v>
      </c>
      <c r="Y211" s="687"/>
    </row>
    <row r="212" spans="1:25" s="660" customFormat="1">
      <c r="A212" s="778">
        <v>78</v>
      </c>
      <c r="B212" s="783" t="s">
        <v>1638</v>
      </c>
      <c r="C212" s="779" t="s">
        <v>777</v>
      </c>
      <c r="D212" s="780" t="s">
        <v>1639</v>
      </c>
      <c r="E212" s="747">
        <v>5330938000</v>
      </c>
      <c r="F212" s="747"/>
      <c r="G212" s="747"/>
      <c r="H212" s="747"/>
      <c r="I212" s="747"/>
      <c r="J212" s="747"/>
      <c r="K212" s="747"/>
      <c r="L212" s="747"/>
      <c r="M212" s="747"/>
      <c r="N212" s="747"/>
      <c r="O212" s="747"/>
      <c r="P212" s="747">
        <v>1704000</v>
      </c>
      <c r="Q212" s="747">
        <f t="shared" si="68"/>
        <v>1704000</v>
      </c>
      <c r="R212" s="747">
        <v>1704000</v>
      </c>
      <c r="S212" s="747"/>
      <c r="T212" s="747"/>
      <c r="U212" s="747">
        <f t="shared" si="65"/>
        <v>0</v>
      </c>
      <c r="V212" s="747">
        <f t="shared" si="66"/>
        <v>1704000</v>
      </c>
      <c r="W212" s="747">
        <f t="shared" si="67"/>
        <v>0</v>
      </c>
      <c r="X212" s="747">
        <f t="shared" si="69"/>
        <v>1704000</v>
      </c>
      <c r="Y212" s="687"/>
    </row>
    <row r="213" spans="1:25" s="660" customFormat="1">
      <c r="A213" s="778">
        <v>79</v>
      </c>
      <c r="B213" s="785" t="s">
        <v>1640</v>
      </c>
      <c r="C213" s="779" t="s">
        <v>777</v>
      </c>
      <c r="D213" s="780" t="s">
        <v>1641</v>
      </c>
      <c r="E213" s="747">
        <v>5000000000</v>
      </c>
      <c r="F213" s="747">
        <v>1762231800</v>
      </c>
      <c r="G213" s="747"/>
      <c r="H213" s="747"/>
      <c r="I213" s="747"/>
      <c r="J213" s="747"/>
      <c r="K213" s="747"/>
      <c r="L213" s="747"/>
      <c r="M213" s="747"/>
      <c r="N213" s="747"/>
      <c r="O213" s="747"/>
      <c r="P213" s="747">
        <v>11941000</v>
      </c>
      <c r="Q213" s="747">
        <f t="shared" si="68"/>
        <v>11941000</v>
      </c>
      <c r="R213" s="747">
        <v>11941000</v>
      </c>
      <c r="S213" s="747"/>
      <c r="T213" s="747"/>
      <c r="U213" s="747">
        <f t="shared" si="65"/>
        <v>0</v>
      </c>
      <c r="V213" s="747">
        <f t="shared" si="66"/>
        <v>11941000</v>
      </c>
      <c r="W213" s="747">
        <f t="shared" si="67"/>
        <v>0</v>
      </c>
      <c r="X213" s="747">
        <v>11941000</v>
      </c>
      <c r="Y213" s="687"/>
    </row>
    <row r="214" spans="1:25" s="660" customFormat="1">
      <c r="A214" s="778">
        <v>80</v>
      </c>
      <c r="B214" s="785" t="s">
        <v>1640</v>
      </c>
      <c r="C214" s="779" t="s">
        <v>777</v>
      </c>
      <c r="D214" s="780" t="s">
        <v>1642</v>
      </c>
      <c r="E214" s="747">
        <v>2000000000</v>
      </c>
      <c r="F214" s="747"/>
      <c r="G214" s="747"/>
      <c r="H214" s="747"/>
      <c r="I214" s="747"/>
      <c r="J214" s="747"/>
      <c r="K214" s="747"/>
      <c r="L214" s="747"/>
      <c r="M214" s="747"/>
      <c r="N214" s="747"/>
      <c r="O214" s="747"/>
      <c r="P214" s="747">
        <v>10777000</v>
      </c>
      <c r="Q214" s="747">
        <f t="shared" si="68"/>
        <v>10777000</v>
      </c>
      <c r="R214" s="747">
        <v>10777000</v>
      </c>
      <c r="S214" s="747"/>
      <c r="T214" s="747"/>
      <c r="U214" s="747">
        <f t="shared" si="65"/>
        <v>0</v>
      </c>
      <c r="V214" s="747">
        <f t="shared" si="66"/>
        <v>10777000</v>
      </c>
      <c r="W214" s="747">
        <f t="shared" si="67"/>
        <v>0</v>
      </c>
      <c r="X214" s="747">
        <f t="shared" si="69"/>
        <v>10777000</v>
      </c>
      <c r="Y214" s="687"/>
    </row>
    <row r="215" spans="1:25" s="660" customFormat="1">
      <c r="A215" s="778">
        <v>81</v>
      </c>
      <c r="B215" s="775" t="s">
        <v>1643</v>
      </c>
      <c r="C215" s="776"/>
      <c r="D215" s="777"/>
      <c r="E215" s="747"/>
      <c r="F215" s="747"/>
      <c r="G215" s="747"/>
      <c r="H215" s="747"/>
      <c r="I215" s="747"/>
      <c r="J215" s="747"/>
      <c r="K215" s="747"/>
      <c r="L215" s="747"/>
      <c r="M215" s="747"/>
      <c r="N215" s="747"/>
      <c r="O215" s="747"/>
      <c r="P215" s="747"/>
      <c r="Q215" s="747"/>
      <c r="R215" s="747"/>
      <c r="S215" s="747"/>
      <c r="T215" s="747"/>
      <c r="U215" s="747">
        <f t="shared" si="65"/>
        <v>0</v>
      </c>
      <c r="V215" s="747">
        <f t="shared" si="66"/>
        <v>0</v>
      </c>
      <c r="W215" s="747">
        <f t="shared" si="67"/>
        <v>0</v>
      </c>
      <c r="X215" s="747"/>
      <c r="Y215" s="687"/>
    </row>
    <row r="216" spans="1:25" s="660" customFormat="1">
      <c r="A216" s="778">
        <v>82</v>
      </c>
      <c r="B216" s="764" t="s">
        <v>1644</v>
      </c>
      <c r="C216" s="779" t="s">
        <v>777</v>
      </c>
      <c r="D216" s="780" t="s">
        <v>1645</v>
      </c>
      <c r="E216" s="747">
        <v>3061971312</v>
      </c>
      <c r="F216" s="747"/>
      <c r="G216" s="747"/>
      <c r="H216" s="747"/>
      <c r="I216" s="747"/>
      <c r="J216" s="747"/>
      <c r="K216" s="747"/>
      <c r="L216" s="747"/>
      <c r="M216" s="747"/>
      <c r="N216" s="747"/>
      <c r="O216" s="747"/>
      <c r="P216" s="747">
        <v>11416000</v>
      </c>
      <c r="Q216" s="747">
        <f t="shared" si="68"/>
        <v>11416000</v>
      </c>
      <c r="R216" s="747">
        <v>11416000</v>
      </c>
      <c r="S216" s="747"/>
      <c r="T216" s="747"/>
      <c r="U216" s="747">
        <f t="shared" si="65"/>
        <v>0</v>
      </c>
      <c r="V216" s="747">
        <f t="shared" si="66"/>
        <v>11416000</v>
      </c>
      <c r="W216" s="747">
        <f t="shared" si="67"/>
        <v>0</v>
      </c>
      <c r="X216" s="747">
        <f t="shared" si="69"/>
        <v>11416000</v>
      </c>
      <c r="Y216" s="687"/>
    </row>
    <row r="217" spans="1:25" s="660" customFormat="1" ht="22.5">
      <c r="A217" s="778">
        <v>83</v>
      </c>
      <c r="B217" s="764" t="s">
        <v>1646</v>
      </c>
      <c r="C217" s="779" t="s">
        <v>777</v>
      </c>
      <c r="D217" s="780" t="s">
        <v>1647</v>
      </c>
      <c r="E217" s="747">
        <v>1403846383</v>
      </c>
      <c r="F217" s="747"/>
      <c r="G217" s="747"/>
      <c r="H217" s="747"/>
      <c r="I217" s="747"/>
      <c r="J217" s="747"/>
      <c r="K217" s="747"/>
      <c r="L217" s="747"/>
      <c r="M217" s="747"/>
      <c r="N217" s="747"/>
      <c r="O217" s="747"/>
      <c r="P217" s="747">
        <v>11305000</v>
      </c>
      <c r="Q217" s="747">
        <f t="shared" si="68"/>
        <v>11305000</v>
      </c>
      <c r="R217" s="747">
        <v>11305000</v>
      </c>
      <c r="S217" s="747"/>
      <c r="T217" s="747"/>
      <c r="U217" s="747">
        <f t="shared" si="65"/>
        <v>0</v>
      </c>
      <c r="V217" s="747">
        <f t="shared" si="66"/>
        <v>11305000</v>
      </c>
      <c r="W217" s="747">
        <f t="shared" si="67"/>
        <v>0</v>
      </c>
      <c r="X217" s="747">
        <f t="shared" si="69"/>
        <v>11305000</v>
      </c>
      <c r="Y217" s="687"/>
    </row>
    <row r="218" spans="1:25" s="660" customFormat="1" ht="22.5">
      <c r="A218" s="778">
        <v>84</v>
      </c>
      <c r="B218" s="764" t="s">
        <v>1648</v>
      </c>
      <c r="C218" s="779" t="s">
        <v>777</v>
      </c>
      <c r="D218" s="780" t="s">
        <v>1649</v>
      </c>
      <c r="E218" s="747">
        <v>2805488324</v>
      </c>
      <c r="F218" s="747"/>
      <c r="G218" s="747"/>
      <c r="H218" s="747"/>
      <c r="I218" s="747"/>
      <c r="J218" s="747"/>
      <c r="K218" s="747"/>
      <c r="L218" s="747"/>
      <c r="M218" s="747"/>
      <c r="N218" s="747"/>
      <c r="O218" s="747"/>
      <c r="P218" s="747">
        <v>37440000</v>
      </c>
      <c r="Q218" s="747">
        <f t="shared" si="68"/>
        <v>37440000</v>
      </c>
      <c r="R218" s="747">
        <v>37440000</v>
      </c>
      <c r="S218" s="747"/>
      <c r="T218" s="747"/>
      <c r="U218" s="747">
        <f t="shared" si="65"/>
        <v>0</v>
      </c>
      <c r="V218" s="747">
        <f t="shared" si="66"/>
        <v>37440000</v>
      </c>
      <c r="W218" s="747">
        <f t="shared" si="67"/>
        <v>0</v>
      </c>
      <c r="X218" s="747">
        <f t="shared" si="69"/>
        <v>37440000</v>
      </c>
      <c r="Y218" s="687"/>
    </row>
    <row r="219" spans="1:25" s="660" customFormat="1" ht="33.75">
      <c r="A219" s="778">
        <v>85</v>
      </c>
      <c r="B219" s="764" t="s">
        <v>1650</v>
      </c>
      <c r="C219" s="779" t="s">
        <v>777</v>
      </c>
      <c r="D219" s="780" t="s">
        <v>1651</v>
      </c>
      <c r="E219" s="747">
        <v>2957371978</v>
      </c>
      <c r="F219" s="747"/>
      <c r="G219" s="747"/>
      <c r="H219" s="747"/>
      <c r="I219" s="747"/>
      <c r="J219" s="747"/>
      <c r="K219" s="747"/>
      <c r="L219" s="747"/>
      <c r="M219" s="747"/>
      <c r="N219" s="747"/>
      <c r="O219" s="747"/>
      <c r="P219" s="747">
        <v>4813000</v>
      </c>
      <c r="Q219" s="747">
        <f t="shared" si="68"/>
        <v>4813000</v>
      </c>
      <c r="R219" s="747">
        <v>4813000</v>
      </c>
      <c r="S219" s="747"/>
      <c r="T219" s="747"/>
      <c r="U219" s="747">
        <f t="shared" si="65"/>
        <v>0</v>
      </c>
      <c r="V219" s="747">
        <f t="shared" si="66"/>
        <v>4813000</v>
      </c>
      <c r="W219" s="747">
        <f t="shared" si="67"/>
        <v>0</v>
      </c>
      <c r="X219" s="747">
        <f t="shared" si="69"/>
        <v>4813000</v>
      </c>
      <c r="Y219" s="687"/>
    </row>
    <row r="220" spans="1:25" s="660" customFormat="1">
      <c r="A220" s="778">
        <v>86</v>
      </c>
      <c r="B220" s="764" t="s">
        <v>1652</v>
      </c>
      <c r="C220" s="779" t="s">
        <v>777</v>
      </c>
      <c r="D220" s="780" t="s">
        <v>1653</v>
      </c>
      <c r="E220" s="747">
        <v>886918947</v>
      </c>
      <c r="F220" s="747"/>
      <c r="G220" s="747"/>
      <c r="H220" s="747"/>
      <c r="I220" s="747"/>
      <c r="J220" s="747"/>
      <c r="K220" s="747"/>
      <c r="L220" s="747"/>
      <c r="M220" s="747"/>
      <c r="N220" s="747"/>
      <c r="O220" s="747"/>
      <c r="P220" s="747">
        <v>841000</v>
      </c>
      <c r="Q220" s="747">
        <f t="shared" si="68"/>
        <v>841000</v>
      </c>
      <c r="R220" s="747">
        <v>841000</v>
      </c>
      <c r="S220" s="747"/>
      <c r="T220" s="747"/>
      <c r="U220" s="747">
        <f t="shared" si="65"/>
        <v>0</v>
      </c>
      <c r="V220" s="747">
        <f t="shared" si="66"/>
        <v>841000</v>
      </c>
      <c r="W220" s="747">
        <f t="shared" si="67"/>
        <v>0</v>
      </c>
      <c r="X220" s="747">
        <f t="shared" si="69"/>
        <v>841000</v>
      </c>
      <c r="Y220" s="687"/>
    </row>
    <row r="221" spans="1:25" s="660" customFormat="1" ht="22.5">
      <c r="A221" s="778">
        <v>87</v>
      </c>
      <c r="B221" s="764" t="s">
        <v>1654</v>
      </c>
      <c r="C221" s="779" t="s">
        <v>777</v>
      </c>
      <c r="D221" s="780" t="s">
        <v>1655</v>
      </c>
      <c r="E221" s="747">
        <v>2344915000</v>
      </c>
      <c r="F221" s="747"/>
      <c r="G221" s="747"/>
      <c r="H221" s="747"/>
      <c r="I221" s="747"/>
      <c r="J221" s="747"/>
      <c r="K221" s="747"/>
      <c r="L221" s="747"/>
      <c r="M221" s="747"/>
      <c r="N221" s="747"/>
      <c r="O221" s="747"/>
      <c r="P221" s="747">
        <v>10434000</v>
      </c>
      <c r="Q221" s="747">
        <f t="shared" si="68"/>
        <v>10434000</v>
      </c>
      <c r="R221" s="747">
        <v>10434000</v>
      </c>
      <c r="S221" s="747"/>
      <c r="T221" s="747"/>
      <c r="U221" s="747">
        <f t="shared" si="65"/>
        <v>0</v>
      </c>
      <c r="V221" s="747">
        <f t="shared" si="66"/>
        <v>10434000</v>
      </c>
      <c r="W221" s="747">
        <f t="shared" si="67"/>
        <v>0</v>
      </c>
      <c r="X221" s="747">
        <f t="shared" si="69"/>
        <v>10434000</v>
      </c>
      <c r="Y221" s="687"/>
    </row>
    <row r="222" spans="1:25" s="660" customFormat="1">
      <c r="A222" s="778">
        <v>88</v>
      </c>
      <c r="B222" s="775" t="s">
        <v>349</v>
      </c>
      <c r="C222" s="781"/>
      <c r="D222" s="782"/>
      <c r="E222" s="747"/>
      <c r="F222" s="747"/>
      <c r="G222" s="747"/>
      <c r="H222" s="747"/>
      <c r="I222" s="747"/>
      <c r="J222" s="747"/>
      <c r="K222" s="747"/>
      <c r="L222" s="747"/>
      <c r="M222" s="747"/>
      <c r="N222" s="747"/>
      <c r="O222" s="747"/>
      <c r="P222" s="747"/>
      <c r="Q222" s="747"/>
      <c r="R222" s="747"/>
      <c r="S222" s="747"/>
      <c r="T222" s="747"/>
      <c r="U222" s="747">
        <f t="shared" si="65"/>
        <v>0</v>
      </c>
      <c r="V222" s="747">
        <f t="shared" si="66"/>
        <v>0</v>
      </c>
      <c r="W222" s="747">
        <f t="shared" si="67"/>
        <v>0</v>
      </c>
      <c r="X222" s="747"/>
      <c r="Y222" s="687"/>
    </row>
    <row r="223" spans="1:25" s="660" customFormat="1" ht="22.5">
      <c r="A223" s="778">
        <v>89</v>
      </c>
      <c r="B223" s="785" t="s">
        <v>1656</v>
      </c>
      <c r="C223" s="779" t="s">
        <v>777</v>
      </c>
      <c r="D223" s="780" t="s">
        <v>439</v>
      </c>
      <c r="E223" s="747">
        <v>53288133320</v>
      </c>
      <c r="F223" s="747"/>
      <c r="G223" s="747"/>
      <c r="H223" s="747"/>
      <c r="I223" s="747"/>
      <c r="J223" s="747"/>
      <c r="K223" s="747"/>
      <c r="L223" s="747"/>
      <c r="M223" s="747"/>
      <c r="N223" s="747"/>
      <c r="O223" s="747"/>
      <c r="P223" s="747">
        <v>1516140000</v>
      </c>
      <c r="Q223" s="747">
        <f t="shared" si="68"/>
        <v>537226870</v>
      </c>
      <c r="R223" s="747">
        <v>537226870</v>
      </c>
      <c r="S223" s="747"/>
      <c r="T223" s="747"/>
      <c r="U223" s="747">
        <f t="shared" si="65"/>
        <v>978913130</v>
      </c>
      <c r="V223" s="747">
        <f t="shared" si="66"/>
        <v>537226870</v>
      </c>
      <c r="W223" s="747">
        <f t="shared" si="67"/>
        <v>0</v>
      </c>
      <c r="X223" s="747">
        <f t="shared" si="69"/>
        <v>537226870</v>
      </c>
      <c r="Y223" s="687"/>
    </row>
    <row r="224" spans="1:25" s="660" customFormat="1">
      <c r="A224" s="778">
        <v>90</v>
      </c>
      <c r="B224" s="792" t="s">
        <v>1657</v>
      </c>
      <c r="C224" s="779" t="s">
        <v>777</v>
      </c>
      <c r="D224" s="777" t="s">
        <v>1658</v>
      </c>
      <c r="E224" s="747"/>
      <c r="F224" s="747"/>
      <c r="G224" s="747"/>
      <c r="H224" s="747"/>
      <c r="I224" s="747"/>
      <c r="J224" s="747"/>
      <c r="K224" s="747"/>
      <c r="L224" s="747"/>
      <c r="M224" s="747"/>
      <c r="N224" s="747"/>
      <c r="O224" s="747"/>
      <c r="P224" s="747">
        <v>59385000</v>
      </c>
      <c r="Q224" s="747"/>
      <c r="R224" s="747"/>
      <c r="S224" s="747"/>
      <c r="T224" s="747"/>
      <c r="U224" s="747">
        <f t="shared" si="65"/>
        <v>59385000</v>
      </c>
      <c r="V224" s="747">
        <f t="shared" si="66"/>
        <v>0</v>
      </c>
      <c r="W224" s="747">
        <f t="shared" si="67"/>
        <v>0</v>
      </c>
      <c r="X224" s="747"/>
      <c r="Y224" s="687"/>
    </row>
    <row r="225" spans="1:25" s="660" customFormat="1">
      <c r="A225" s="778">
        <v>91</v>
      </c>
      <c r="B225" s="785" t="s">
        <v>1659</v>
      </c>
      <c r="C225" s="779" t="s">
        <v>777</v>
      </c>
      <c r="D225" s="780" t="s">
        <v>1660</v>
      </c>
      <c r="E225" s="747">
        <v>11505564000</v>
      </c>
      <c r="F225" s="747"/>
      <c r="G225" s="747"/>
      <c r="H225" s="747"/>
      <c r="I225" s="747"/>
      <c r="J225" s="747"/>
      <c r="K225" s="747"/>
      <c r="L225" s="747"/>
      <c r="M225" s="747"/>
      <c r="N225" s="747"/>
      <c r="O225" s="747"/>
      <c r="P225" s="747">
        <v>74329000</v>
      </c>
      <c r="Q225" s="747">
        <f t="shared" si="68"/>
        <v>74329000</v>
      </c>
      <c r="R225" s="747">
        <v>74329000</v>
      </c>
      <c r="S225" s="747"/>
      <c r="T225" s="747"/>
      <c r="U225" s="747">
        <f t="shared" si="65"/>
        <v>0</v>
      </c>
      <c r="V225" s="747">
        <f t="shared" si="66"/>
        <v>74329000</v>
      </c>
      <c r="W225" s="747">
        <f t="shared" si="67"/>
        <v>0</v>
      </c>
      <c r="X225" s="747">
        <f t="shared" si="69"/>
        <v>74329000</v>
      </c>
      <c r="Y225" s="687"/>
    </row>
    <row r="226" spans="1:25" s="660" customFormat="1">
      <c r="A226" s="778">
        <v>92</v>
      </c>
      <c r="B226" s="785" t="s">
        <v>1661</v>
      </c>
      <c r="C226" s="779" t="s">
        <v>777</v>
      </c>
      <c r="D226" s="780" t="s">
        <v>1662</v>
      </c>
      <c r="E226" s="747">
        <v>3883693000</v>
      </c>
      <c r="F226" s="747"/>
      <c r="G226" s="747"/>
      <c r="H226" s="747"/>
      <c r="I226" s="747"/>
      <c r="J226" s="747"/>
      <c r="K226" s="747"/>
      <c r="L226" s="747"/>
      <c r="M226" s="747"/>
      <c r="N226" s="747"/>
      <c r="O226" s="747"/>
      <c r="P226" s="747">
        <v>40895000</v>
      </c>
      <c r="Q226" s="747">
        <f t="shared" si="68"/>
        <v>40895000</v>
      </c>
      <c r="R226" s="747">
        <v>40895000</v>
      </c>
      <c r="S226" s="747"/>
      <c r="T226" s="747"/>
      <c r="U226" s="747">
        <f t="shared" si="65"/>
        <v>0</v>
      </c>
      <c r="V226" s="747">
        <f t="shared" si="66"/>
        <v>40895000</v>
      </c>
      <c r="W226" s="747">
        <f t="shared" si="67"/>
        <v>0</v>
      </c>
      <c r="X226" s="747">
        <f t="shared" si="69"/>
        <v>40895000</v>
      </c>
      <c r="Y226" s="687"/>
    </row>
    <row r="227" spans="1:25" s="660" customFormat="1">
      <c r="A227" s="778">
        <v>93</v>
      </c>
      <c r="B227" s="784" t="s">
        <v>1663</v>
      </c>
      <c r="C227" s="779" t="s">
        <v>777</v>
      </c>
      <c r="D227" s="780" t="s">
        <v>1664</v>
      </c>
      <c r="E227" s="747">
        <v>2639269000</v>
      </c>
      <c r="F227" s="747"/>
      <c r="G227" s="747"/>
      <c r="H227" s="747"/>
      <c r="I227" s="747"/>
      <c r="J227" s="747"/>
      <c r="K227" s="747"/>
      <c r="L227" s="747"/>
      <c r="M227" s="747"/>
      <c r="N227" s="747"/>
      <c r="O227" s="747"/>
      <c r="P227" s="747">
        <v>22713000</v>
      </c>
      <c r="Q227" s="747">
        <f t="shared" si="68"/>
        <v>22713000</v>
      </c>
      <c r="R227" s="747">
        <v>22713000</v>
      </c>
      <c r="S227" s="747"/>
      <c r="T227" s="747"/>
      <c r="U227" s="747">
        <f t="shared" si="65"/>
        <v>0</v>
      </c>
      <c r="V227" s="747">
        <f t="shared" si="66"/>
        <v>22713000</v>
      </c>
      <c r="W227" s="747">
        <f t="shared" si="67"/>
        <v>0</v>
      </c>
      <c r="X227" s="747">
        <f t="shared" si="69"/>
        <v>22713000</v>
      </c>
      <c r="Y227" s="687"/>
    </row>
    <row r="228" spans="1:25" s="660" customFormat="1" ht="22.5">
      <c r="A228" s="778">
        <v>94</v>
      </c>
      <c r="B228" s="784" t="s">
        <v>1665</v>
      </c>
      <c r="C228" s="779" t="s">
        <v>777</v>
      </c>
      <c r="D228" s="780" t="s">
        <v>1666</v>
      </c>
      <c r="E228" s="747">
        <v>4305123000</v>
      </c>
      <c r="F228" s="747"/>
      <c r="G228" s="747"/>
      <c r="H228" s="747"/>
      <c r="I228" s="747"/>
      <c r="J228" s="747"/>
      <c r="K228" s="747"/>
      <c r="L228" s="747"/>
      <c r="M228" s="747"/>
      <c r="N228" s="747"/>
      <c r="O228" s="747"/>
      <c r="P228" s="747">
        <v>45839000</v>
      </c>
      <c r="Q228" s="747">
        <f t="shared" si="68"/>
        <v>45839000</v>
      </c>
      <c r="R228" s="747">
        <v>45839000</v>
      </c>
      <c r="S228" s="747"/>
      <c r="T228" s="747"/>
      <c r="U228" s="747">
        <f t="shared" si="65"/>
        <v>0</v>
      </c>
      <c r="V228" s="747">
        <f t="shared" si="66"/>
        <v>45839000</v>
      </c>
      <c r="W228" s="747">
        <f t="shared" si="67"/>
        <v>0</v>
      </c>
      <c r="X228" s="747">
        <f t="shared" si="69"/>
        <v>45839000</v>
      </c>
      <c r="Y228" s="687"/>
    </row>
    <row r="229" spans="1:25" s="660" customFormat="1">
      <c r="A229" s="778">
        <v>95</v>
      </c>
      <c r="B229" s="784" t="s">
        <v>1667</v>
      </c>
      <c r="C229" s="779" t="s">
        <v>777</v>
      </c>
      <c r="D229" s="780" t="s">
        <v>1668</v>
      </c>
      <c r="E229" s="747">
        <v>2042574820</v>
      </c>
      <c r="F229" s="747"/>
      <c r="G229" s="747"/>
      <c r="H229" s="747"/>
      <c r="I229" s="747"/>
      <c r="J229" s="747"/>
      <c r="K229" s="747"/>
      <c r="L229" s="747"/>
      <c r="M229" s="747"/>
      <c r="N229" s="747"/>
      <c r="O229" s="747"/>
      <c r="P229" s="747">
        <v>19791000</v>
      </c>
      <c r="Q229" s="747">
        <f t="shared" si="68"/>
        <v>19791000</v>
      </c>
      <c r="R229" s="747">
        <v>19791000</v>
      </c>
      <c r="S229" s="747"/>
      <c r="T229" s="747"/>
      <c r="U229" s="747">
        <f t="shared" si="65"/>
        <v>0</v>
      </c>
      <c r="V229" s="747">
        <f t="shared" si="66"/>
        <v>19791000</v>
      </c>
      <c r="W229" s="747">
        <f t="shared" si="67"/>
        <v>0</v>
      </c>
      <c r="X229" s="747">
        <f t="shared" si="69"/>
        <v>19791000</v>
      </c>
      <c r="Y229" s="687"/>
    </row>
    <row r="230" spans="1:25" s="660" customFormat="1">
      <c r="A230" s="778">
        <v>96</v>
      </c>
      <c r="B230" s="784" t="s">
        <v>1669</v>
      </c>
      <c r="C230" s="779" t="s">
        <v>777</v>
      </c>
      <c r="D230" s="780" t="s">
        <v>1670</v>
      </c>
      <c r="E230" s="747">
        <v>14870615000</v>
      </c>
      <c r="F230" s="747"/>
      <c r="G230" s="747"/>
      <c r="H230" s="747"/>
      <c r="I230" s="747"/>
      <c r="J230" s="747"/>
      <c r="K230" s="747"/>
      <c r="L230" s="747"/>
      <c r="M230" s="747"/>
      <c r="N230" s="747"/>
      <c r="O230" s="747"/>
      <c r="P230" s="747">
        <v>96366000</v>
      </c>
      <c r="Q230" s="747">
        <f t="shared" si="68"/>
        <v>96366000</v>
      </c>
      <c r="R230" s="747">
        <v>96366000</v>
      </c>
      <c r="S230" s="747"/>
      <c r="T230" s="747"/>
      <c r="U230" s="747">
        <f t="shared" si="65"/>
        <v>0</v>
      </c>
      <c r="V230" s="747">
        <f t="shared" si="66"/>
        <v>96366000</v>
      </c>
      <c r="W230" s="747">
        <f t="shared" si="67"/>
        <v>0</v>
      </c>
      <c r="X230" s="747">
        <f t="shared" si="69"/>
        <v>96366000</v>
      </c>
      <c r="Y230" s="687"/>
    </row>
    <row r="231" spans="1:25" s="660" customFormat="1" ht="33.75">
      <c r="A231" s="778">
        <v>97</v>
      </c>
      <c r="B231" s="784" t="s">
        <v>1671</v>
      </c>
      <c r="C231" s="779" t="s">
        <v>777</v>
      </c>
      <c r="D231" s="780" t="s">
        <v>1672</v>
      </c>
      <c r="E231" s="747">
        <v>14739410319</v>
      </c>
      <c r="F231" s="747"/>
      <c r="G231" s="747"/>
      <c r="H231" s="747"/>
      <c r="I231" s="747"/>
      <c r="J231" s="747"/>
      <c r="K231" s="747"/>
      <c r="L231" s="747"/>
      <c r="M231" s="747"/>
      <c r="N231" s="747"/>
      <c r="O231" s="747"/>
      <c r="P231" s="747">
        <v>114320000</v>
      </c>
      <c r="Q231" s="747">
        <f t="shared" si="68"/>
        <v>114320000</v>
      </c>
      <c r="R231" s="747">
        <v>114320000</v>
      </c>
      <c r="S231" s="747"/>
      <c r="T231" s="747"/>
      <c r="U231" s="747">
        <f t="shared" si="65"/>
        <v>0</v>
      </c>
      <c r="V231" s="747">
        <f t="shared" si="66"/>
        <v>114320000</v>
      </c>
      <c r="W231" s="747">
        <f t="shared" si="67"/>
        <v>0</v>
      </c>
      <c r="X231" s="747">
        <f t="shared" si="69"/>
        <v>114320000</v>
      </c>
      <c r="Y231" s="687"/>
    </row>
    <row r="232" spans="1:25" s="660" customFormat="1">
      <c r="A232" s="778">
        <v>98</v>
      </c>
      <c r="B232" s="785" t="s">
        <v>1673</v>
      </c>
      <c r="C232" s="779" t="s">
        <v>777</v>
      </c>
      <c r="D232" s="780" t="s">
        <v>1674</v>
      </c>
      <c r="E232" s="747">
        <v>3870451485</v>
      </c>
      <c r="F232" s="747"/>
      <c r="G232" s="747"/>
      <c r="H232" s="747"/>
      <c r="I232" s="747"/>
      <c r="J232" s="747"/>
      <c r="K232" s="747"/>
      <c r="L232" s="747"/>
      <c r="M232" s="747"/>
      <c r="N232" s="747"/>
      <c r="O232" s="747"/>
      <c r="P232" s="747">
        <v>37644000</v>
      </c>
      <c r="Q232" s="747">
        <f t="shared" si="68"/>
        <v>37644000</v>
      </c>
      <c r="R232" s="747">
        <v>37644000</v>
      </c>
      <c r="S232" s="747"/>
      <c r="T232" s="747"/>
      <c r="U232" s="747">
        <f t="shared" si="65"/>
        <v>0</v>
      </c>
      <c r="V232" s="747">
        <f t="shared" si="66"/>
        <v>37644000</v>
      </c>
      <c r="W232" s="747">
        <f t="shared" si="67"/>
        <v>0</v>
      </c>
      <c r="X232" s="747">
        <f t="shared" si="69"/>
        <v>37644000</v>
      </c>
      <c r="Y232" s="687"/>
    </row>
    <row r="233" spans="1:25" s="660" customFormat="1">
      <c r="A233" s="778">
        <v>99</v>
      </c>
      <c r="B233" s="785" t="s">
        <v>1675</v>
      </c>
      <c r="C233" s="779" t="s">
        <v>777</v>
      </c>
      <c r="D233" s="780" t="s">
        <v>1676</v>
      </c>
      <c r="E233" s="747">
        <v>3125743000</v>
      </c>
      <c r="F233" s="747"/>
      <c r="G233" s="747"/>
      <c r="H233" s="747"/>
      <c r="I233" s="747"/>
      <c r="J233" s="747"/>
      <c r="K233" s="747"/>
      <c r="L233" s="747"/>
      <c r="M233" s="747"/>
      <c r="N233" s="747"/>
      <c r="O233" s="747"/>
      <c r="P233" s="747">
        <v>17931000</v>
      </c>
      <c r="Q233" s="747">
        <f t="shared" si="68"/>
        <v>17931000</v>
      </c>
      <c r="R233" s="747">
        <v>17931000</v>
      </c>
      <c r="S233" s="747"/>
      <c r="T233" s="747"/>
      <c r="U233" s="747">
        <f t="shared" si="65"/>
        <v>0</v>
      </c>
      <c r="V233" s="747">
        <f t="shared" si="66"/>
        <v>17931000</v>
      </c>
      <c r="W233" s="747">
        <f t="shared" si="67"/>
        <v>0</v>
      </c>
      <c r="X233" s="747">
        <f t="shared" si="69"/>
        <v>17931000</v>
      </c>
      <c r="Y233" s="687"/>
    </row>
    <row r="234" spans="1:25" s="660" customFormat="1">
      <c r="A234" s="778">
        <v>100</v>
      </c>
      <c r="B234" s="784" t="s">
        <v>1677</v>
      </c>
      <c r="C234" s="779" t="s">
        <v>777</v>
      </c>
      <c r="D234" s="780" t="s">
        <v>1678</v>
      </c>
      <c r="E234" s="747">
        <v>18089331598</v>
      </c>
      <c r="F234" s="747"/>
      <c r="G234" s="747"/>
      <c r="H234" s="747"/>
      <c r="I234" s="747"/>
      <c r="J234" s="747"/>
      <c r="K234" s="747"/>
      <c r="L234" s="747"/>
      <c r="M234" s="747"/>
      <c r="N234" s="747"/>
      <c r="O234" s="747"/>
      <c r="P234" s="747">
        <v>353843000</v>
      </c>
      <c r="Q234" s="747">
        <f t="shared" si="68"/>
        <v>353843000</v>
      </c>
      <c r="R234" s="747">
        <v>353843000</v>
      </c>
      <c r="S234" s="747"/>
      <c r="T234" s="747"/>
      <c r="U234" s="747">
        <f t="shared" si="65"/>
        <v>0</v>
      </c>
      <c r="V234" s="747">
        <f t="shared" si="66"/>
        <v>353843000</v>
      </c>
      <c r="W234" s="747">
        <f t="shared" si="67"/>
        <v>0</v>
      </c>
      <c r="X234" s="747">
        <f t="shared" si="69"/>
        <v>353843000</v>
      </c>
      <c r="Y234" s="687"/>
    </row>
    <row r="235" spans="1:25" s="660" customFormat="1">
      <c r="A235" s="778">
        <v>101</v>
      </c>
      <c r="B235" s="785" t="s">
        <v>1679</v>
      </c>
      <c r="C235" s="779" t="s">
        <v>777</v>
      </c>
      <c r="D235" s="780" t="s">
        <v>839</v>
      </c>
      <c r="E235" s="747">
        <v>66188868000</v>
      </c>
      <c r="F235" s="747"/>
      <c r="G235" s="747"/>
      <c r="H235" s="747"/>
      <c r="I235" s="747"/>
      <c r="J235" s="747"/>
      <c r="K235" s="747"/>
      <c r="L235" s="747"/>
      <c r="M235" s="747"/>
      <c r="N235" s="747"/>
      <c r="O235" s="747"/>
      <c r="P235" s="747">
        <v>201677000</v>
      </c>
      <c r="Q235" s="747">
        <f t="shared" si="68"/>
        <v>201677000</v>
      </c>
      <c r="R235" s="747">
        <v>201677000</v>
      </c>
      <c r="S235" s="747"/>
      <c r="T235" s="747"/>
      <c r="U235" s="747">
        <f t="shared" si="65"/>
        <v>0</v>
      </c>
      <c r="V235" s="747">
        <f t="shared" si="66"/>
        <v>201677000</v>
      </c>
      <c r="W235" s="747">
        <f t="shared" si="67"/>
        <v>0</v>
      </c>
      <c r="X235" s="747">
        <f t="shared" si="69"/>
        <v>201677000</v>
      </c>
      <c r="Y235" s="687"/>
    </row>
    <row r="236" spans="1:25" s="660" customFormat="1">
      <c r="A236" s="778">
        <v>102</v>
      </c>
      <c r="B236" s="785" t="s">
        <v>1680</v>
      </c>
      <c r="C236" s="779" t="s">
        <v>777</v>
      </c>
      <c r="D236" s="780" t="s">
        <v>1681</v>
      </c>
      <c r="E236" s="747">
        <v>24551557750</v>
      </c>
      <c r="F236" s="747"/>
      <c r="G236" s="747"/>
      <c r="H236" s="747"/>
      <c r="I236" s="747"/>
      <c r="J236" s="747"/>
      <c r="K236" s="747"/>
      <c r="L236" s="747"/>
      <c r="M236" s="747"/>
      <c r="N236" s="747"/>
      <c r="O236" s="747"/>
      <c r="P236" s="747">
        <v>132606000</v>
      </c>
      <c r="Q236" s="747">
        <f t="shared" si="68"/>
        <v>132606000</v>
      </c>
      <c r="R236" s="747">
        <v>132606000</v>
      </c>
      <c r="S236" s="747"/>
      <c r="T236" s="747"/>
      <c r="U236" s="747">
        <f t="shared" si="65"/>
        <v>0</v>
      </c>
      <c r="V236" s="747">
        <f t="shared" si="66"/>
        <v>132606000</v>
      </c>
      <c r="W236" s="747">
        <f t="shared" si="67"/>
        <v>0</v>
      </c>
      <c r="X236" s="747">
        <f t="shared" si="69"/>
        <v>132606000</v>
      </c>
      <c r="Y236" s="687"/>
    </row>
    <row r="237" spans="1:25" s="660" customFormat="1">
      <c r="A237" s="778">
        <v>103</v>
      </c>
      <c r="B237" s="775" t="s">
        <v>345</v>
      </c>
      <c r="C237" s="776"/>
      <c r="D237" s="777"/>
      <c r="E237" s="747"/>
      <c r="F237" s="747"/>
      <c r="G237" s="747"/>
      <c r="H237" s="747"/>
      <c r="I237" s="747"/>
      <c r="J237" s="747"/>
      <c r="K237" s="747"/>
      <c r="L237" s="747"/>
      <c r="M237" s="747"/>
      <c r="N237" s="747"/>
      <c r="O237" s="747"/>
      <c r="P237" s="747"/>
      <c r="Q237" s="747"/>
      <c r="R237" s="747"/>
      <c r="S237" s="747"/>
      <c r="T237" s="747"/>
      <c r="U237" s="747">
        <f t="shared" si="65"/>
        <v>0</v>
      </c>
      <c r="V237" s="747">
        <f t="shared" si="66"/>
        <v>0</v>
      </c>
      <c r="W237" s="747">
        <f t="shared" si="67"/>
        <v>0</v>
      </c>
      <c r="X237" s="747"/>
      <c r="Y237" s="687"/>
    </row>
    <row r="238" spans="1:25" s="660" customFormat="1" ht="22.5">
      <c r="A238" s="778">
        <v>104</v>
      </c>
      <c r="B238" s="784" t="s">
        <v>1682</v>
      </c>
      <c r="C238" s="779" t="s">
        <v>777</v>
      </c>
      <c r="D238" s="780" t="s">
        <v>1683</v>
      </c>
      <c r="E238" s="747">
        <v>3982600000</v>
      </c>
      <c r="F238" s="747"/>
      <c r="G238" s="747"/>
      <c r="H238" s="747"/>
      <c r="I238" s="747"/>
      <c r="J238" s="747"/>
      <c r="K238" s="747"/>
      <c r="L238" s="747"/>
      <c r="M238" s="747"/>
      <c r="N238" s="747"/>
      <c r="O238" s="747"/>
      <c r="P238" s="747">
        <v>29346000</v>
      </c>
      <c r="Q238" s="747">
        <f t="shared" si="68"/>
        <v>29346000</v>
      </c>
      <c r="R238" s="747">
        <v>29346000</v>
      </c>
      <c r="S238" s="747"/>
      <c r="T238" s="747"/>
      <c r="U238" s="747">
        <f t="shared" si="65"/>
        <v>0</v>
      </c>
      <c r="V238" s="747">
        <f t="shared" si="66"/>
        <v>29346000</v>
      </c>
      <c r="W238" s="747">
        <f t="shared" si="67"/>
        <v>0</v>
      </c>
      <c r="X238" s="747">
        <f t="shared" si="69"/>
        <v>29346000</v>
      </c>
      <c r="Y238" s="687"/>
    </row>
    <row r="239" spans="1:25" s="660" customFormat="1" ht="22.5">
      <c r="A239" s="778">
        <v>105</v>
      </c>
      <c r="B239" s="784" t="s">
        <v>1684</v>
      </c>
      <c r="C239" s="779" t="s">
        <v>777</v>
      </c>
      <c r="D239" s="780" t="s">
        <v>1685</v>
      </c>
      <c r="E239" s="747">
        <v>4907981000</v>
      </c>
      <c r="F239" s="747"/>
      <c r="G239" s="747"/>
      <c r="H239" s="747"/>
      <c r="I239" s="747"/>
      <c r="J239" s="747"/>
      <c r="K239" s="747"/>
      <c r="L239" s="747"/>
      <c r="M239" s="747"/>
      <c r="N239" s="747"/>
      <c r="O239" s="747"/>
      <c r="P239" s="747">
        <v>8620000</v>
      </c>
      <c r="Q239" s="747">
        <f t="shared" si="68"/>
        <v>8620000</v>
      </c>
      <c r="R239" s="747">
        <v>8620000</v>
      </c>
      <c r="S239" s="747"/>
      <c r="T239" s="747"/>
      <c r="U239" s="747">
        <f t="shared" si="65"/>
        <v>0</v>
      </c>
      <c r="V239" s="747">
        <f t="shared" si="66"/>
        <v>8620000</v>
      </c>
      <c r="W239" s="747">
        <f t="shared" si="67"/>
        <v>0</v>
      </c>
      <c r="X239" s="747">
        <f t="shared" si="69"/>
        <v>8620000</v>
      </c>
      <c r="Y239" s="687"/>
    </row>
    <row r="240" spans="1:25" s="660" customFormat="1" ht="22.5">
      <c r="A240" s="778">
        <v>106</v>
      </c>
      <c r="B240" s="784" t="s">
        <v>1686</v>
      </c>
      <c r="C240" s="779" t="s">
        <v>777</v>
      </c>
      <c r="D240" s="780" t="s">
        <v>1687</v>
      </c>
      <c r="E240" s="747">
        <v>3140982000</v>
      </c>
      <c r="F240" s="747"/>
      <c r="G240" s="747"/>
      <c r="H240" s="747"/>
      <c r="I240" s="747"/>
      <c r="J240" s="747"/>
      <c r="K240" s="747"/>
      <c r="L240" s="747"/>
      <c r="M240" s="747"/>
      <c r="N240" s="747"/>
      <c r="O240" s="747"/>
      <c r="P240" s="747">
        <v>7238000</v>
      </c>
      <c r="Q240" s="747">
        <f t="shared" si="68"/>
        <v>7238000</v>
      </c>
      <c r="R240" s="747">
        <v>7238000</v>
      </c>
      <c r="S240" s="747"/>
      <c r="T240" s="747"/>
      <c r="U240" s="747">
        <f t="shared" si="65"/>
        <v>0</v>
      </c>
      <c r="V240" s="747">
        <f t="shared" si="66"/>
        <v>7238000</v>
      </c>
      <c r="W240" s="747">
        <f t="shared" si="67"/>
        <v>0</v>
      </c>
      <c r="X240" s="747">
        <f t="shared" si="69"/>
        <v>7238000</v>
      </c>
      <c r="Y240" s="687"/>
    </row>
    <row r="241" spans="1:25" s="660" customFormat="1">
      <c r="A241" s="778">
        <v>107</v>
      </c>
      <c r="B241" s="784" t="s">
        <v>1688</v>
      </c>
      <c r="C241" s="779" t="s">
        <v>777</v>
      </c>
      <c r="D241" s="780" t="s">
        <v>1689</v>
      </c>
      <c r="E241" s="747">
        <v>3791998535</v>
      </c>
      <c r="F241" s="747"/>
      <c r="G241" s="747"/>
      <c r="H241" s="747"/>
      <c r="I241" s="747"/>
      <c r="J241" s="747"/>
      <c r="K241" s="747"/>
      <c r="L241" s="747"/>
      <c r="M241" s="747"/>
      <c r="N241" s="747"/>
      <c r="O241" s="747"/>
      <c r="P241" s="747">
        <v>28820000</v>
      </c>
      <c r="Q241" s="747">
        <f t="shared" si="68"/>
        <v>28820000</v>
      </c>
      <c r="R241" s="747">
        <v>28820000</v>
      </c>
      <c r="S241" s="747"/>
      <c r="T241" s="747"/>
      <c r="U241" s="747">
        <f t="shared" si="65"/>
        <v>0</v>
      </c>
      <c r="V241" s="747">
        <f t="shared" si="66"/>
        <v>28820000</v>
      </c>
      <c r="W241" s="747">
        <f t="shared" si="67"/>
        <v>0</v>
      </c>
      <c r="X241" s="747">
        <f t="shared" si="69"/>
        <v>28820000</v>
      </c>
      <c r="Y241" s="687"/>
    </row>
    <row r="242" spans="1:25" s="660" customFormat="1">
      <c r="A242" s="778">
        <v>108</v>
      </c>
      <c r="B242" s="775" t="s">
        <v>352</v>
      </c>
      <c r="C242" s="776"/>
      <c r="D242" s="777"/>
      <c r="E242" s="747"/>
      <c r="F242" s="747"/>
      <c r="G242" s="747"/>
      <c r="H242" s="747"/>
      <c r="I242" s="747"/>
      <c r="J242" s="747"/>
      <c r="K242" s="747"/>
      <c r="L242" s="747"/>
      <c r="M242" s="747"/>
      <c r="N242" s="747"/>
      <c r="O242" s="747"/>
      <c r="P242" s="747"/>
      <c r="Q242" s="747"/>
      <c r="R242" s="747"/>
      <c r="S242" s="747"/>
      <c r="T242" s="747"/>
      <c r="U242" s="747">
        <f t="shared" si="65"/>
        <v>0</v>
      </c>
      <c r="V242" s="747">
        <f t="shared" si="66"/>
        <v>0</v>
      </c>
      <c r="W242" s="747">
        <f t="shared" si="67"/>
        <v>0</v>
      </c>
      <c r="X242" s="747"/>
      <c r="Y242" s="687"/>
    </row>
    <row r="243" spans="1:25" s="660" customFormat="1" ht="22.5">
      <c r="A243" s="778">
        <v>109</v>
      </c>
      <c r="B243" s="784" t="s">
        <v>1690</v>
      </c>
      <c r="C243" s="779" t="s">
        <v>777</v>
      </c>
      <c r="D243" s="780" t="s">
        <v>1691</v>
      </c>
      <c r="E243" s="747">
        <v>1630873000</v>
      </c>
      <c r="F243" s="747"/>
      <c r="G243" s="747"/>
      <c r="H243" s="747"/>
      <c r="I243" s="747"/>
      <c r="J243" s="747"/>
      <c r="K243" s="747"/>
      <c r="L243" s="747"/>
      <c r="M243" s="747"/>
      <c r="N243" s="747"/>
      <c r="O243" s="747"/>
      <c r="P243" s="747">
        <v>9038000</v>
      </c>
      <c r="Q243" s="747">
        <f t="shared" si="68"/>
        <v>9037464</v>
      </c>
      <c r="R243" s="747">
        <v>9037464</v>
      </c>
      <c r="S243" s="747"/>
      <c r="T243" s="747"/>
      <c r="U243" s="747">
        <f t="shared" si="65"/>
        <v>536</v>
      </c>
      <c r="V243" s="747">
        <f t="shared" si="66"/>
        <v>9037464</v>
      </c>
      <c r="W243" s="747">
        <f t="shared" si="67"/>
        <v>0</v>
      </c>
      <c r="X243" s="747">
        <f t="shared" si="69"/>
        <v>9037464</v>
      </c>
      <c r="Y243" s="687"/>
    </row>
    <row r="244" spans="1:25" s="660" customFormat="1" ht="22.5">
      <c r="A244" s="778">
        <v>110</v>
      </c>
      <c r="B244" s="784" t="s">
        <v>1692</v>
      </c>
      <c r="C244" s="779" t="s">
        <v>777</v>
      </c>
      <c r="D244" s="780" t="s">
        <v>1693</v>
      </c>
      <c r="E244" s="747">
        <v>1824035000</v>
      </c>
      <c r="F244" s="747"/>
      <c r="G244" s="747"/>
      <c r="H244" s="747"/>
      <c r="I244" s="747"/>
      <c r="J244" s="747"/>
      <c r="K244" s="747"/>
      <c r="L244" s="747"/>
      <c r="M244" s="747"/>
      <c r="N244" s="747"/>
      <c r="O244" s="747"/>
      <c r="P244" s="747">
        <v>4506000</v>
      </c>
      <c r="Q244" s="747">
        <f t="shared" si="68"/>
        <v>4505675</v>
      </c>
      <c r="R244" s="747">
        <v>4505675</v>
      </c>
      <c r="S244" s="747"/>
      <c r="T244" s="747"/>
      <c r="U244" s="747">
        <f t="shared" si="65"/>
        <v>325</v>
      </c>
      <c r="V244" s="747">
        <f t="shared" si="66"/>
        <v>4505675</v>
      </c>
      <c r="W244" s="747">
        <f t="shared" si="67"/>
        <v>0</v>
      </c>
      <c r="X244" s="747">
        <f t="shared" si="69"/>
        <v>4505675</v>
      </c>
      <c r="Y244" s="687"/>
    </row>
    <row r="245" spans="1:25" s="660" customFormat="1" ht="33.75">
      <c r="A245" s="778">
        <v>111</v>
      </c>
      <c r="B245" s="784" t="s">
        <v>1694</v>
      </c>
      <c r="C245" s="779" t="s">
        <v>777</v>
      </c>
      <c r="D245" s="780" t="s">
        <v>1695</v>
      </c>
      <c r="E245" s="747">
        <v>1345000000</v>
      </c>
      <c r="F245" s="747"/>
      <c r="G245" s="747"/>
      <c r="H245" s="747"/>
      <c r="I245" s="747"/>
      <c r="J245" s="747"/>
      <c r="K245" s="747"/>
      <c r="L245" s="747"/>
      <c r="M245" s="747"/>
      <c r="N245" s="747"/>
      <c r="O245" s="747"/>
      <c r="P245" s="747">
        <v>21343000</v>
      </c>
      <c r="Q245" s="747">
        <f t="shared" si="68"/>
        <v>21343000</v>
      </c>
      <c r="R245" s="747">
        <v>21343000</v>
      </c>
      <c r="S245" s="747"/>
      <c r="T245" s="747"/>
      <c r="U245" s="747">
        <f t="shared" si="65"/>
        <v>0</v>
      </c>
      <c r="V245" s="747">
        <f t="shared" si="66"/>
        <v>21343000</v>
      </c>
      <c r="W245" s="747">
        <f t="shared" si="67"/>
        <v>0</v>
      </c>
      <c r="X245" s="747">
        <f t="shared" si="69"/>
        <v>21343000</v>
      </c>
      <c r="Y245" s="687"/>
    </row>
    <row r="246" spans="1:25" s="660" customFormat="1" ht="22.5">
      <c r="A246" s="778">
        <v>112</v>
      </c>
      <c r="B246" s="784" t="s">
        <v>1696</v>
      </c>
      <c r="C246" s="779" t="s">
        <v>777</v>
      </c>
      <c r="D246" s="780" t="s">
        <v>1697</v>
      </c>
      <c r="E246" s="747">
        <v>1188245000</v>
      </c>
      <c r="F246" s="747"/>
      <c r="G246" s="747"/>
      <c r="H246" s="747"/>
      <c r="I246" s="747"/>
      <c r="J246" s="747"/>
      <c r="K246" s="747"/>
      <c r="L246" s="747"/>
      <c r="M246" s="747"/>
      <c r="N246" s="747"/>
      <c r="O246" s="747"/>
      <c r="P246" s="747">
        <v>68492000</v>
      </c>
      <c r="Q246" s="747">
        <f t="shared" si="68"/>
        <v>68492000</v>
      </c>
      <c r="R246" s="747">
        <v>68492000</v>
      </c>
      <c r="S246" s="747"/>
      <c r="T246" s="747"/>
      <c r="U246" s="747">
        <f t="shared" si="65"/>
        <v>0</v>
      </c>
      <c r="V246" s="747">
        <f t="shared" si="66"/>
        <v>68492000</v>
      </c>
      <c r="W246" s="747">
        <f t="shared" si="67"/>
        <v>0</v>
      </c>
      <c r="X246" s="747">
        <f t="shared" si="69"/>
        <v>68492000</v>
      </c>
      <c r="Y246" s="687"/>
    </row>
    <row r="247" spans="1:25" s="660" customFormat="1" ht="22.5">
      <c r="A247" s="778">
        <v>113</v>
      </c>
      <c r="B247" s="784" t="s">
        <v>1698</v>
      </c>
      <c r="C247" s="779" t="s">
        <v>777</v>
      </c>
      <c r="D247" s="780" t="s">
        <v>1699</v>
      </c>
      <c r="E247" s="747">
        <v>1050000000</v>
      </c>
      <c r="F247" s="747"/>
      <c r="G247" s="747"/>
      <c r="H247" s="747"/>
      <c r="I247" s="747"/>
      <c r="J247" s="747"/>
      <c r="K247" s="747"/>
      <c r="L247" s="747"/>
      <c r="M247" s="747"/>
      <c r="N247" s="747"/>
      <c r="O247" s="747"/>
      <c r="P247" s="747">
        <v>54726000</v>
      </c>
      <c r="Q247" s="747">
        <f t="shared" si="68"/>
        <v>54726000</v>
      </c>
      <c r="R247" s="747">
        <v>54726000</v>
      </c>
      <c r="S247" s="747"/>
      <c r="T247" s="747"/>
      <c r="U247" s="747">
        <f t="shared" si="65"/>
        <v>0</v>
      </c>
      <c r="V247" s="747">
        <f t="shared" si="66"/>
        <v>54726000</v>
      </c>
      <c r="W247" s="747">
        <f t="shared" si="67"/>
        <v>0</v>
      </c>
      <c r="X247" s="747">
        <f t="shared" si="69"/>
        <v>54726000</v>
      </c>
      <c r="Y247" s="687"/>
    </row>
    <row r="248" spans="1:25" s="660" customFormat="1">
      <c r="A248" s="778">
        <v>114</v>
      </c>
      <c r="B248" s="785" t="s">
        <v>1700</v>
      </c>
      <c r="C248" s="779" t="s">
        <v>777</v>
      </c>
      <c r="D248" s="780" t="s">
        <v>1701</v>
      </c>
      <c r="E248" s="747">
        <v>10907673000</v>
      </c>
      <c r="F248" s="747"/>
      <c r="G248" s="747"/>
      <c r="H248" s="747"/>
      <c r="I248" s="747"/>
      <c r="J248" s="747"/>
      <c r="K248" s="747"/>
      <c r="L248" s="747"/>
      <c r="M248" s="747"/>
      <c r="N248" s="747"/>
      <c r="O248" s="747"/>
      <c r="P248" s="747">
        <v>42082000</v>
      </c>
      <c r="Q248" s="747">
        <f t="shared" si="68"/>
        <v>42082000</v>
      </c>
      <c r="R248" s="747">
        <v>42082000</v>
      </c>
      <c r="S248" s="747"/>
      <c r="T248" s="747"/>
      <c r="U248" s="747">
        <f t="shared" si="65"/>
        <v>0</v>
      </c>
      <c r="V248" s="747">
        <f t="shared" si="66"/>
        <v>42082000</v>
      </c>
      <c r="W248" s="747">
        <f t="shared" si="67"/>
        <v>0</v>
      </c>
      <c r="X248" s="747">
        <f t="shared" si="69"/>
        <v>42082000</v>
      </c>
      <c r="Y248" s="687"/>
    </row>
    <row r="249" spans="1:25" s="660" customFormat="1">
      <c r="A249" s="778">
        <v>115</v>
      </c>
      <c r="B249" s="775" t="s">
        <v>351</v>
      </c>
      <c r="C249" s="776"/>
      <c r="D249" s="777"/>
      <c r="E249" s="747"/>
      <c r="F249" s="747"/>
      <c r="G249" s="747"/>
      <c r="H249" s="747"/>
      <c r="I249" s="747"/>
      <c r="J249" s="747"/>
      <c r="K249" s="747"/>
      <c r="L249" s="747"/>
      <c r="M249" s="747"/>
      <c r="N249" s="747"/>
      <c r="O249" s="747"/>
      <c r="P249" s="747"/>
      <c r="Q249" s="747"/>
      <c r="R249" s="747"/>
      <c r="S249" s="747"/>
      <c r="T249" s="747"/>
      <c r="U249" s="747">
        <f t="shared" si="65"/>
        <v>0</v>
      </c>
      <c r="V249" s="747">
        <f t="shared" si="66"/>
        <v>0</v>
      </c>
      <c r="W249" s="747">
        <f t="shared" si="67"/>
        <v>0</v>
      </c>
      <c r="X249" s="747"/>
      <c r="Y249" s="687"/>
    </row>
    <row r="250" spans="1:25" s="660" customFormat="1" ht="22.5">
      <c r="A250" s="778">
        <v>116</v>
      </c>
      <c r="B250" s="764" t="s">
        <v>1702</v>
      </c>
      <c r="C250" s="779" t="s">
        <v>777</v>
      </c>
      <c r="D250" s="780" t="s">
        <v>1703</v>
      </c>
      <c r="E250" s="747">
        <v>9093736000</v>
      </c>
      <c r="F250" s="747"/>
      <c r="G250" s="747"/>
      <c r="H250" s="747"/>
      <c r="I250" s="747"/>
      <c r="J250" s="747"/>
      <c r="K250" s="747"/>
      <c r="L250" s="747"/>
      <c r="M250" s="747"/>
      <c r="N250" s="747"/>
      <c r="O250" s="747"/>
      <c r="P250" s="747">
        <v>6832000</v>
      </c>
      <c r="Q250" s="747">
        <f t="shared" si="68"/>
        <v>6832000</v>
      </c>
      <c r="R250" s="747">
        <v>6832000</v>
      </c>
      <c r="S250" s="747"/>
      <c r="T250" s="747"/>
      <c r="U250" s="747">
        <f t="shared" si="65"/>
        <v>0</v>
      </c>
      <c r="V250" s="747">
        <f t="shared" si="66"/>
        <v>6832000</v>
      </c>
      <c r="W250" s="747">
        <f t="shared" si="67"/>
        <v>0</v>
      </c>
      <c r="X250" s="747">
        <f t="shared" si="69"/>
        <v>6832000</v>
      </c>
      <c r="Y250" s="687"/>
    </row>
    <row r="251" spans="1:25" s="660" customFormat="1">
      <c r="A251" s="778">
        <v>117</v>
      </c>
      <c r="B251" s="764" t="s">
        <v>1704</v>
      </c>
      <c r="C251" s="779" t="s">
        <v>777</v>
      </c>
      <c r="D251" s="780" t="s">
        <v>1705</v>
      </c>
      <c r="E251" s="747">
        <v>7975528347</v>
      </c>
      <c r="F251" s="747"/>
      <c r="G251" s="747"/>
      <c r="H251" s="747"/>
      <c r="I251" s="747"/>
      <c r="J251" s="747"/>
      <c r="K251" s="747"/>
      <c r="L251" s="747"/>
      <c r="M251" s="747"/>
      <c r="N251" s="747"/>
      <c r="O251" s="747"/>
      <c r="P251" s="747">
        <v>18797000</v>
      </c>
      <c r="Q251" s="747">
        <f t="shared" si="68"/>
        <v>18797000</v>
      </c>
      <c r="R251" s="747">
        <v>18797000</v>
      </c>
      <c r="S251" s="747"/>
      <c r="T251" s="747"/>
      <c r="U251" s="747">
        <f t="shared" si="65"/>
        <v>0</v>
      </c>
      <c r="V251" s="747">
        <f t="shared" si="66"/>
        <v>18797000</v>
      </c>
      <c r="W251" s="747">
        <f t="shared" si="67"/>
        <v>0</v>
      </c>
      <c r="X251" s="747">
        <f t="shared" si="69"/>
        <v>18797000</v>
      </c>
      <c r="Y251" s="687"/>
    </row>
    <row r="252" spans="1:25" s="660" customFormat="1">
      <c r="A252" s="778">
        <v>118</v>
      </c>
      <c r="B252" s="785" t="s">
        <v>1706</v>
      </c>
      <c r="C252" s="779" t="s">
        <v>777</v>
      </c>
      <c r="D252" s="780" t="s">
        <v>1707</v>
      </c>
      <c r="E252" s="747">
        <v>15420367451</v>
      </c>
      <c r="F252" s="747"/>
      <c r="G252" s="747"/>
      <c r="H252" s="747"/>
      <c r="I252" s="747"/>
      <c r="J252" s="747"/>
      <c r="K252" s="747"/>
      <c r="L252" s="747"/>
      <c r="M252" s="747"/>
      <c r="N252" s="747"/>
      <c r="O252" s="747"/>
      <c r="P252" s="747">
        <v>144129000</v>
      </c>
      <c r="Q252" s="747">
        <f t="shared" si="68"/>
        <v>144129000</v>
      </c>
      <c r="R252" s="747">
        <v>144129000</v>
      </c>
      <c r="S252" s="747"/>
      <c r="T252" s="747"/>
      <c r="U252" s="747">
        <f t="shared" si="65"/>
        <v>0</v>
      </c>
      <c r="V252" s="747">
        <f t="shared" si="66"/>
        <v>144129000</v>
      </c>
      <c r="W252" s="747">
        <f t="shared" si="67"/>
        <v>0</v>
      </c>
      <c r="X252" s="747">
        <f t="shared" si="69"/>
        <v>144129000</v>
      </c>
      <c r="Y252" s="687"/>
    </row>
    <row r="253" spans="1:25" s="660" customFormat="1" ht="22.5">
      <c r="A253" s="778">
        <v>119</v>
      </c>
      <c r="B253" s="784" t="s">
        <v>1708</v>
      </c>
      <c r="C253" s="779" t="s">
        <v>777</v>
      </c>
      <c r="D253" s="780" t="s">
        <v>1709</v>
      </c>
      <c r="E253" s="747">
        <v>12208510000</v>
      </c>
      <c r="F253" s="747"/>
      <c r="G253" s="747"/>
      <c r="H253" s="747"/>
      <c r="I253" s="747"/>
      <c r="J253" s="747"/>
      <c r="K253" s="747"/>
      <c r="L253" s="747"/>
      <c r="M253" s="747"/>
      <c r="N253" s="747"/>
      <c r="O253" s="747"/>
      <c r="P253" s="747">
        <v>99500000</v>
      </c>
      <c r="Q253" s="747">
        <f t="shared" si="68"/>
        <v>99500000</v>
      </c>
      <c r="R253" s="747">
        <v>99500000</v>
      </c>
      <c r="S253" s="747"/>
      <c r="T253" s="747"/>
      <c r="U253" s="747">
        <f t="shared" si="65"/>
        <v>0</v>
      </c>
      <c r="V253" s="747">
        <f t="shared" si="66"/>
        <v>99500000</v>
      </c>
      <c r="W253" s="747">
        <f t="shared" si="67"/>
        <v>0</v>
      </c>
      <c r="X253" s="747">
        <f t="shared" si="69"/>
        <v>99500000</v>
      </c>
      <c r="Y253" s="687"/>
    </row>
    <row r="254" spans="1:25" s="660" customFormat="1">
      <c r="A254" s="778">
        <v>120</v>
      </c>
      <c r="B254" s="787" t="s">
        <v>346</v>
      </c>
      <c r="C254" s="779"/>
      <c r="D254" s="780"/>
      <c r="E254" s="747"/>
      <c r="F254" s="747"/>
      <c r="G254" s="747"/>
      <c r="H254" s="747"/>
      <c r="I254" s="747"/>
      <c r="J254" s="747"/>
      <c r="K254" s="747"/>
      <c r="L254" s="747"/>
      <c r="M254" s="747"/>
      <c r="N254" s="747"/>
      <c r="O254" s="747"/>
      <c r="P254" s="747"/>
      <c r="Q254" s="747"/>
      <c r="R254" s="747"/>
      <c r="S254" s="747"/>
      <c r="T254" s="747"/>
      <c r="U254" s="747">
        <f t="shared" si="65"/>
        <v>0</v>
      </c>
      <c r="V254" s="747">
        <f t="shared" si="66"/>
        <v>0</v>
      </c>
      <c r="W254" s="747">
        <f t="shared" si="67"/>
        <v>0</v>
      </c>
      <c r="X254" s="747"/>
      <c r="Y254" s="687"/>
    </row>
    <row r="255" spans="1:25" s="660" customFormat="1">
      <c r="A255" s="778">
        <v>121</v>
      </c>
      <c r="B255" s="764" t="s">
        <v>1710</v>
      </c>
      <c r="C255" s="779" t="s">
        <v>777</v>
      </c>
      <c r="D255" s="780" t="s">
        <v>1711</v>
      </c>
      <c r="E255" s="747">
        <v>2530000</v>
      </c>
      <c r="F255" s="747"/>
      <c r="G255" s="747"/>
      <c r="H255" s="747"/>
      <c r="I255" s="747"/>
      <c r="J255" s="747"/>
      <c r="K255" s="747"/>
      <c r="L255" s="747"/>
      <c r="M255" s="747"/>
      <c r="N255" s="747"/>
      <c r="O255" s="747"/>
      <c r="P255" s="747">
        <v>2530000</v>
      </c>
      <c r="Q255" s="747">
        <f t="shared" si="68"/>
        <v>2530000</v>
      </c>
      <c r="R255" s="747">
        <v>2530000</v>
      </c>
      <c r="S255" s="747"/>
      <c r="T255" s="747"/>
      <c r="U255" s="747">
        <f t="shared" si="65"/>
        <v>0</v>
      </c>
      <c r="V255" s="747">
        <f t="shared" si="66"/>
        <v>2530000</v>
      </c>
      <c r="W255" s="747">
        <f t="shared" si="67"/>
        <v>0</v>
      </c>
      <c r="X255" s="747">
        <f t="shared" si="69"/>
        <v>2530000</v>
      </c>
      <c r="Y255" s="687"/>
    </row>
    <row r="256" spans="1:25" s="660" customFormat="1">
      <c r="A256" s="778">
        <v>122</v>
      </c>
      <c r="B256" s="784" t="s">
        <v>1712</v>
      </c>
      <c r="C256" s="779" t="s">
        <v>777</v>
      </c>
      <c r="D256" s="780" t="s">
        <v>1713</v>
      </c>
      <c r="E256" s="747">
        <v>1110136000</v>
      </c>
      <c r="F256" s="747"/>
      <c r="G256" s="747"/>
      <c r="H256" s="747"/>
      <c r="I256" s="747"/>
      <c r="J256" s="747"/>
      <c r="K256" s="747"/>
      <c r="L256" s="747"/>
      <c r="M256" s="747"/>
      <c r="N256" s="747"/>
      <c r="O256" s="747"/>
      <c r="P256" s="747">
        <v>2678000</v>
      </c>
      <c r="Q256" s="747">
        <f t="shared" si="68"/>
        <v>2678000</v>
      </c>
      <c r="R256" s="747">
        <v>2678000</v>
      </c>
      <c r="S256" s="747"/>
      <c r="T256" s="747"/>
      <c r="U256" s="747">
        <f t="shared" si="65"/>
        <v>0</v>
      </c>
      <c r="V256" s="747">
        <f t="shared" si="66"/>
        <v>2678000</v>
      </c>
      <c r="W256" s="747">
        <f t="shared" si="67"/>
        <v>0</v>
      </c>
      <c r="X256" s="747">
        <f t="shared" si="69"/>
        <v>2678000</v>
      </c>
      <c r="Y256" s="687"/>
    </row>
    <row r="257" spans="1:25" s="660" customFormat="1">
      <c r="A257" s="778">
        <v>123</v>
      </c>
      <c r="B257" s="784" t="s">
        <v>1714</v>
      </c>
      <c r="C257" s="779" t="s">
        <v>777</v>
      </c>
      <c r="D257" s="780" t="s">
        <v>1715</v>
      </c>
      <c r="E257" s="747">
        <v>4552330000</v>
      </c>
      <c r="F257" s="747"/>
      <c r="G257" s="747"/>
      <c r="H257" s="747"/>
      <c r="I257" s="747"/>
      <c r="J257" s="747"/>
      <c r="K257" s="747"/>
      <c r="L257" s="747"/>
      <c r="M257" s="747"/>
      <c r="N257" s="747"/>
      <c r="O257" s="747"/>
      <c r="P257" s="747">
        <v>6633000</v>
      </c>
      <c r="Q257" s="747">
        <f t="shared" si="68"/>
        <v>6633000</v>
      </c>
      <c r="R257" s="747">
        <v>6633000</v>
      </c>
      <c r="S257" s="747"/>
      <c r="T257" s="747"/>
      <c r="U257" s="747">
        <f t="shared" si="65"/>
        <v>0</v>
      </c>
      <c r="V257" s="747">
        <f t="shared" si="66"/>
        <v>6633000</v>
      </c>
      <c r="W257" s="747">
        <f t="shared" si="67"/>
        <v>0</v>
      </c>
      <c r="X257" s="747">
        <f t="shared" si="69"/>
        <v>6633000</v>
      </c>
      <c r="Y257" s="687"/>
    </row>
    <row r="258" spans="1:25" s="660" customFormat="1">
      <c r="A258" s="778">
        <v>124</v>
      </c>
      <c r="B258" s="784" t="s">
        <v>1716</v>
      </c>
      <c r="C258" s="779" t="s">
        <v>777</v>
      </c>
      <c r="D258" s="780" t="s">
        <v>1717</v>
      </c>
      <c r="E258" s="747">
        <v>750000</v>
      </c>
      <c r="F258" s="747"/>
      <c r="G258" s="747"/>
      <c r="H258" s="747"/>
      <c r="I258" s="747"/>
      <c r="J258" s="747"/>
      <c r="K258" s="747"/>
      <c r="L258" s="747"/>
      <c r="M258" s="747"/>
      <c r="N258" s="747"/>
      <c r="O258" s="747"/>
      <c r="P258" s="747">
        <v>750000</v>
      </c>
      <c r="Q258" s="747">
        <f t="shared" si="68"/>
        <v>750000</v>
      </c>
      <c r="R258" s="747">
        <v>750000</v>
      </c>
      <c r="S258" s="747"/>
      <c r="T258" s="747"/>
      <c r="U258" s="747">
        <f t="shared" si="65"/>
        <v>0</v>
      </c>
      <c r="V258" s="747">
        <f t="shared" si="66"/>
        <v>750000</v>
      </c>
      <c r="W258" s="747">
        <f t="shared" si="67"/>
        <v>0</v>
      </c>
      <c r="X258" s="747">
        <f t="shared" si="69"/>
        <v>750000</v>
      </c>
      <c r="Y258" s="687"/>
    </row>
    <row r="259" spans="1:25" s="660" customFormat="1">
      <c r="A259" s="778">
        <v>125</v>
      </c>
      <c r="B259" s="784" t="s">
        <v>1718</v>
      </c>
      <c r="C259" s="779" t="s">
        <v>777</v>
      </c>
      <c r="D259" s="780" t="s">
        <v>1719</v>
      </c>
      <c r="E259" s="747">
        <v>873000</v>
      </c>
      <c r="F259" s="747"/>
      <c r="G259" s="747"/>
      <c r="H259" s="747"/>
      <c r="I259" s="747"/>
      <c r="J259" s="747"/>
      <c r="K259" s="747"/>
      <c r="L259" s="747"/>
      <c r="M259" s="747"/>
      <c r="N259" s="747"/>
      <c r="O259" s="747"/>
      <c r="P259" s="747">
        <v>873000</v>
      </c>
      <c r="Q259" s="747">
        <f t="shared" si="68"/>
        <v>873000</v>
      </c>
      <c r="R259" s="747">
        <v>873000</v>
      </c>
      <c r="S259" s="747"/>
      <c r="T259" s="747"/>
      <c r="U259" s="747">
        <f t="shared" si="65"/>
        <v>0</v>
      </c>
      <c r="V259" s="747">
        <f t="shared" si="66"/>
        <v>873000</v>
      </c>
      <c r="W259" s="747">
        <f t="shared" si="67"/>
        <v>0</v>
      </c>
      <c r="X259" s="747">
        <f t="shared" si="69"/>
        <v>873000</v>
      </c>
      <c r="Y259" s="687"/>
    </row>
    <row r="260" spans="1:25" s="660" customFormat="1">
      <c r="A260" s="778">
        <v>126</v>
      </c>
      <c r="B260" s="784" t="s">
        <v>1720</v>
      </c>
      <c r="C260" s="779" t="s">
        <v>777</v>
      </c>
      <c r="D260" s="780" t="s">
        <v>1721</v>
      </c>
      <c r="E260" s="747">
        <v>1361000</v>
      </c>
      <c r="F260" s="747"/>
      <c r="G260" s="747"/>
      <c r="H260" s="747"/>
      <c r="I260" s="747"/>
      <c r="J260" s="747"/>
      <c r="K260" s="747"/>
      <c r="L260" s="747"/>
      <c r="M260" s="747"/>
      <c r="N260" s="747"/>
      <c r="O260" s="747"/>
      <c r="P260" s="747">
        <v>1361000</v>
      </c>
      <c r="Q260" s="747">
        <f t="shared" si="68"/>
        <v>1361000</v>
      </c>
      <c r="R260" s="747">
        <v>1361000</v>
      </c>
      <c r="S260" s="747"/>
      <c r="T260" s="747"/>
      <c r="U260" s="747">
        <f t="shared" si="65"/>
        <v>0</v>
      </c>
      <c r="V260" s="747">
        <f t="shared" si="66"/>
        <v>1361000</v>
      </c>
      <c r="W260" s="747">
        <f t="shared" si="67"/>
        <v>0</v>
      </c>
      <c r="X260" s="747">
        <f t="shared" si="69"/>
        <v>1361000</v>
      </c>
      <c r="Y260" s="687"/>
    </row>
    <row r="261" spans="1:25" s="660" customFormat="1">
      <c r="A261" s="778">
        <v>127</v>
      </c>
      <c r="B261" s="784" t="s">
        <v>1722</v>
      </c>
      <c r="C261" s="779" t="s">
        <v>777</v>
      </c>
      <c r="D261" s="780" t="s">
        <v>1723</v>
      </c>
      <c r="E261" s="747">
        <v>759000</v>
      </c>
      <c r="F261" s="747"/>
      <c r="G261" s="747"/>
      <c r="H261" s="747"/>
      <c r="I261" s="747"/>
      <c r="J261" s="747"/>
      <c r="K261" s="747"/>
      <c r="L261" s="747"/>
      <c r="M261" s="747"/>
      <c r="N261" s="747"/>
      <c r="O261" s="747"/>
      <c r="P261" s="747">
        <v>759000</v>
      </c>
      <c r="Q261" s="747">
        <f t="shared" si="68"/>
        <v>759000</v>
      </c>
      <c r="R261" s="747">
        <v>759000</v>
      </c>
      <c r="S261" s="747"/>
      <c r="T261" s="747"/>
      <c r="U261" s="747">
        <f t="shared" si="65"/>
        <v>0</v>
      </c>
      <c r="V261" s="747">
        <f t="shared" si="66"/>
        <v>759000</v>
      </c>
      <c r="W261" s="747">
        <f t="shared" si="67"/>
        <v>0</v>
      </c>
      <c r="X261" s="747">
        <f t="shared" si="69"/>
        <v>759000</v>
      </c>
      <c r="Y261" s="687"/>
    </row>
    <row r="262" spans="1:25" s="660" customFormat="1">
      <c r="A262" s="778">
        <v>128</v>
      </c>
      <c r="B262" s="784" t="s">
        <v>1724</v>
      </c>
      <c r="C262" s="779" t="s">
        <v>777</v>
      </c>
      <c r="D262" s="780" t="s">
        <v>1725</v>
      </c>
      <c r="E262" s="747">
        <v>550000</v>
      </c>
      <c r="F262" s="747"/>
      <c r="G262" s="747"/>
      <c r="H262" s="747"/>
      <c r="I262" s="747"/>
      <c r="J262" s="747"/>
      <c r="K262" s="747"/>
      <c r="L262" s="747"/>
      <c r="M262" s="747"/>
      <c r="N262" s="747"/>
      <c r="O262" s="747"/>
      <c r="P262" s="747">
        <v>550000</v>
      </c>
      <c r="Q262" s="747">
        <f t="shared" si="68"/>
        <v>550000</v>
      </c>
      <c r="R262" s="747">
        <v>550000</v>
      </c>
      <c r="S262" s="747"/>
      <c r="T262" s="747"/>
      <c r="U262" s="747">
        <f t="shared" si="65"/>
        <v>0</v>
      </c>
      <c r="V262" s="747">
        <f t="shared" si="66"/>
        <v>550000</v>
      </c>
      <c r="W262" s="747">
        <f t="shared" si="67"/>
        <v>0</v>
      </c>
      <c r="X262" s="747">
        <f t="shared" si="69"/>
        <v>550000</v>
      </c>
      <c r="Y262" s="687"/>
    </row>
    <row r="263" spans="1:25" s="660" customFormat="1">
      <c r="A263" s="778">
        <v>129</v>
      </c>
      <c r="B263" s="784" t="s">
        <v>1726</v>
      </c>
      <c r="C263" s="779" t="s">
        <v>777</v>
      </c>
      <c r="D263" s="780" t="s">
        <v>1727</v>
      </c>
      <c r="E263" s="747">
        <v>5845324000</v>
      </c>
      <c r="F263" s="747"/>
      <c r="G263" s="747"/>
      <c r="H263" s="747"/>
      <c r="I263" s="747"/>
      <c r="J263" s="747"/>
      <c r="K263" s="747"/>
      <c r="L263" s="747"/>
      <c r="M263" s="747"/>
      <c r="N263" s="747"/>
      <c r="O263" s="747"/>
      <c r="P263" s="747">
        <v>34759000</v>
      </c>
      <c r="Q263" s="747">
        <f t="shared" si="68"/>
        <v>34759000</v>
      </c>
      <c r="R263" s="747">
        <v>34759000</v>
      </c>
      <c r="S263" s="747"/>
      <c r="T263" s="747"/>
      <c r="U263" s="747">
        <f t="shared" si="65"/>
        <v>0</v>
      </c>
      <c r="V263" s="747">
        <f t="shared" si="66"/>
        <v>34759000</v>
      </c>
      <c r="W263" s="747">
        <f t="shared" si="67"/>
        <v>0</v>
      </c>
      <c r="X263" s="747">
        <f t="shared" si="69"/>
        <v>34759000</v>
      </c>
      <c r="Y263" s="687"/>
    </row>
    <row r="264" spans="1:25" s="660" customFormat="1">
      <c r="A264" s="778">
        <v>130</v>
      </c>
      <c r="B264" s="764" t="s">
        <v>1728</v>
      </c>
      <c r="C264" s="779" t="s">
        <v>777</v>
      </c>
      <c r="D264" s="780" t="s">
        <v>1729</v>
      </c>
      <c r="E264" s="747">
        <v>2029964000</v>
      </c>
      <c r="F264" s="747"/>
      <c r="G264" s="747"/>
      <c r="H264" s="747"/>
      <c r="I264" s="747"/>
      <c r="J264" s="747"/>
      <c r="K264" s="747"/>
      <c r="L264" s="747"/>
      <c r="M264" s="747"/>
      <c r="N264" s="747"/>
      <c r="O264" s="747"/>
      <c r="P264" s="747">
        <v>6370000</v>
      </c>
      <c r="Q264" s="747">
        <f t="shared" si="68"/>
        <v>6370000</v>
      </c>
      <c r="R264" s="747">
        <v>6370000</v>
      </c>
      <c r="S264" s="747"/>
      <c r="T264" s="747"/>
      <c r="U264" s="747">
        <f t="shared" si="65"/>
        <v>0</v>
      </c>
      <c r="V264" s="747">
        <f t="shared" si="66"/>
        <v>6370000</v>
      </c>
      <c r="W264" s="747">
        <f t="shared" si="67"/>
        <v>0</v>
      </c>
      <c r="X264" s="747">
        <f t="shared" si="69"/>
        <v>6370000</v>
      </c>
      <c r="Y264" s="687"/>
    </row>
    <row r="265" spans="1:25" s="660" customFormat="1" ht="22.5">
      <c r="A265" s="778">
        <v>131</v>
      </c>
      <c r="B265" s="764" t="s">
        <v>1730</v>
      </c>
      <c r="C265" s="779" t="s">
        <v>777</v>
      </c>
      <c r="D265" s="780" t="s">
        <v>1731</v>
      </c>
      <c r="E265" s="747">
        <v>2398248000</v>
      </c>
      <c r="F265" s="747"/>
      <c r="G265" s="747"/>
      <c r="H265" s="747"/>
      <c r="I265" s="747"/>
      <c r="J265" s="747"/>
      <c r="K265" s="747"/>
      <c r="L265" s="747"/>
      <c r="M265" s="747"/>
      <c r="N265" s="747"/>
      <c r="O265" s="747"/>
      <c r="P265" s="747">
        <v>16049000</v>
      </c>
      <c r="Q265" s="747">
        <f t="shared" si="68"/>
        <v>16049000</v>
      </c>
      <c r="R265" s="747">
        <v>16049000</v>
      </c>
      <c r="S265" s="747"/>
      <c r="T265" s="747"/>
      <c r="U265" s="747">
        <f t="shared" si="65"/>
        <v>0</v>
      </c>
      <c r="V265" s="747">
        <f t="shared" si="66"/>
        <v>16049000</v>
      </c>
      <c r="W265" s="747">
        <f t="shared" si="67"/>
        <v>0</v>
      </c>
      <c r="X265" s="747">
        <f t="shared" si="69"/>
        <v>16049000</v>
      </c>
      <c r="Y265" s="687"/>
    </row>
    <row r="266" spans="1:25" s="660" customFormat="1" ht="22.5">
      <c r="A266" s="778">
        <v>132</v>
      </c>
      <c r="B266" s="764" t="s">
        <v>1732</v>
      </c>
      <c r="C266" s="779" t="s">
        <v>777</v>
      </c>
      <c r="D266" s="780" t="s">
        <v>1733</v>
      </c>
      <c r="E266" s="747">
        <v>1597508000</v>
      </c>
      <c r="F266" s="747"/>
      <c r="G266" s="747"/>
      <c r="H266" s="747"/>
      <c r="I266" s="747"/>
      <c r="J266" s="747"/>
      <c r="K266" s="747"/>
      <c r="L266" s="747"/>
      <c r="M266" s="747"/>
      <c r="N266" s="747"/>
      <c r="O266" s="747"/>
      <c r="P266" s="747">
        <v>1714000</v>
      </c>
      <c r="Q266" s="747">
        <f t="shared" si="68"/>
        <v>1714000</v>
      </c>
      <c r="R266" s="747">
        <v>1714000</v>
      </c>
      <c r="S266" s="747"/>
      <c r="T266" s="747"/>
      <c r="U266" s="747">
        <f t="shared" si="65"/>
        <v>0</v>
      </c>
      <c r="V266" s="747">
        <f t="shared" si="66"/>
        <v>1714000</v>
      </c>
      <c r="W266" s="747">
        <f t="shared" si="67"/>
        <v>0</v>
      </c>
      <c r="X266" s="747">
        <f t="shared" si="69"/>
        <v>1714000</v>
      </c>
      <c r="Y266" s="687"/>
    </row>
    <row r="267" spans="1:25" s="660" customFormat="1">
      <c r="A267" s="778">
        <v>133</v>
      </c>
      <c r="B267" s="764" t="s">
        <v>1734</v>
      </c>
      <c r="C267" s="779" t="s">
        <v>777</v>
      </c>
      <c r="D267" s="780" t="s">
        <v>1735</v>
      </c>
      <c r="E267" s="747">
        <v>623276000</v>
      </c>
      <c r="F267" s="747"/>
      <c r="G267" s="747"/>
      <c r="H267" s="747"/>
      <c r="I267" s="747"/>
      <c r="J267" s="747"/>
      <c r="K267" s="747"/>
      <c r="L267" s="747"/>
      <c r="M267" s="747"/>
      <c r="N267" s="747"/>
      <c r="O267" s="747"/>
      <c r="P267" s="747">
        <v>2368000</v>
      </c>
      <c r="Q267" s="747">
        <f t="shared" si="68"/>
        <v>2368000</v>
      </c>
      <c r="R267" s="747">
        <v>2368000</v>
      </c>
      <c r="S267" s="747"/>
      <c r="T267" s="747"/>
      <c r="U267" s="747">
        <f t="shared" si="65"/>
        <v>0</v>
      </c>
      <c r="V267" s="747">
        <f t="shared" si="66"/>
        <v>2368000</v>
      </c>
      <c r="W267" s="747">
        <f t="shared" si="67"/>
        <v>0</v>
      </c>
      <c r="X267" s="747">
        <f t="shared" si="69"/>
        <v>2368000</v>
      </c>
      <c r="Y267" s="687"/>
    </row>
    <row r="268" spans="1:25" s="660" customFormat="1">
      <c r="A268" s="778">
        <v>134</v>
      </c>
      <c r="B268" s="764" t="s">
        <v>1736</v>
      </c>
      <c r="C268" s="779" t="s">
        <v>777</v>
      </c>
      <c r="D268" s="780" t="s">
        <v>1737</v>
      </c>
      <c r="E268" s="747">
        <v>861421000</v>
      </c>
      <c r="F268" s="747"/>
      <c r="G268" s="747"/>
      <c r="H268" s="747"/>
      <c r="I268" s="747"/>
      <c r="J268" s="747"/>
      <c r="K268" s="747"/>
      <c r="L268" s="747"/>
      <c r="M268" s="747"/>
      <c r="N268" s="747"/>
      <c r="O268" s="747"/>
      <c r="P268" s="747">
        <v>13448000</v>
      </c>
      <c r="Q268" s="747">
        <f t="shared" si="68"/>
        <v>13448000</v>
      </c>
      <c r="R268" s="747">
        <v>13448000</v>
      </c>
      <c r="S268" s="747"/>
      <c r="T268" s="747"/>
      <c r="U268" s="747">
        <f t="shared" si="65"/>
        <v>0</v>
      </c>
      <c r="V268" s="747">
        <f t="shared" si="66"/>
        <v>13448000</v>
      </c>
      <c r="W268" s="747">
        <f t="shared" si="67"/>
        <v>0</v>
      </c>
      <c r="X268" s="747">
        <f t="shared" si="69"/>
        <v>13448000</v>
      </c>
      <c r="Y268" s="687"/>
    </row>
    <row r="269" spans="1:25" s="660" customFormat="1">
      <c r="A269" s="778">
        <v>135</v>
      </c>
      <c r="B269" s="764" t="s">
        <v>1738</v>
      </c>
      <c r="C269" s="779" t="s">
        <v>777</v>
      </c>
      <c r="D269" s="780" t="s">
        <v>1739</v>
      </c>
      <c r="E269" s="747">
        <v>780968000</v>
      </c>
      <c r="F269" s="747"/>
      <c r="G269" s="747"/>
      <c r="H269" s="747"/>
      <c r="I269" s="747"/>
      <c r="J269" s="747"/>
      <c r="K269" s="747"/>
      <c r="L269" s="747"/>
      <c r="M269" s="747"/>
      <c r="N269" s="747"/>
      <c r="O269" s="747"/>
      <c r="P269" s="747">
        <v>2968000</v>
      </c>
      <c r="Q269" s="747">
        <f t="shared" si="68"/>
        <v>2968000</v>
      </c>
      <c r="R269" s="747">
        <v>2968000</v>
      </c>
      <c r="S269" s="747"/>
      <c r="T269" s="747"/>
      <c r="U269" s="747">
        <f t="shared" si="65"/>
        <v>0</v>
      </c>
      <c r="V269" s="747">
        <f t="shared" si="66"/>
        <v>2968000</v>
      </c>
      <c r="W269" s="747">
        <f t="shared" si="67"/>
        <v>0</v>
      </c>
      <c r="X269" s="747">
        <f t="shared" si="69"/>
        <v>2968000</v>
      </c>
      <c r="Y269" s="687"/>
    </row>
    <row r="270" spans="1:25" s="660" customFormat="1">
      <c r="A270" s="778">
        <v>136</v>
      </c>
      <c r="B270" s="764" t="s">
        <v>1740</v>
      </c>
      <c r="C270" s="779" t="s">
        <v>777</v>
      </c>
      <c r="D270" s="780" t="s">
        <v>1741</v>
      </c>
      <c r="E270" s="747">
        <v>716944870</v>
      </c>
      <c r="F270" s="747"/>
      <c r="G270" s="747"/>
      <c r="H270" s="747"/>
      <c r="I270" s="747"/>
      <c r="J270" s="747"/>
      <c r="K270" s="747"/>
      <c r="L270" s="747"/>
      <c r="M270" s="747"/>
      <c r="N270" s="747"/>
      <c r="O270" s="747"/>
      <c r="P270" s="747">
        <v>3439000</v>
      </c>
      <c r="Q270" s="747">
        <f t="shared" si="68"/>
        <v>3439000</v>
      </c>
      <c r="R270" s="747">
        <v>3439000</v>
      </c>
      <c r="S270" s="747"/>
      <c r="T270" s="747"/>
      <c r="U270" s="747">
        <f t="shared" si="65"/>
        <v>0</v>
      </c>
      <c r="V270" s="747">
        <f t="shared" si="66"/>
        <v>3439000</v>
      </c>
      <c r="W270" s="747">
        <f t="shared" si="67"/>
        <v>0</v>
      </c>
      <c r="X270" s="747">
        <f t="shared" si="69"/>
        <v>3439000</v>
      </c>
      <c r="Y270" s="687"/>
    </row>
    <row r="271" spans="1:25" s="660" customFormat="1">
      <c r="A271" s="778">
        <v>137</v>
      </c>
      <c r="B271" s="764" t="s">
        <v>1742</v>
      </c>
      <c r="C271" s="779" t="s">
        <v>777</v>
      </c>
      <c r="D271" s="780" t="s">
        <v>1743</v>
      </c>
      <c r="E271" s="747">
        <v>2078406000</v>
      </c>
      <c r="F271" s="747"/>
      <c r="G271" s="747"/>
      <c r="H271" s="747"/>
      <c r="I271" s="747"/>
      <c r="J271" s="747"/>
      <c r="K271" s="747"/>
      <c r="L271" s="747"/>
      <c r="M271" s="747"/>
      <c r="N271" s="747"/>
      <c r="O271" s="747"/>
      <c r="P271" s="747">
        <v>6076000</v>
      </c>
      <c r="Q271" s="747">
        <f t="shared" si="68"/>
        <v>6075943</v>
      </c>
      <c r="R271" s="747">
        <v>6075943</v>
      </c>
      <c r="S271" s="747"/>
      <c r="T271" s="747"/>
      <c r="U271" s="747">
        <f t="shared" si="65"/>
        <v>57</v>
      </c>
      <c r="V271" s="747">
        <f t="shared" si="66"/>
        <v>6075943</v>
      </c>
      <c r="W271" s="747">
        <f t="shared" si="67"/>
        <v>0</v>
      </c>
      <c r="X271" s="747">
        <f t="shared" si="69"/>
        <v>6075943</v>
      </c>
      <c r="Y271" s="687"/>
    </row>
    <row r="272" spans="1:25" s="660" customFormat="1">
      <c r="A272" s="778">
        <v>138</v>
      </c>
      <c r="B272" s="764" t="s">
        <v>1744</v>
      </c>
      <c r="C272" s="779" t="s">
        <v>777</v>
      </c>
      <c r="D272" s="780" t="s">
        <v>1745</v>
      </c>
      <c r="E272" s="747">
        <v>1499189000</v>
      </c>
      <c r="F272" s="747"/>
      <c r="G272" s="747"/>
      <c r="H272" s="747"/>
      <c r="I272" s="747"/>
      <c r="J272" s="747"/>
      <c r="K272" s="747"/>
      <c r="L272" s="747"/>
      <c r="M272" s="747"/>
      <c r="N272" s="747"/>
      <c r="O272" s="747"/>
      <c r="P272" s="747">
        <v>25719000</v>
      </c>
      <c r="Q272" s="747">
        <f t="shared" si="68"/>
        <v>25718918</v>
      </c>
      <c r="R272" s="747">
        <v>25718918</v>
      </c>
      <c r="S272" s="747"/>
      <c r="T272" s="747"/>
      <c r="U272" s="747">
        <f t="shared" ref="U272:U335" si="70">P272-Q272-T272</f>
        <v>82</v>
      </c>
      <c r="V272" s="747">
        <f t="shared" ref="V272:V335" si="71">I272+L272+R272</f>
        <v>25718918</v>
      </c>
      <c r="W272" s="747">
        <f t="shared" ref="W272:W335" si="72">G272-H272-I272+M272+S272</f>
        <v>0</v>
      </c>
      <c r="X272" s="747">
        <f t="shared" si="69"/>
        <v>25718918</v>
      </c>
      <c r="Y272" s="687"/>
    </row>
    <row r="273" spans="1:25" s="660" customFormat="1">
      <c r="A273" s="778">
        <v>139</v>
      </c>
      <c r="B273" s="764" t="s">
        <v>1746</v>
      </c>
      <c r="C273" s="779" t="s">
        <v>777</v>
      </c>
      <c r="D273" s="780" t="s">
        <v>1747</v>
      </c>
      <c r="E273" s="747">
        <v>2196309000</v>
      </c>
      <c r="F273" s="747"/>
      <c r="G273" s="747"/>
      <c r="H273" s="747"/>
      <c r="I273" s="747"/>
      <c r="J273" s="747"/>
      <c r="K273" s="747"/>
      <c r="L273" s="747"/>
      <c r="M273" s="747"/>
      <c r="N273" s="747"/>
      <c r="O273" s="747"/>
      <c r="P273" s="747">
        <v>4859000</v>
      </c>
      <c r="Q273" s="747">
        <f t="shared" ref="Q273:Q336" si="73">R273+S273</f>
        <v>4859000</v>
      </c>
      <c r="R273" s="747">
        <v>4859000</v>
      </c>
      <c r="S273" s="747"/>
      <c r="T273" s="747"/>
      <c r="U273" s="747">
        <f t="shared" si="70"/>
        <v>0</v>
      </c>
      <c r="V273" s="747">
        <f t="shared" si="71"/>
        <v>4859000</v>
      </c>
      <c r="W273" s="747">
        <f t="shared" si="72"/>
        <v>0</v>
      </c>
      <c r="X273" s="747">
        <f t="shared" ref="X273:X336" si="74">F273+K273+Q273</f>
        <v>4859000</v>
      </c>
      <c r="Y273" s="687"/>
    </row>
    <row r="274" spans="1:25" s="660" customFormat="1">
      <c r="A274" s="778">
        <v>140</v>
      </c>
      <c r="B274" s="764" t="s">
        <v>1748</v>
      </c>
      <c r="C274" s="779" t="s">
        <v>777</v>
      </c>
      <c r="D274" s="780" t="s">
        <v>1749</v>
      </c>
      <c r="E274" s="747">
        <v>2425389000</v>
      </c>
      <c r="F274" s="747"/>
      <c r="G274" s="747"/>
      <c r="H274" s="747"/>
      <c r="I274" s="747"/>
      <c r="J274" s="747"/>
      <c r="K274" s="747"/>
      <c r="L274" s="747"/>
      <c r="M274" s="747"/>
      <c r="N274" s="747"/>
      <c r="O274" s="747"/>
      <c r="P274" s="747">
        <v>9216000</v>
      </c>
      <c r="Q274" s="747">
        <f t="shared" si="73"/>
        <v>9216000</v>
      </c>
      <c r="R274" s="747">
        <v>9216000</v>
      </c>
      <c r="S274" s="747"/>
      <c r="T274" s="747"/>
      <c r="U274" s="747">
        <f t="shared" si="70"/>
        <v>0</v>
      </c>
      <c r="V274" s="747">
        <f t="shared" si="71"/>
        <v>9216000</v>
      </c>
      <c r="W274" s="747">
        <f t="shared" si="72"/>
        <v>0</v>
      </c>
      <c r="X274" s="747">
        <f t="shared" si="74"/>
        <v>9216000</v>
      </c>
      <c r="Y274" s="687"/>
    </row>
    <row r="275" spans="1:25" s="660" customFormat="1">
      <c r="A275" s="778">
        <v>141</v>
      </c>
      <c r="B275" s="764" t="s">
        <v>1750</v>
      </c>
      <c r="C275" s="779" t="s">
        <v>777</v>
      </c>
      <c r="D275" s="780" t="s">
        <v>1751</v>
      </c>
      <c r="E275" s="747">
        <v>2114381000</v>
      </c>
      <c r="F275" s="747"/>
      <c r="G275" s="747"/>
      <c r="H275" s="747"/>
      <c r="I275" s="747"/>
      <c r="J275" s="747"/>
      <c r="K275" s="747"/>
      <c r="L275" s="747"/>
      <c r="M275" s="747"/>
      <c r="N275" s="747"/>
      <c r="O275" s="747"/>
      <c r="P275" s="747">
        <v>8035000</v>
      </c>
      <c r="Q275" s="747">
        <f t="shared" si="73"/>
        <v>8034648</v>
      </c>
      <c r="R275" s="747">
        <v>8034648</v>
      </c>
      <c r="S275" s="747"/>
      <c r="T275" s="747"/>
      <c r="U275" s="747">
        <f t="shared" si="70"/>
        <v>352</v>
      </c>
      <c r="V275" s="747">
        <f t="shared" si="71"/>
        <v>8034648</v>
      </c>
      <c r="W275" s="747">
        <f t="shared" si="72"/>
        <v>0</v>
      </c>
      <c r="X275" s="747">
        <f t="shared" si="74"/>
        <v>8034648</v>
      </c>
      <c r="Y275" s="687"/>
    </row>
    <row r="276" spans="1:25" s="660" customFormat="1" ht="22.5">
      <c r="A276" s="778">
        <v>142</v>
      </c>
      <c r="B276" s="764" t="s">
        <v>1752</v>
      </c>
      <c r="C276" s="779" t="s">
        <v>777</v>
      </c>
      <c r="D276" s="780" t="s">
        <v>1753</v>
      </c>
      <c r="E276" s="747">
        <v>366306000</v>
      </c>
      <c r="F276" s="747"/>
      <c r="G276" s="747"/>
      <c r="H276" s="747"/>
      <c r="I276" s="747"/>
      <c r="J276" s="747"/>
      <c r="K276" s="747"/>
      <c r="L276" s="747"/>
      <c r="M276" s="747"/>
      <c r="N276" s="747"/>
      <c r="O276" s="747"/>
      <c r="P276" s="747">
        <v>13092000</v>
      </c>
      <c r="Q276" s="747">
        <f t="shared" si="73"/>
        <v>13092000</v>
      </c>
      <c r="R276" s="747">
        <v>13092000</v>
      </c>
      <c r="S276" s="747"/>
      <c r="T276" s="747"/>
      <c r="U276" s="747">
        <f t="shared" si="70"/>
        <v>0</v>
      </c>
      <c r="V276" s="747">
        <f t="shared" si="71"/>
        <v>13092000</v>
      </c>
      <c r="W276" s="747">
        <f t="shared" si="72"/>
        <v>0</v>
      </c>
      <c r="X276" s="747">
        <f t="shared" si="74"/>
        <v>13092000</v>
      </c>
      <c r="Y276" s="687"/>
    </row>
    <row r="277" spans="1:25" s="660" customFormat="1" ht="22.5">
      <c r="A277" s="778">
        <v>143</v>
      </c>
      <c r="B277" s="764" t="s">
        <v>1754</v>
      </c>
      <c r="C277" s="779" t="s">
        <v>777</v>
      </c>
      <c r="D277" s="780" t="s">
        <v>1755</v>
      </c>
      <c r="E277" s="747">
        <v>442382000</v>
      </c>
      <c r="F277" s="747"/>
      <c r="G277" s="747"/>
      <c r="H277" s="747"/>
      <c r="I277" s="747"/>
      <c r="J277" s="747"/>
      <c r="K277" s="747"/>
      <c r="L277" s="747"/>
      <c r="M277" s="747"/>
      <c r="N277" s="747"/>
      <c r="O277" s="747"/>
      <c r="P277" s="747">
        <v>10248000</v>
      </c>
      <c r="Q277" s="747">
        <f t="shared" si="73"/>
        <v>10248000</v>
      </c>
      <c r="R277" s="747">
        <v>10248000</v>
      </c>
      <c r="S277" s="747"/>
      <c r="T277" s="747"/>
      <c r="U277" s="747">
        <f t="shared" si="70"/>
        <v>0</v>
      </c>
      <c r="V277" s="747">
        <f t="shared" si="71"/>
        <v>10248000</v>
      </c>
      <c r="W277" s="747">
        <f t="shared" si="72"/>
        <v>0</v>
      </c>
      <c r="X277" s="747">
        <f t="shared" si="74"/>
        <v>10248000</v>
      </c>
      <c r="Y277" s="687"/>
    </row>
    <row r="278" spans="1:25" s="660" customFormat="1" ht="22.5">
      <c r="A278" s="778">
        <v>144</v>
      </c>
      <c r="B278" s="764" t="s">
        <v>1756</v>
      </c>
      <c r="C278" s="779" t="s">
        <v>777</v>
      </c>
      <c r="D278" s="780" t="s">
        <v>1757</v>
      </c>
      <c r="E278" s="747">
        <v>889233000</v>
      </c>
      <c r="F278" s="747"/>
      <c r="G278" s="747"/>
      <c r="H278" s="747"/>
      <c r="I278" s="747"/>
      <c r="J278" s="747"/>
      <c r="K278" s="747"/>
      <c r="L278" s="747"/>
      <c r="M278" s="747"/>
      <c r="N278" s="747"/>
      <c r="O278" s="747"/>
      <c r="P278" s="747">
        <v>23251000</v>
      </c>
      <c r="Q278" s="747">
        <f t="shared" si="73"/>
        <v>23251000</v>
      </c>
      <c r="R278" s="747">
        <v>23251000</v>
      </c>
      <c r="S278" s="747"/>
      <c r="T278" s="747"/>
      <c r="U278" s="747">
        <f t="shared" si="70"/>
        <v>0</v>
      </c>
      <c r="V278" s="747">
        <f t="shared" si="71"/>
        <v>23251000</v>
      </c>
      <c r="W278" s="747">
        <f t="shared" si="72"/>
        <v>0</v>
      </c>
      <c r="X278" s="747">
        <f t="shared" si="74"/>
        <v>23251000</v>
      </c>
      <c r="Y278" s="687"/>
    </row>
    <row r="279" spans="1:25" s="660" customFormat="1" ht="22.5">
      <c r="A279" s="778">
        <v>145</v>
      </c>
      <c r="B279" s="764" t="s">
        <v>1758</v>
      </c>
      <c r="C279" s="779" t="s">
        <v>777</v>
      </c>
      <c r="D279" s="780" t="s">
        <v>1759</v>
      </c>
      <c r="E279" s="747">
        <v>765031000</v>
      </c>
      <c r="F279" s="747"/>
      <c r="G279" s="747"/>
      <c r="H279" s="747"/>
      <c r="I279" s="747"/>
      <c r="J279" s="747"/>
      <c r="K279" s="747"/>
      <c r="L279" s="747"/>
      <c r="M279" s="747"/>
      <c r="N279" s="747"/>
      <c r="O279" s="747"/>
      <c r="P279" s="747">
        <v>6274000</v>
      </c>
      <c r="Q279" s="747">
        <f t="shared" si="73"/>
        <v>6274000</v>
      </c>
      <c r="R279" s="747">
        <v>6274000</v>
      </c>
      <c r="S279" s="747"/>
      <c r="T279" s="747"/>
      <c r="U279" s="747">
        <f t="shared" si="70"/>
        <v>0</v>
      </c>
      <c r="V279" s="747">
        <f t="shared" si="71"/>
        <v>6274000</v>
      </c>
      <c r="W279" s="747">
        <f t="shared" si="72"/>
        <v>0</v>
      </c>
      <c r="X279" s="747">
        <f t="shared" si="74"/>
        <v>6274000</v>
      </c>
      <c r="Y279" s="687"/>
    </row>
    <row r="280" spans="1:25" s="660" customFormat="1" ht="22.5">
      <c r="A280" s="778">
        <v>146</v>
      </c>
      <c r="B280" s="764" t="s">
        <v>1760</v>
      </c>
      <c r="C280" s="779" t="s">
        <v>777</v>
      </c>
      <c r="D280" s="780" t="s">
        <v>1761</v>
      </c>
      <c r="E280" s="747">
        <v>848627000</v>
      </c>
      <c r="F280" s="747"/>
      <c r="G280" s="747"/>
      <c r="H280" s="747"/>
      <c r="I280" s="747"/>
      <c r="J280" s="747"/>
      <c r="K280" s="747"/>
      <c r="L280" s="747"/>
      <c r="M280" s="747"/>
      <c r="N280" s="747"/>
      <c r="O280" s="747"/>
      <c r="P280" s="747">
        <v>3219000</v>
      </c>
      <c r="Q280" s="747">
        <f t="shared" si="73"/>
        <v>3219000</v>
      </c>
      <c r="R280" s="747">
        <v>3219000</v>
      </c>
      <c r="S280" s="747"/>
      <c r="T280" s="747"/>
      <c r="U280" s="747">
        <f t="shared" si="70"/>
        <v>0</v>
      </c>
      <c r="V280" s="747">
        <f t="shared" si="71"/>
        <v>3219000</v>
      </c>
      <c r="W280" s="747">
        <f t="shared" si="72"/>
        <v>0</v>
      </c>
      <c r="X280" s="747">
        <f t="shared" si="74"/>
        <v>3219000</v>
      </c>
      <c r="Y280" s="687"/>
    </row>
    <row r="281" spans="1:25" s="660" customFormat="1">
      <c r="A281" s="778">
        <v>147</v>
      </c>
      <c r="B281" s="764" t="s">
        <v>1762</v>
      </c>
      <c r="C281" s="779" t="s">
        <v>777</v>
      </c>
      <c r="D281" s="780" t="s">
        <v>1763</v>
      </c>
      <c r="E281" s="747">
        <v>897316000</v>
      </c>
      <c r="F281" s="747"/>
      <c r="G281" s="747"/>
      <c r="H281" s="747"/>
      <c r="I281" s="747"/>
      <c r="J281" s="747"/>
      <c r="K281" s="747"/>
      <c r="L281" s="747"/>
      <c r="M281" s="747"/>
      <c r="N281" s="747"/>
      <c r="O281" s="747"/>
      <c r="P281" s="747">
        <v>3409000</v>
      </c>
      <c r="Q281" s="747">
        <f t="shared" si="73"/>
        <v>3409000</v>
      </c>
      <c r="R281" s="747">
        <v>3409000</v>
      </c>
      <c r="S281" s="747"/>
      <c r="T281" s="747"/>
      <c r="U281" s="747">
        <f t="shared" si="70"/>
        <v>0</v>
      </c>
      <c r="V281" s="747">
        <f t="shared" si="71"/>
        <v>3409000</v>
      </c>
      <c r="W281" s="747">
        <f t="shared" si="72"/>
        <v>0</v>
      </c>
      <c r="X281" s="747">
        <f t="shared" si="74"/>
        <v>3409000</v>
      </c>
      <c r="Y281" s="687"/>
    </row>
    <row r="282" spans="1:25" s="660" customFormat="1">
      <c r="A282" s="778">
        <v>148</v>
      </c>
      <c r="B282" s="764" t="s">
        <v>1764</v>
      </c>
      <c r="C282" s="779" t="s">
        <v>777</v>
      </c>
      <c r="D282" s="780" t="s">
        <v>1765</v>
      </c>
      <c r="E282" s="747">
        <v>811430000</v>
      </c>
      <c r="F282" s="747"/>
      <c r="G282" s="747"/>
      <c r="H282" s="747"/>
      <c r="I282" s="747"/>
      <c r="J282" s="747"/>
      <c r="K282" s="747"/>
      <c r="L282" s="747"/>
      <c r="M282" s="747"/>
      <c r="N282" s="747"/>
      <c r="O282" s="747"/>
      <c r="P282" s="747">
        <v>3083000</v>
      </c>
      <c r="Q282" s="747">
        <f t="shared" si="73"/>
        <v>3083000</v>
      </c>
      <c r="R282" s="747">
        <v>3083000</v>
      </c>
      <c r="S282" s="747"/>
      <c r="T282" s="747"/>
      <c r="U282" s="747">
        <f t="shared" si="70"/>
        <v>0</v>
      </c>
      <c r="V282" s="747">
        <f t="shared" si="71"/>
        <v>3083000</v>
      </c>
      <c r="W282" s="747">
        <f t="shared" si="72"/>
        <v>0</v>
      </c>
      <c r="X282" s="747">
        <f t="shared" si="74"/>
        <v>3083000</v>
      </c>
      <c r="Y282" s="687"/>
    </row>
    <row r="283" spans="1:25" s="660" customFormat="1" ht="22.5">
      <c r="A283" s="778">
        <v>149</v>
      </c>
      <c r="B283" s="764" t="s">
        <v>1766</v>
      </c>
      <c r="C283" s="779" t="s">
        <v>777</v>
      </c>
      <c r="D283" s="780" t="s">
        <v>1767</v>
      </c>
      <c r="E283" s="747">
        <v>341195000</v>
      </c>
      <c r="F283" s="747"/>
      <c r="G283" s="747"/>
      <c r="H283" s="747"/>
      <c r="I283" s="747"/>
      <c r="J283" s="747"/>
      <c r="K283" s="747"/>
      <c r="L283" s="747"/>
      <c r="M283" s="747"/>
      <c r="N283" s="747"/>
      <c r="O283" s="747"/>
      <c r="P283" s="747">
        <v>21248000</v>
      </c>
      <c r="Q283" s="747">
        <f t="shared" si="73"/>
        <v>21248000</v>
      </c>
      <c r="R283" s="747">
        <v>21248000</v>
      </c>
      <c r="S283" s="747"/>
      <c r="T283" s="747"/>
      <c r="U283" s="747">
        <f t="shared" si="70"/>
        <v>0</v>
      </c>
      <c r="V283" s="747">
        <f t="shared" si="71"/>
        <v>21248000</v>
      </c>
      <c r="W283" s="747">
        <f t="shared" si="72"/>
        <v>0</v>
      </c>
      <c r="X283" s="747">
        <f t="shared" si="74"/>
        <v>21248000</v>
      </c>
      <c r="Y283" s="687"/>
    </row>
    <row r="284" spans="1:25" s="660" customFormat="1">
      <c r="A284" s="778">
        <v>150</v>
      </c>
      <c r="B284" s="764" t="s">
        <v>1768</v>
      </c>
      <c r="C284" s="779" t="s">
        <v>777</v>
      </c>
      <c r="D284" s="780" t="s">
        <v>1769</v>
      </c>
      <c r="E284" s="747">
        <v>1000261000</v>
      </c>
      <c r="F284" s="747"/>
      <c r="G284" s="747"/>
      <c r="H284" s="747"/>
      <c r="I284" s="747"/>
      <c r="J284" s="747"/>
      <c r="K284" s="747"/>
      <c r="L284" s="747"/>
      <c r="M284" s="747"/>
      <c r="N284" s="747"/>
      <c r="O284" s="747"/>
      <c r="P284" s="747">
        <v>9933000</v>
      </c>
      <c r="Q284" s="747">
        <f t="shared" si="73"/>
        <v>9933000</v>
      </c>
      <c r="R284" s="747">
        <v>9933000</v>
      </c>
      <c r="S284" s="747"/>
      <c r="T284" s="747"/>
      <c r="U284" s="747">
        <f t="shared" si="70"/>
        <v>0</v>
      </c>
      <c r="V284" s="747">
        <f t="shared" si="71"/>
        <v>9933000</v>
      </c>
      <c r="W284" s="747">
        <f t="shared" si="72"/>
        <v>0</v>
      </c>
      <c r="X284" s="747">
        <f t="shared" si="74"/>
        <v>9933000</v>
      </c>
      <c r="Y284" s="687"/>
    </row>
    <row r="285" spans="1:25" s="660" customFormat="1">
      <c r="A285" s="778">
        <v>151</v>
      </c>
      <c r="B285" s="764" t="s">
        <v>1770</v>
      </c>
      <c r="C285" s="779" t="s">
        <v>777</v>
      </c>
      <c r="D285" s="780" t="s">
        <v>1771</v>
      </c>
      <c r="E285" s="747">
        <v>890907000</v>
      </c>
      <c r="F285" s="747"/>
      <c r="G285" s="747"/>
      <c r="H285" s="747"/>
      <c r="I285" s="747"/>
      <c r="J285" s="747"/>
      <c r="K285" s="747"/>
      <c r="L285" s="747"/>
      <c r="M285" s="747"/>
      <c r="N285" s="747"/>
      <c r="O285" s="747"/>
      <c r="P285" s="747">
        <v>21335000</v>
      </c>
      <c r="Q285" s="747">
        <f t="shared" si="73"/>
        <v>21335000</v>
      </c>
      <c r="R285" s="747">
        <v>21335000</v>
      </c>
      <c r="S285" s="747"/>
      <c r="T285" s="747"/>
      <c r="U285" s="747">
        <f t="shared" si="70"/>
        <v>0</v>
      </c>
      <c r="V285" s="747">
        <f t="shared" si="71"/>
        <v>21335000</v>
      </c>
      <c r="W285" s="747">
        <f t="shared" si="72"/>
        <v>0</v>
      </c>
      <c r="X285" s="747">
        <f t="shared" si="74"/>
        <v>21335000</v>
      </c>
      <c r="Y285" s="687"/>
    </row>
    <row r="286" spans="1:25" s="660" customFormat="1">
      <c r="A286" s="778">
        <v>152</v>
      </c>
      <c r="B286" s="764" t="s">
        <v>1772</v>
      </c>
      <c r="C286" s="779" t="s">
        <v>777</v>
      </c>
      <c r="D286" s="780" t="s">
        <v>1773</v>
      </c>
      <c r="E286" s="747">
        <v>934697811</v>
      </c>
      <c r="F286" s="747"/>
      <c r="G286" s="747"/>
      <c r="H286" s="747"/>
      <c r="I286" s="747"/>
      <c r="J286" s="747"/>
      <c r="K286" s="747"/>
      <c r="L286" s="747"/>
      <c r="M286" s="747"/>
      <c r="N286" s="747"/>
      <c r="O286" s="747"/>
      <c r="P286" s="747">
        <v>9432000</v>
      </c>
      <c r="Q286" s="747">
        <f t="shared" si="73"/>
        <v>9432000</v>
      </c>
      <c r="R286" s="747">
        <v>9432000</v>
      </c>
      <c r="S286" s="747"/>
      <c r="T286" s="747"/>
      <c r="U286" s="747">
        <f t="shared" si="70"/>
        <v>0</v>
      </c>
      <c r="V286" s="747">
        <f t="shared" si="71"/>
        <v>9432000</v>
      </c>
      <c r="W286" s="747">
        <f t="shared" si="72"/>
        <v>0</v>
      </c>
      <c r="X286" s="747">
        <f t="shared" si="74"/>
        <v>9432000</v>
      </c>
      <c r="Y286" s="687"/>
    </row>
    <row r="287" spans="1:25" s="660" customFormat="1">
      <c r="A287" s="778">
        <v>153</v>
      </c>
      <c r="B287" s="764" t="s">
        <v>1774</v>
      </c>
      <c r="C287" s="779" t="s">
        <v>777</v>
      </c>
      <c r="D287" s="780" t="s">
        <v>1775</v>
      </c>
      <c r="E287" s="747">
        <v>1784379000</v>
      </c>
      <c r="F287" s="747"/>
      <c r="G287" s="747"/>
      <c r="H287" s="747"/>
      <c r="I287" s="747"/>
      <c r="J287" s="747"/>
      <c r="K287" s="747"/>
      <c r="L287" s="747"/>
      <c r="M287" s="747"/>
      <c r="N287" s="747"/>
      <c r="O287" s="747"/>
      <c r="P287" s="747">
        <v>11015000</v>
      </c>
      <c r="Q287" s="747">
        <f t="shared" si="73"/>
        <v>11015000</v>
      </c>
      <c r="R287" s="747">
        <v>11015000</v>
      </c>
      <c r="S287" s="747"/>
      <c r="T287" s="747"/>
      <c r="U287" s="747">
        <f t="shared" si="70"/>
        <v>0</v>
      </c>
      <c r="V287" s="747">
        <f t="shared" si="71"/>
        <v>11015000</v>
      </c>
      <c r="W287" s="747">
        <f t="shared" si="72"/>
        <v>0</v>
      </c>
      <c r="X287" s="747">
        <f t="shared" si="74"/>
        <v>11015000</v>
      </c>
      <c r="Y287" s="687"/>
    </row>
    <row r="288" spans="1:25" s="660" customFormat="1">
      <c r="A288" s="778">
        <v>154</v>
      </c>
      <c r="B288" s="764" t="s">
        <v>1776</v>
      </c>
      <c r="C288" s="779" t="s">
        <v>777</v>
      </c>
      <c r="D288" s="780" t="s">
        <v>1777</v>
      </c>
      <c r="E288" s="747">
        <v>1072034000</v>
      </c>
      <c r="F288" s="747"/>
      <c r="G288" s="747"/>
      <c r="H288" s="747"/>
      <c r="I288" s="747"/>
      <c r="J288" s="747"/>
      <c r="K288" s="747"/>
      <c r="L288" s="747"/>
      <c r="M288" s="747"/>
      <c r="N288" s="747"/>
      <c r="O288" s="747"/>
      <c r="P288" s="747">
        <v>4074000</v>
      </c>
      <c r="Q288" s="747">
        <f t="shared" si="73"/>
        <v>4074000</v>
      </c>
      <c r="R288" s="747">
        <v>4074000</v>
      </c>
      <c r="S288" s="747"/>
      <c r="T288" s="747"/>
      <c r="U288" s="747">
        <f t="shared" si="70"/>
        <v>0</v>
      </c>
      <c r="V288" s="747">
        <f t="shared" si="71"/>
        <v>4074000</v>
      </c>
      <c r="W288" s="747">
        <f t="shared" si="72"/>
        <v>0</v>
      </c>
      <c r="X288" s="747">
        <f t="shared" si="74"/>
        <v>4074000</v>
      </c>
      <c r="Y288" s="687"/>
    </row>
    <row r="289" spans="1:25" s="660" customFormat="1">
      <c r="A289" s="778">
        <v>155</v>
      </c>
      <c r="B289" s="764" t="s">
        <v>1778</v>
      </c>
      <c r="C289" s="779" t="s">
        <v>777</v>
      </c>
      <c r="D289" s="780" t="s">
        <v>1779</v>
      </c>
      <c r="E289" s="747">
        <v>2209854000</v>
      </c>
      <c r="F289" s="747"/>
      <c r="G289" s="747"/>
      <c r="H289" s="747"/>
      <c r="I289" s="747"/>
      <c r="J289" s="747"/>
      <c r="K289" s="747"/>
      <c r="L289" s="747"/>
      <c r="M289" s="747"/>
      <c r="N289" s="747"/>
      <c r="O289" s="747"/>
      <c r="P289" s="747">
        <v>16887000</v>
      </c>
      <c r="Q289" s="747">
        <f t="shared" si="73"/>
        <v>16887000</v>
      </c>
      <c r="R289" s="747">
        <v>16887000</v>
      </c>
      <c r="S289" s="747"/>
      <c r="T289" s="747"/>
      <c r="U289" s="747">
        <f t="shared" si="70"/>
        <v>0</v>
      </c>
      <c r="V289" s="747">
        <f t="shared" si="71"/>
        <v>16887000</v>
      </c>
      <c r="W289" s="747">
        <f t="shared" si="72"/>
        <v>0</v>
      </c>
      <c r="X289" s="747">
        <f t="shared" si="74"/>
        <v>16887000</v>
      </c>
      <c r="Y289" s="687"/>
    </row>
    <row r="290" spans="1:25" s="660" customFormat="1" ht="22.5">
      <c r="A290" s="778">
        <v>156</v>
      </c>
      <c r="B290" s="764" t="s">
        <v>1780</v>
      </c>
      <c r="C290" s="779" t="s">
        <v>777</v>
      </c>
      <c r="D290" s="780" t="s">
        <v>1781</v>
      </c>
      <c r="E290" s="747">
        <v>928572000</v>
      </c>
      <c r="F290" s="747"/>
      <c r="G290" s="747"/>
      <c r="H290" s="747"/>
      <c r="I290" s="747"/>
      <c r="J290" s="747"/>
      <c r="K290" s="747"/>
      <c r="L290" s="747"/>
      <c r="M290" s="747"/>
      <c r="N290" s="747"/>
      <c r="O290" s="747"/>
      <c r="P290" s="747">
        <v>7529000</v>
      </c>
      <c r="Q290" s="747">
        <f t="shared" si="73"/>
        <v>7529000</v>
      </c>
      <c r="R290" s="747">
        <v>7529000</v>
      </c>
      <c r="S290" s="747"/>
      <c r="T290" s="747"/>
      <c r="U290" s="747">
        <f t="shared" si="70"/>
        <v>0</v>
      </c>
      <c r="V290" s="747">
        <f t="shared" si="71"/>
        <v>7529000</v>
      </c>
      <c r="W290" s="747">
        <f t="shared" si="72"/>
        <v>0</v>
      </c>
      <c r="X290" s="747">
        <f t="shared" si="74"/>
        <v>7529000</v>
      </c>
      <c r="Y290" s="687"/>
    </row>
    <row r="291" spans="1:25" s="660" customFormat="1">
      <c r="A291" s="778">
        <v>157</v>
      </c>
      <c r="B291" s="764" t="s">
        <v>1782</v>
      </c>
      <c r="C291" s="779" t="s">
        <v>777</v>
      </c>
      <c r="D291" s="780" t="s">
        <v>1783</v>
      </c>
      <c r="E291" s="747">
        <v>1262623000</v>
      </c>
      <c r="F291" s="747"/>
      <c r="G291" s="747"/>
      <c r="H291" s="747"/>
      <c r="I291" s="747"/>
      <c r="J291" s="747"/>
      <c r="K291" s="747"/>
      <c r="L291" s="747"/>
      <c r="M291" s="747"/>
      <c r="N291" s="747"/>
      <c r="O291" s="747"/>
      <c r="P291" s="747">
        <v>8399000</v>
      </c>
      <c r="Q291" s="747">
        <f t="shared" si="73"/>
        <v>8399000</v>
      </c>
      <c r="R291" s="747">
        <v>8399000</v>
      </c>
      <c r="S291" s="747"/>
      <c r="T291" s="747"/>
      <c r="U291" s="747">
        <f t="shared" si="70"/>
        <v>0</v>
      </c>
      <c r="V291" s="747">
        <f t="shared" si="71"/>
        <v>8399000</v>
      </c>
      <c r="W291" s="747">
        <f t="shared" si="72"/>
        <v>0</v>
      </c>
      <c r="X291" s="747">
        <f t="shared" si="74"/>
        <v>8399000</v>
      </c>
      <c r="Y291" s="687"/>
    </row>
    <row r="292" spans="1:25" s="660" customFormat="1">
      <c r="A292" s="778">
        <v>158</v>
      </c>
      <c r="B292" s="764" t="s">
        <v>1784</v>
      </c>
      <c r="C292" s="779" t="s">
        <v>777</v>
      </c>
      <c r="D292" s="780" t="s">
        <v>1785</v>
      </c>
      <c r="E292" s="747">
        <v>1259874000</v>
      </c>
      <c r="F292" s="747"/>
      <c r="G292" s="747"/>
      <c r="H292" s="747"/>
      <c r="I292" s="747"/>
      <c r="J292" s="747"/>
      <c r="K292" s="747"/>
      <c r="L292" s="747"/>
      <c r="M292" s="747"/>
      <c r="N292" s="747"/>
      <c r="O292" s="747"/>
      <c r="P292" s="747">
        <v>32714000</v>
      </c>
      <c r="Q292" s="747">
        <f t="shared" si="73"/>
        <v>32714000</v>
      </c>
      <c r="R292" s="747">
        <v>32714000</v>
      </c>
      <c r="S292" s="747"/>
      <c r="T292" s="747"/>
      <c r="U292" s="747">
        <f t="shared" si="70"/>
        <v>0</v>
      </c>
      <c r="V292" s="747">
        <f t="shared" si="71"/>
        <v>32714000</v>
      </c>
      <c r="W292" s="747">
        <f t="shared" si="72"/>
        <v>0</v>
      </c>
      <c r="X292" s="747">
        <f t="shared" si="74"/>
        <v>32714000</v>
      </c>
      <c r="Y292" s="687"/>
    </row>
    <row r="293" spans="1:25" s="660" customFormat="1">
      <c r="A293" s="778">
        <v>159</v>
      </c>
      <c r="B293" s="764" t="s">
        <v>1786</v>
      </c>
      <c r="C293" s="779" t="s">
        <v>777</v>
      </c>
      <c r="D293" s="780" t="s">
        <v>1787</v>
      </c>
      <c r="E293" s="747">
        <v>3001008000</v>
      </c>
      <c r="F293" s="747"/>
      <c r="G293" s="747"/>
      <c r="H293" s="747"/>
      <c r="I293" s="747"/>
      <c r="J293" s="747"/>
      <c r="K293" s="747"/>
      <c r="L293" s="747"/>
      <c r="M293" s="747"/>
      <c r="N293" s="747"/>
      <c r="O293" s="747"/>
      <c r="P293" s="747">
        <v>12404000</v>
      </c>
      <c r="Q293" s="747">
        <f t="shared" si="73"/>
        <v>12404000</v>
      </c>
      <c r="R293" s="747">
        <v>12404000</v>
      </c>
      <c r="S293" s="747"/>
      <c r="T293" s="747"/>
      <c r="U293" s="747">
        <f t="shared" si="70"/>
        <v>0</v>
      </c>
      <c r="V293" s="747">
        <f t="shared" si="71"/>
        <v>12404000</v>
      </c>
      <c r="W293" s="747">
        <f t="shared" si="72"/>
        <v>0</v>
      </c>
      <c r="X293" s="747">
        <f t="shared" si="74"/>
        <v>12404000</v>
      </c>
      <c r="Y293" s="687"/>
    </row>
    <row r="294" spans="1:25" s="660" customFormat="1">
      <c r="A294" s="778">
        <v>160</v>
      </c>
      <c r="B294" s="787" t="s">
        <v>350</v>
      </c>
      <c r="C294" s="779"/>
      <c r="D294" s="780"/>
      <c r="E294" s="747"/>
      <c r="F294" s="747"/>
      <c r="G294" s="747"/>
      <c r="H294" s="747"/>
      <c r="I294" s="747"/>
      <c r="J294" s="747"/>
      <c r="K294" s="747"/>
      <c r="L294" s="747"/>
      <c r="M294" s="747"/>
      <c r="N294" s="747"/>
      <c r="O294" s="747"/>
      <c r="P294" s="747"/>
      <c r="Q294" s="747"/>
      <c r="R294" s="747"/>
      <c r="S294" s="747"/>
      <c r="T294" s="747"/>
      <c r="U294" s="747">
        <f t="shared" si="70"/>
        <v>0</v>
      </c>
      <c r="V294" s="747">
        <f t="shared" si="71"/>
        <v>0</v>
      </c>
      <c r="W294" s="747">
        <f t="shared" si="72"/>
        <v>0</v>
      </c>
      <c r="X294" s="747"/>
      <c r="Y294" s="687"/>
    </row>
    <row r="295" spans="1:25" s="660" customFormat="1" ht="33.75">
      <c r="A295" s="778">
        <v>161</v>
      </c>
      <c r="B295" s="784" t="s">
        <v>1788</v>
      </c>
      <c r="C295" s="779" t="s">
        <v>777</v>
      </c>
      <c r="D295" s="780" t="s">
        <v>1789</v>
      </c>
      <c r="E295" s="747">
        <v>1613964743</v>
      </c>
      <c r="F295" s="747"/>
      <c r="G295" s="747"/>
      <c r="H295" s="747"/>
      <c r="I295" s="747"/>
      <c r="J295" s="747"/>
      <c r="K295" s="747"/>
      <c r="L295" s="747"/>
      <c r="M295" s="747"/>
      <c r="N295" s="747"/>
      <c r="O295" s="747"/>
      <c r="P295" s="747">
        <v>5148500</v>
      </c>
      <c r="Q295" s="747">
        <f t="shared" si="73"/>
        <v>5148500</v>
      </c>
      <c r="R295" s="747">
        <v>5148500</v>
      </c>
      <c r="S295" s="747"/>
      <c r="T295" s="747"/>
      <c r="U295" s="747">
        <f t="shared" si="70"/>
        <v>0</v>
      </c>
      <c r="V295" s="747">
        <f t="shared" si="71"/>
        <v>5148500</v>
      </c>
      <c r="W295" s="747">
        <f t="shared" si="72"/>
        <v>0</v>
      </c>
      <c r="X295" s="747">
        <f t="shared" si="74"/>
        <v>5148500</v>
      </c>
      <c r="Y295" s="687"/>
    </row>
    <row r="296" spans="1:25" s="660" customFormat="1">
      <c r="A296" s="778">
        <v>162</v>
      </c>
      <c r="B296" s="784" t="s">
        <v>1790</v>
      </c>
      <c r="C296" s="779" t="s">
        <v>777</v>
      </c>
      <c r="D296" s="780" t="s">
        <v>1791</v>
      </c>
      <c r="E296" s="747">
        <v>6984762000</v>
      </c>
      <c r="F296" s="747"/>
      <c r="G296" s="747"/>
      <c r="H296" s="747"/>
      <c r="I296" s="747"/>
      <c r="J296" s="747"/>
      <c r="K296" s="747"/>
      <c r="L296" s="747"/>
      <c r="M296" s="747"/>
      <c r="N296" s="747"/>
      <c r="O296" s="747"/>
      <c r="P296" s="747">
        <v>5224000</v>
      </c>
      <c r="Q296" s="747">
        <f t="shared" si="73"/>
        <v>5224000</v>
      </c>
      <c r="R296" s="747">
        <v>5224000</v>
      </c>
      <c r="S296" s="747"/>
      <c r="T296" s="747"/>
      <c r="U296" s="747">
        <f t="shared" si="70"/>
        <v>0</v>
      </c>
      <c r="V296" s="747">
        <f t="shared" si="71"/>
        <v>5224000</v>
      </c>
      <c r="W296" s="747">
        <f t="shared" si="72"/>
        <v>0</v>
      </c>
      <c r="X296" s="747">
        <f t="shared" si="74"/>
        <v>5224000</v>
      </c>
      <c r="Y296" s="687"/>
    </row>
    <row r="297" spans="1:25" s="660" customFormat="1">
      <c r="A297" s="778">
        <v>163</v>
      </c>
      <c r="B297" s="784" t="s">
        <v>1792</v>
      </c>
      <c r="C297" s="779" t="s">
        <v>777</v>
      </c>
      <c r="D297" s="780" t="s">
        <v>1793</v>
      </c>
      <c r="E297" s="747">
        <v>1180571000</v>
      </c>
      <c r="F297" s="747"/>
      <c r="G297" s="747"/>
      <c r="H297" s="747"/>
      <c r="I297" s="747"/>
      <c r="J297" s="747"/>
      <c r="K297" s="747"/>
      <c r="L297" s="747"/>
      <c r="M297" s="747"/>
      <c r="N297" s="747"/>
      <c r="O297" s="747"/>
      <c r="P297" s="747">
        <v>2676000</v>
      </c>
      <c r="Q297" s="747">
        <f t="shared" si="73"/>
        <v>2676000</v>
      </c>
      <c r="R297" s="747">
        <v>2676000</v>
      </c>
      <c r="S297" s="747"/>
      <c r="T297" s="747"/>
      <c r="U297" s="747">
        <f t="shared" si="70"/>
        <v>0</v>
      </c>
      <c r="V297" s="747">
        <f t="shared" si="71"/>
        <v>2676000</v>
      </c>
      <c r="W297" s="747">
        <f t="shared" si="72"/>
        <v>0</v>
      </c>
      <c r="X297" s="747">
        <f t="shared" si="74"/>
        <v>2676000</v>
      </c>
      <c r="Y297" s="687"/>
    </row>
    <row r="298" spans="1:25" s="660" customFormat="1">
      <c r="A298" s="778">
        <v>164</v>
      </c>
      <c r="B298" s="784" t="s">
        <v>1794</v>
      </c>
      <c r="C298" s="779" t="s">
        <v>777</v>
      </c>
      <c r="D298" s="780" t="s">
        <v>1795</v>
      </c>
      <c r="E298" s="747">
        <v>1857230000</v>
      </c>
      <c r="F298" s="747"/>
      <c r="G298" s="747"/>
      <c r="H298" s="747"/>
      <c r="I298" s="747"/>
      <c r="J298" s="747"/>
      <c r="K298" s="747"/>
      <c r="L298" s="747"/>
      <c r="M298" s="747"/>
      <c r="N298" s="747"/>
      <c r="O298" s="747"/>
      <c r="P298" s="747">
        <v>381000</v>
      </c>
      <c r="Q298" s="747">
        <f t="shared" si="73"/>
        <v>381000</v>
      </c>
      <c r="R298" s="747">
        <v>381000</v>
      </c>
      <c r="S298" s="747"/>
      <c r="T298" s="747"/>
      <c r="U298" s="747">
        <f t="shared" si="70"/>
        <v>0</v>
      </c>
      <c r="V298" s="747">
        <f t="shared" si="71"/>
        <v>381000</v>
      </c>
      <c r="W298" s="747">
        <f t="shared" si="72"/>
        <v>0</v>
      </c>
      <c r="X298" s="747">
        <f t="shared" si="74"/>
        <v>381000</v>
      </c>
      <c r="Y298" s="687"/>
    </row>
    <row r="299" spans="1:25" s="660" customFormat="1">
      <c r="A299" s="778">
        <v>165</v>
      </c>
      <c r="B299" s="784" t="s">
        <v>1796</v>
      </c>
      <c r="C299" s="779" t="s">
        <v>777</v>
      </c>
      <c r="D299" s="780" t="s">
        <v>1797</v>
      </c>
      <c r="E299" s="747">
        <v>1789624000</v>
      </c>
      <c r="F299" s="747"/>
      <c r="G299" s="747"/>
      <c r="H299" s="747"/>
      <c r="I299" s="747"/>
      <c r="J299" s="747"/>
      <c r="K299" s="747"/>
      <c r="L299" s="747"/>
      <c r="M299" s="747"/>
      <c r="N299" s="747"/>
      <c r="O299" s="747"/>
      <c r="P299" s="747">
        <v>1787000</v>
      </c>
      <c r="Q299" s="747">
        <f t="shared" si="73"/>
        <v>1787000</v>
      </c>
      <c r="R299" s="747">
        <v>1787000</v>
      </c>
      <c r="S299" s="747"/>
      <c r="T299" s="747"/>
      <c r="U299" s="747">
        <f t="shared" si="70"/>
        <v>0</v>
      </c>
      <c r="V299" s="747">
        <f t="shared" si="71"/>
        <v>1787000</v>
      </c>
      <c r="W299" s="747">
        <f t="shared" si="72"/>
        <v>0</v>
      </c>
      <c r="X299" s="747">
        <f t="shared" si="74"/>
        <v>1787000</v>
      </c>
      <c r="Y299" s="687"/>
    </row>
    <row r="300" spans="1:25" s="660" customFormat="1">
      <c r="A300" s="778">
        <v>166</v>
      </c>
      <c r="B300" s="784" t="s">
        <v>1798</v>
      </c>
      <c r="C300" s="779" t="s">
        <v>777</v>
      </c>
      <c r="D300" s="780" t="s">
        <v>1799</v>
      </c>
      <c r="E300" s="747">
        <v>2529188000</v>
      </c>
      <c r="F300" s="747"/>
      <c r="G300" s="747"/>
      <c r="H300" s="747"/>
      <c r="I300" s="747"/>
      <c r="J300" s="747"/>
      <c r="K300" s="747"/>
      <c r="L300" s="747"/>
      <c r="M300" s="747"/>
      <c r="N300" s="747"/>
      <c r="O300" s="747"/>
      <c r="P300" s="747">
        <v>1295000</v>
      </c>
      <c r="Q300" s="747">
        <f t="shared" si="73"/>
        <v>1295000</v>
      </c>
      <c r="R300" s="747">
        <v>1295000</v>
      </c>
      <c r="S300" s="747"/>
      <c r="T300" s="747"/>
      <c r="U300" s="747">
        <f t="shared" si="70"/>
        <v>0</v>
      </c>
      <c r="V300" s="747">
        <f t="shared" si="71"/>
        <v>1295000</v>
      </c>
      <c r="W300" s="747">
        <f t="shared" si="72"/>
        <v>0</v>
      </c>
      <c r="X300" s="747">
        <f t="shared" si="74"/>
        <v>1295000</v>
      </c>
      <c r="Y300" s="687"/>
    </row>
    <row r="301" spans="1:25" s="660" customFormat="1" ht="22.5">
      <c r="A301" s="778">
        <v>167</v>
      </c>
      <c r="B301" s="784" t="s">
        <v>1800</v>
      </c>
      <c r="C301" s="779" t="s">
        <v>777</v>
      </c>
      <c r="D301" s="780" t="s">
        <v>1801</v>
      </c>
      <c r="E301" s="747">
        <v>584930000</v>
      </c>
      <c r="F301" s="747"/>
      <c r="G301" s="747"/>
      <c r="H301" s="747"/>
      <c r="I301" s="747"/>
      <c r="J301" s="747"/>
      <c r="K301" s="747"/>
      <c r="L301" s="747"/>
      <c r="M301" s="747"/>
      <c r="N301" s="747"/>
      <c r="O301" s="747"/>
      <c r="P301" s="747">
        <v>6272000</v>
      </c>
      <c r="Q301" s="747">
        <f t="shared" si="73"/>
        <v>6272000</v>
      </c>
      <c r="R301" s="747">
        <v>6272000</v>
      </c>
      <c r="S301" s="747"/>
      <c r="T301" s="747"/>
      <c r="U301" s="747">
        <f t="shared" si="70"/>
        <v>0</v>
      </c>
      <c r="V301" s="747">
        <f t="shared" si="71"/>
        <v>6272000</v>
      </c>
      <c r="W301" s="747">
        <f t="shared" si="72"/>
        <v>0</v>
      </c>
      <c r="X301" s="747">
        <f t="shared" si="74"/>
        <v>6272000</v>
      </c>
      <c r="Y301" s="687"/>
    </row>
    <row r="302" spans="1:25" s="660" customFormat="1">
      <c r="A302" s="778">
        <v>168</v>
      </c>
      <c r="B302" s="784" t="s">
        <v>1802</v>
      </c>
      <c r="C302" s="779" t="s">
        <v>777</v>
      </c>
      <c r="D302" s="780" t="s">
        <v>1803</v>
      </c>
      <c r="E302" s="747">
        <v>736467000</v>
      </c>
      <c r="F302" s="747"/>
      <c r="G302" s="747"/>
      <c r="H302" s="747"/>
      <c r="I302" s="747"/>
      <c r="J302" s="747"/>
      <c r="K302" s="747"/>
      <c r="L302" s="747"/>
      <c r="M302" s="747"/>
      <c r="N302" s="747"/>
      <c r="O302" s="747"/>
      <c r="P302" s="747">
        <v>1190000</v>
      </c>
      <c r="Q302" s="747">
        <f t="shared" si="73"/>
        <v>1190000</v>
      </c>
      <c r="R302" s="747">
        <v>1190000</v>
      </c>
      <c r="S302" s="747"/>
      <c r="T302" s="747"/>
      <c r="U302" s="747">
        <f t="shared" si="70"/>
        <v>0</v>
      </c>
      <c r="V302" s="747">
        <f t="shared" si="71"/>
        <v>1190000</v>
      </c>
      <c r="W302" s="747">
        <f t="shared" si="72"/>
        <v>0</v>
      </c>
      <c r="X302" s="747">
        <f t="shared" si="74"/>
        <v>1190000</v>
      </c>
      <c r="Y302" s="687"/>
    </row>
    <row r="303" spans="1:25" s="660" customFormat="1" ht="22.5">
      <c r="A303" s="778">
        <v>169</v>
      </c>
      <c r="B303" s="784" t="s">
        <v>1804</v>
      </c>
      <c r="C303" s="779" t="s">
        <v>777</v>
      </c>
      <c r="D303" s="780" t="s">
        <v>1805</v>
      </c>
      <c r="E303" s="747">
        <v>9133000</v>
      </c>
      <c r="F303" s="747"/>
      <c r="G303" s="747"/>
      <c r="H303" s="747"/>
      <c r="I303" s="747"/>
      <c r="J303" s="747"/>
      <c r="K303" s="747"/>
      <c r="L303" s="747"/>
      <c r="M303" s="747"/>
      <c r="N303" s="747"/>
      <c r="O303" s="747"/>
      <c r="P303" s="747">
        <v>9133000</v>
      </c>
      <c r="Q303" s="747">
        <f t="shared" si="73"/>
        <v>9133000</v>
      </c>
      <c r="R303" s="747">
        <v>9133000</v>
      </c>
      <c r="S303" s="747"/>
      <c r="T303" s="747"/>
      <c r="U303" s="747">
        <f t="shared" si="70"/>
        <v>0</v>
      </c>
      <c r="V303" s="747">
        <f t="shared" si="71"/>
        <v>9133000</v>
      </c>
      <c r="W303" s="747">
        <f t="shared" si="72"/>
        <v>0</v>
      </c>
      <c r="X303" s="747">
        <f t="shared" si="74"/>
        <v>9133000</v>
      </c>
      <c r="Y303" s="687"/>
    </row>
    <row r="304" spans="1:25" s="660" customFormat="1" ht="22.5">
      <c r="A304" s="778">
        <v>170</v>
      </c>
      <c r="B304" s="784" t="s">
        <v>1806</v>
      </c>
      <c r="C304" s="779" t="s">
        <v>777</v>
      </c>
      <c r="D304" s="780" t="s">
        <v>1807</v>
      </c>
      <c r="E304" s="747">
        <v>4331389000</v>
      </c>
      <c r="F304" s="747"/>
      <c r="G304" s="747"/>
      <c r="H304" s="747"/>
      <c r="I304" s="747"/>
      <c r="J304" s="747"/>
      <c r="K304" s="747"/>
      <c r="L304" s="747"/>
      <c r="M304" s="747"/>
      <c r="N304" s="747"/>
      <c r="O304" s="747"/>
      <c r="P304" s="747">
        <v>5581000</v>
      </c>
      <c r="Q304" s="747">
        <f t="shared" si="73"/>
        <v>5580234</v>
      </c>
      <c r="R304" s="747">
        <v>5580234</v>
      </c>
      <c r="S304" s="747"/>
      <c r="T304" s="747"/>
      <c r="U304" s="747">
        <f t="shared" si="70"/>
        <v>766</v>
      </c>
      <c r="V304" s="747">
        <f t="shared" si="71"/>
        <v>5580234</v>
      </c>
      <c r="W304" s="747">
        <f t="shared" si="72"/>
        <v>0</v>
      </c>
      <c r="X304" s="747">
        <f t="shared" si="74"/>
        <v>5580234</v>
      </c>
      <c r="Y304" s="687"/>
    </row>
    <row r="305" spans="1:25" s="660" customFormat="1" ht="22.5">
      <c r="A305" s="778">
        <v>171</v>
      </c>
      <c r="B305" s="784" t="s">
        <v>1808</v>
      </c>
      <c r="C305" s="779" t="s">
        <v>777</v>
      </c>
      <c r="D305" s="780" t="s">
        <v>1809</v>
      </c>
      <c r="E305" s="747">
        <v>3641814000</v>
      </c>
      <c r="F305" s="747"/>
      <c r="G305" s="747"/>
      <c r="H305" s="747"/>
      <c r="I305" s="747"/>
      <c r="J305" s="747"/>
      <c r="K305" s="747"/>
      <c r="L305" s="747"/>
      <c r="M305" s="747"/>
      <c r="N305" s="747"/>
      <c r="O305" s="747"/>
      <c r="P305" s="747">
        <v>519753000</v>
      </c>
      <c r="Q305" s="747">
        <f t="shared" si="73"/>
        <v>519753000</v>
      </c>
      <c r="R305" s="747">
        <v>519753000</v>
      </c>
      <c r="S305" s="747"/>
      <c r="T305" s="747"/>
      <c r="U305" s="747">
        <f t="shared" si="70"/>
        <v>0</v>
      </c>
      <c r="V305" s="747">
        <f t="shared" si="71"/>
        <v>519753000</v>
      </c>
      <c r="W305" s="747">
        <f t="shared" si="72"/>
        <v>0</v>
      </c>
      <c r="X305" s="747">
        <f t="shared" si="74"/>
        <v>519753000</v>
      </c>
      <c r="Y305" s="687"/>
    </row>
    <row r="306" spans="1:25" s="660" customFormat="1" ht="22.5">
      <c r="A306" s="778">
        <v>172</v>
      </c>
      <c r="B306" s="784" t="s">
        <v>1810</v>
      </c>
      <c r="C306" s="779" t="s">
        <v>777</v>
      </c>
      <c r="D306" s="780" t="s">
        <v>835</v>
      </c>
      <c r="E306" s="747">
        <v>9944311538</v>
      </c>
      <c r="F306" s="747"/>
      <c r="G306" s="747"/>
      <c r="H306" s="747"/>
      <c r="I306" s="747"/>
      <c r="J306" s="747"/>
      <c r="K306" s="747"/>
      <c r="L306" s="747"/>
      <c r="M306" s="747"/>
      <c r="N306" s="747"/>
      <c r="O306" s="747"/>
      <c r="P306" s="747">
        <v>141268000</v>
      </c>
      <c r="Q306" s="747">
        <f t="shared" si="73"/>
        <v>141268000</v>
      </c>
      <c r="R306" s="747">
        <v>141268000</v>
      </c>
      <c r="S306" s="747"/>
      <c r="T306" s="747"/>
      <c r="U306" s="747">
        <f t="shared" si="70"/>
        <v>0</v>
      </c>
      <c r="V306" s="747">
        <f t="shared" si="71"/>
        <v>141268000</v>
      </c>
      <c r="W306" s="747">
        <f t="shared" si="72"/>
        <v>0</v>
      </c>
      <c r="X306" s="747">
        <f t="shared" si="74"/>
        <v>141268000</v>
      </c>
      <c r="Y306" s="687"/>
    </row>
    <row r="307" spans="1:25" s="660" customFormat="1">
      <c r="A307" s="778">
        <v>173</v>
      </c>
      <c r="B307" s="784" t="s">
        <v>1811</v>
      </c>
      <c r="C307" s="779" t="s">
        <v>777</v>
      </c>
      <c r="D307" s="780" t="s">
        <v>419</v>
      </c>
      <c r="E307" s="747">
        <v>14400656058</v>
      </c>
      <c r="F307" s="747"/>
      <c r="G307" s="747"/>
      <c r="H307" s="747"/>
      <c r="I307" s="747"/>
      <c r="J307" s="747"/>
      <c r="K307" s="747"/>
      <c r="L307" s="747"/>
      <c r="M307" s="747"/>
      <c r="N307" s="747"/>
      <c r="O307" s="747"/>
      <c r="P307" s="747">
        <v>35583000</v>
      </c>
      <c r="Q307" s="747">
        <f t="shared" si="73"/>
        <v>35583000</v>
      </c>
      <c r="R307" s="747">
        <v>35583000</v>
      </c>
      <c r="S307" s="747"/>
      <c r="T307" s="747"/>
      <c r="U307" s="747">
        <f t="shared" si="70"/>
        <v>0</v>
      </c>
      <c r="V307" s="747">
        <f t="shared" si="71"/>
        <v>35583000</v>
      </c>
      <c r="W307" s="747">
        <f t="shared" si="72"/>
        <v>0</v>
      </c>
      <c r="X307" s="747">
        <f t="shared" si="74"/>
        <v>35583000</v>
      </c>
      <c r="Y307" s="687"/>
    </row>
    <row r="308" spans="1:25" s="660" customFormat="1" ht="22.5">
      <c r="A308" s="778">
        <v>174</v>
      </c>
      <c r="B308" s="784" t="s">
        <v>1812</v>
      </c>
      <c r="C308" s="779" t="s">
        <v>777</v>
      </c>
      <c r="D308" s="780" t="s">
        <v>1813</v>
      </c>
      <c r="E308" s="747">
        <v>1294029000</v>
      </c>
      <c r="F308" s="747"/>
      <c r="G308" s="747"/>
      <c r="H308" s="747"/>
      <c r="I308" s="747"/>
      <c r="J308" s="747"/>
      <c r="K308" s="747"/>
      <c r="L308" s="747"/>
      <c r="M308" s="747"/>
      <c r="N308" s="747"/>
      <c r="O308" s="747"/>
      <c r="P308" s="747">
        <v>1660000</v>
      </c>
      <c r="Q308" s="747">
        <f t="shared" si="73"/>
        <v>1659259</v>
      </c>
      <c r="R308" s="747">
        <v>1659259</v>
      </c>
      <c r="S308" s="747"/>
      <c r="T308" s="747"/>
      <c r="U308" s="747">
        <f t="shared" si="70"/>
        <v>741</v>
      </c>
      <c r="V308" s="747">
        <f t="shared" si="71"/>
        <v>1659259</v>
      </c>
      <c r="W308" s="747">
        <f t="shared" si="72"/>
        <v>0</v>
      </c>
      <c r="X308" s="747">
        <f t="shared" si="74"/>
        <v>1659259</v>
      </c>
      <c r="Y308" s="687"/>
    </row>
    <row r="309" spans="1:25" s="660" customFormat="1" ht="22.5">
      <c r="A309" s="778">
        <v>175</v>
      </c>
      <c r="B309" s="784" t="s">
        <v>1814</v>
      </c>
      <c r="C309" s="779" t="s">
        <v>777</v>
      </c>
      <c r="D309" s="780" t="s">
        <v>1815</v>
      </c>
      <c r="E309" s="747">
        <v>1887087000</v>
      </c>
      <c r="F309" s="747"/>
      <c r="G309" s="747"/>
      <c r="H309" s="747"/>
      <c r="I309" s="747"/>
      <c r="J309" s="747"/>
      <c r="K309" s="747"/>
      <c r="L309" s="747"/>
      <c r="M309" s="747"/>
      <c r="N309" s="747"/>
      <c r="O309" s="747"/>
      <c r="P309" s="747">
        <v>2527000</v>
      </c>
      <c r="Q309" s="747">
        <f t="shared" si="73"/>
        <v>2527000</v>
      </c>
      <c r="R309" s="747">
        <v>2527000</v>
      </c>
      <c r="S309" s="747"/>
      <c r="T309" s="747"/>
      <c r="U309" s="747">
        <f t="shared" si="70"/>
        <v>0</v>
      </c>
      <c r="V309" s="747">
        <f t="shared" si="71"/>
        <v>2527000</v>
      </c>
      <c r="W309" s="747">
        <f t="shared" si="72"/>
        <v>0</v>
      </c>
      <c r="X309" s="747">
        <f t="shared" si="74"/>
        <v>2527000</v>
      </c>
      <c r="Y309" s="687"/>
    </row>
    <row r="310" spans="1:25" s="660" customFormat="1" ht="22.5">
      <c r="A310" s="778">
        <v>176</v>
      </c>
      <c r="B310" s="784" t="s">
        <v>1816</v>
      </c>
      <c r="C310" s="779" t="s">
        <v>777</v>
      </c>
      <c r="D310" s="780" t="s">
        <v>1817</v>
      </c>
      <c r="E310" s="747">
        <v>20863495000</v>
      </c>
      <c r="F310" s="747"/>
      <c r="G310" s="747"/>
      <c r="H310" s="747"/>
      <c r="I310" s="747"/>
      <c r="J310" s="747"/>
      <c r="K310" s="747"/>
      <c r="L310" s="747"/>
      <c r="M310" s="747"/>
      <c r="N310" s="747"/>
      <c r="O310" s="747"/>
      <c r="P310" s="747">
        <v>11553000</v>
      </c>
      <c r="Q310" s="747">
        <f t="shared" si="73"/>
        <v>11552464</v>
      </c>
      <c r="R310" s="747">
        <v>11552464</v>
      </c>
      <c r="S310" s="747"/>
      <c r="T310" s="747"/>
      <c r="U310" s="747">
        <f t="shared" si="70"/>
        <v>536</v>
      </c>
      <c r="V310" s="747">
        <f t="shared" si="71"/>
        <v>11552464</v>
      </c>
      <c r="W310" s="747">
        <f t="shared" si="72"/>
        <v>0</v>
      </c>
      <c r="X310" s="747">
        <f t="shared" si="74"/>
        <v>11552464</v>
      </c>
      <c r="Y310" s="687"/>
    </row>
    <row r="311" spans="1:25" s="660" customFormat="1">
      <c r="A311" s="778">
        <v>177</v>
      </c>
      <c r="B311" s="784" t="s">
        <v>1818</v>
      </c>
      <c r="C311" s="779" t="s">
        <v>777</v>
      </c>
      <c r="D311" s="780" t="s">
        <v>1819</v>
      </c>
      <c r="E311" s="747">
        <v>11336553000</v>
      </c>
      <c r="F311" s="747"/>
      <c r="G311" s="747"/>
      <c r="H311" s="747"/>
      <c r="I311" s="747"/>
      <c r="J311" s="747"/>
      <c r="K311" s="747"/>
      <c r="L311" s="747"/>
      <c r="M311" s="747"/>
      <c r="N311" s="747"/>
      <c r="O311" s="747"/>
      <c r="P311" s="747">
        <v>51750000</v>
      </c>
      <c r="Q311" s="747">
        <f t="shared" si="73"/>
        <v>51750000</v>
      </c>
      <c r="R311" s="747">
        <v>51750000</v>
      </c>
      <c r="S311" s="747"/>
      <c r="T311" s="747"/>
      <c r="U311" s="747">
        <f t="shared" si="70"/>
        <v>0</v>
      </c>
      <c r="V311" s="747">
        <f t="shared" si="71"/>
        <v>51750000</v>
      </c>
      <c r="W311" s="747">
        <f t="shared" si="72"/>
        <v>0</v>
      </c>
      <c r="X311" s="747">
        <f t="shared" si="74"/>
        <v>51750000</v>
      </c>
      <c r="Y311" s="687"/>
    </row>
    <row r="312" spans="1:25" s="660" customFormat="1" ht="22.5">
      <c r="A312" s="778">
        <v>178</v>
      </c>
      <c r="B312" s="784" t="s">
        <v>1820</v>
      </c>
      <c r="C312" s="779" t="s">
        <v>777</v>
      </c>
      <c r="D312" s="780" t="s">
        <v>1821</v>
      </c>
      <c r="E312" s="747">
        <v>13174391225</v>
      </c>
      <c r="F312" s="747"/>
      <c r="G312" s="747"/>
      <c r="H312" s="747"/>
      <c r="I312" s="747"/>
      <c r="J312" s="747"/>
      <c r="K312" s="747"/>
      <c r="L312" s="747"/>
      <c r="M312" s="747"/>
      <c r="N312" s="747"/>
      <c r="O312" s="747"/>
      <c r="P312" s="747">
        <v>49735000</v>
      </c>
      <c r="Q312" s="747">
        <f t="shared" si="73"/>
        <v>49734439</v>
      </c>
      <c r="R312" s="747">
        <v>49734439</v>
      </c>
      <c r="S312" s="747"/>
      <c r="T312" s="747"/>
      <c r="U312" s="747">
        <f t="shared" si="70"/>
        <v>561</v>
      </c>
      <c r="V312" s="747">
        <f t="shared" si="71"/>
        <v>49734439</v>
      </c>
      <c r="W312" s="747">
        <f t="shared" si="72"/>
        <v>0</v>
      </c>
      <c r="X312" s="747">
        <f t="shared" si="74"/>
        <v>49734439</v>
      </c>
      <c r="Y312" s="687"/>
    </row>
    <row r="313" spans="1:25" s="660" customFormat="1">
      <c r="A313" s="778">
        <v>179</v>
      </c>
      <c r="B313" s="787" t="s">
        <v>347</v>
      </c>
      <c r="C313" s="788"/>
      <c r="D313" s="789"/>
      <c r="E313" s="747"/>
      <c r="F313" s="747"/>
      <c r="G313" s="747"/>
      <c r="H313" s="747"/>
      <c r="I313" s="747"/>
      <c r="J313" s="747"/>
      <c r="K313" s="747"/>
      <c r="L313" s="747"/>
      <c r="M313" s="747"/>
      <c r="N313" s="747"/>
      <c r="O313" s="747"/>
      <c r="P313" s="747"/>
      <c r="Q313" s="747"/>
      <c r="R313" s="747"/>
      <c r="S313" s="747"/>
      <c r="T313" s="747"/>
      <c r="U313" s="747">
        <f t="shared" si="70"/>
        <v>0</v>
      </c>
      <c r="V313" s="747">
        <f t="shared" si="71"/>
        <v>0</v>
      </c>
      <c r="W313" s="747">
        <f t="shared" si="72"/>
        <v>0</v>
      </c>
      <c r="X313" s="747"/>
      <c r="Y313" s="687"/>
    </row>
    <row r="314" spans="1:25" s="660" customFormat="1">
      <c r="A314" s="778">
        <v>180</v>
      </c>
      <c r="B314" s="793" t="s">
        <v>1822</v>
      </c>
      <c r="C314" s="779" t="s">
        <v>777</v>
      </c>
      <c r="D314" s="780" t="s">
        <v>1823</v>
      </c>
      <c r="E314" s="747">
        <v>1590490000</v>
      </c>
      <c r="F314" s="747"/>
      <c r="G314" s="747"/>
      <c r="H314" s="747"/>
      <c r="I314" s="747"/>
      <c r="J314" s="747"/>
      <c r="K314" s="747"/>
      <c r="L314" s="747"/>
      <c r="M314" s="747"/>
      <c r="N314" s="747"/>
      <c r="O314" s="747"/>
      <c r="P314" s="747">
        <v>28501000</v>
      </c>
      <c r="Q314" s="747">
        <f t="shared" si="73"/>
        <v>28501000</v>
      </c>
      <c r="R314" s="747">
        <v>28501000</v>
      </c>
      <c r="S314" s="747"/>
      <c r="T314" s="747"/>
      <c r="U314" s="747">
        <f t="shared" si="70"/>
        <v>0</v>
      </c>
      <c r="V314" s="747">
        <f t="shared" si="71"/>
        <v>28501000</v>
      </c>
      <c r="W314" s="747">
        <f t="shared" si="72"/>
        <v>0</v>
      </c>
      <c r="X314" s="747">
        <f t="shared" si="74"/>
        <v>28501000</v>
      </c>
      <c r="Y314" s="687"/>
    </row>
    <row r="315" spans="1:25" s="660" customFormat="1">
      <c r="A315" s="778">
        <v>181</v>
      </c>
      <c r="B315" s="794" t="s">
        <v>1824</v>
      </c>
      <c r="C315" s="779" t="s">
        <v>777</v>
      </c>
      <c r="D315" s="780" t="s">
        <v>1825</v>
      </c>
      <c r="E315" s="747">
        <v>4110694000</v>
      </c>
      <c r="F315" s="747"/>
      <c r="G315" s="747"/>
      <c r="H315" s="747"/>
      <c r="I315" s="747"/>
      <c r="J315" s="747"/>
      <c r="K315" s="747"/>
      <c r="L315" s="747"/>
      <c r="M315" s="747"/>
      <c r="N315" s="747"/>
      <c r="O315" s="747"/>
      <c r="P315" s="747">
        <v>18691000</v>
      </c>
      <c r="Q315" s="747">
        <f t="shared" si="73"/>
        <v>18691000</v>
      </c>
      <c r="R315" s="747">
        <v>18691000</v>
      </c>
      <c r="S315" s="747"/>
      <c r="T315" s="747"/>
      <c r="U315" s="747">
        <f t="shared" si="70"/>
        <v>0</v>
      </c>
      <c r="V315" s="747">
        <f t="shared" si="71"/>
        <v>18691000</v>
      </c>
      <c r="W315" s="747">
        <f t="shared" si="72"/>
        <v>0</v>
      </c>
      <c r="X315" s="747">
        <f t="shared" si="74"/>
        <v>18691000</v>
      </c>
      <c r="Y315" s="687"/>
    </row>
    <row r="316" spans="1:25" s="660" customFormat="1">
      <c r="A316" s="778">
        <v>182</v>
      </c>
      <c r="B316" s="794" t="s">
        <v>1826</v>
      </c>
      <c r="C316" s="779" t="s">
        <v>777</v>
      </c>
      <c r="D316" s="780" t="s">
        <v>1827</v>
      </c>
      <c r="E316" s="747">
        <v>2700484000</v>
      </c>
      <c r="F316" s="747"/>
      <c r="G316" s="747"/>
      <c r="H316" s="747"/>
      <c r="I316" s="747"/>
      <c r="J316" s="747"/>
      <c r="K316" s="747"/>
      <c r="L316" s="747"/>
      <c r="M316" s="747"/>
      <c r="N316" s="747"/>
      <c r="O316" s="747"/>
      <c r="P316" s="747">
        <v>17878000</v>
      </c>
      <c r="Q316" s="747">
        <f t="shared" si="73"/>
        <v>17878000</v>
      </c>
      <c r="R316" s="747">
        <v>17878000</v>
      </c>
      <c r="S316" s="747"/>
      <c r="T316" s="747"/>
      <c r="U316" s="747">
        <f t="shared" si="70"/>
        <v>0</v>
      </c>
      <c r="V316" s="747">
        <f t="shared" si="71"/>
        <v>17878000</v>
      </c>
      <c r="W316" s="747">
        <f t="shared" si="72"/>
        <v>0</v>
      </c>
      <c r="X316" s="747">
        <f t="shared" si="74"/>
        <v>17878000</v>
      </c>
      <c r="Y316" s="687"/>
    </row>
    <row r="317" spans="1:25" s="660" customFormat="1">
      <c r="A317" s="778">
        <v>183</v>
      </c>
      <c r="B317" s="794" t="s">
        <v>1828</v>
      </c>
      <c r="C317" s="779" t="s">
        <v>777</v>
      </c>
      <c r="D317" s="780" t="s">
        <v>1829</v>
      </c>
      <c r="E317" s="747">
        <v>2043415000</v>
      </c>
      <c r="F317" s="747"/>
      <c r="G317" s="747"/>
      <c r="H317" s="747"/>
      <c r="I317" s="747"/>
      <c r="J317" s="747"/>
      <c r="K317" s="747"/>
      <c r="L317" s="747"/>
      <c r="M317" s="747"/>
      <c r="N317" s="747"/>
      <c r="O317" s="747"/>
      <c r="P317" s="747">
        <v>4905000</v>
      </c>
      <c r="Q317" s="747">
        <f t="shared" si="73"/>
        <v>4905000</v>
      </c>
      <c r="R317" s="747">
        <v>4905000</v>
      </c>
      <c r="S317" s="747"/>
      <c r="T317" s="747"/>
      <c r="U317" s="747">
        <f t="shared" si="70"/>
        <v>0</v>
      </c>
      <c r="V317" s="747">
        <f t="shared" si="71"/>
        <v>4905000</v>
      </c>
      <c r="W317" s="747">
        <f t="shared" si="72"/>
        <v>0</v>
      </c>
      <c r="X317" s="747">
        <f t="shared" si="74"/>
        <v>4905000</v>
      </c>
      <c r="Y317" s="687"/>
    </row>
    <row r="318" spans="1:25" s="660" customFormat="1">
      <c r="A318" s="778">
        <v>184</v>
      </c>
      <c r="B318" s="794" t="s">
        <v>1830</v>
      </c>
      <c r="C318" s="779" t="s">
        <v>777</v>
      </c>
      <c r="D318" s="780" t="s">
        <v>1831</v>
      </c>
      <c r="E318" s="747">
        <v>2091394000</v>
      </c>
      <c r="F318" s="747"/>
      <c r="G318" s="747"/>
      <c r="H318" s="747"/>
      <c r="I318" s="747"/>
      <c r="J318" s="747"/>
      <c r="K318" s="747"/>
      <c r="L318" s="747"/>
      <c r="M318" s="747"/>
      <c r="N318" s="747"/>
      <c r="O318" s="747"/>
      <c r="P318" s="747">
        <v>5725000</v>
      </c>
      <c r="Q318" s="747">
        <f t="shared" si="73"/>
        <v>5725000</v>
      </c>
      <c r="R318" s="747">
        <v>5725000</v>
      </c>
      <c r="S318" s="747"/>
      <c r="T318" s="747"/>
      <c r="U318" s="747">
        <f t="shared" si="70"/>
        <v>0</v>
      </c>
      <c r="V318" s="747">
        <f t="shared" si="71"/>
        <v>5725000</v>
      </c>
      <c r="W318" s="747">
        <f t="shared" si="72"/>
        <v>0</v>
      </c>
      <c r="X318" s="747">
        <f t="shared" si="74"/>
        <v>5725000</v>
      </c>
      <c r="Y318" s="687"/>
    </row>
    <row r="319" spans="1:25" s="660" customFormat="1">
      <c r="A319" s="778">
        <v>185</v>
      </c>
      <c r="B319" s="794" t="s">
        <v>1832</v>
      </c>
      <c r="C319" s="779" t="s">
        <v>777</v>
      </c>
      <c r="D319" s="780" t="s">
        <v>1833</v>
      </c>
      <c r="E319" s="747">
        <v>2108323000</v>
      </c>
      <c r="F319" s="747"/>
      <c r="G319" s="747"/>
      <c r="H319" s="747"/>
      <c r="I319" s="747"/>
      <c r="J319" s="747"/>
      <c r="K319" s="747"/>
      <c r="L319" s="747"/>
      <c r="M319" s="747"/>
      <c r="N319" s="747"/>
      <c r="O319" s="747"/>
      <c r="P319" s="747">
        <v>4395000</v>
      </c>
      <c r="Q319" s="747">
        <f t="shared" si="73"/>
        <v>4395000</v>
      </c>
      <c r="R319" s="747">
        <v>4395000</v>
      </c>
      <c r="S319" s="747"/>
      <c r="T319" s="747"/>
      <c r="U319" s="747">
        <f t="shared" si="70"/>
        <v>0</v>
      </c>
      <c r="V319" s="747">
        <f t="shared" si="71"/>
        <v>4395000</v>
      </c>
      <c r="W319" s="747">
        <f t="shared" si="72"/>
        <v>0</v>
      </c>
      <c r="X319" s="747">
        <f t="shared" si="74"/>
        <v>4395000</v>
      </c>
      <c r="Y319" s="687"/>
    </row>
    <row r="320" spans="1:25" s="660" customFormat="1">
      <c r="A320" s="778">
        <v>186</v>
      </c>
      <c r="B320" s="794" t="s">
        <v>1834</v>
      </c>
      <c r="C320" s="779" t="s">
        <v>777</v>
      </c>
      <c r="D320" s="780" t="s">
        <v>1835</v>
      </c>
      <c r="E320" s="747">
        <v>1347319000</v>
      </c>
      <c r="F320" s="747"/>
      <c r="G320" s="747"/>
      <c r="H320" s="747"/>
      <c r="I320" s="747"/>
      <c r="J320" s="747"/>
      <c r="K320" s="747"/>
      <c r="L320" s="747"/>
      <c r="M320" s="747"/>
      <c r="N320" s="747"/>
      <c r="O320" s="747"/>
      <c r="P320" s="747">
        <v>2797000</v>
      </c>
      <c r="Q320" s="747">
        <f t="shared" si="73"/>
        <v>2797000</v>
      </c>
      <c r="R320" s="747">
        <v>2797000</v>
      </c>
      <c r="S320" s="747"/>
      <c r="T320" s="747"/>
      <c r="U320" s="747">
        <f t="shared" si="70"/>
        <v>0</v>
      </c>
      <c r="V320" s="747">
        <f t="shared" si="71"/>
        <v>2797000</v>
      </c>
      <c r="W320" s="747">
        <f t="shared" si="72"/>
        <v>0</v>
      </c>
      <c r="X320" s="747">
        <f t="shared" si="74"/>
        <v>2797000</v>
      </c>
      <c r="Y320" s="687"/>
    </row>
    <row r="321" spans="1:25" s="660" customFormat="1">
      <c r="A321" s="778">
        <v>187</v>
      </c>
      <c r="B321" s="794" t="s">
        <v>1836</v>
      </c>
      <c r="C321" s="779" t="s">
        <v>777</v>
      </c>
      <c r="D321" s="780" t="s">
        <v>1837</v>
      </c>
      <c r="E321" s="747">
        <v>1457931000</v>
      </c>
      <c r="F321" s="747"/>
      <c r="G321" s="747"/>
      <c r="H321" s="747"/>
      <c r="I321" s="747"/>
      <c r="J321" s="747"/>
      <c r="K321" s="747"/>
      <c r="L321" s="747"/>
      <c r="M321" s="747"/>
      <c r="N321" s="747"/>
      <c r="O321" s="747"/>
      <c r="P321" s="747">
        <v>3033000</v>
      </c>
      <c r="Q321" s="747">
        <f t="shared" si="73"/>
        <v>3033000</v>
      </c>
      <c r="R321" s="747">
        <v>3033000</v>
      </c>
      <c r="S321" s="747"/>
      <c r="T321" s="747"/>
      <c r="U321" s="747">
        <f t="shared" si="70"/>
        <v>0</v>
      </c>
      <c r="V321" s="747">
        <f t="shared" si="71"/>
        <v>3033000</v>
      </c>
      <c r="W321" s="747">
        <f t="shared" si="72"/>
        <v>0</v>
      </c>
      <c r="X321" s="747">
        <f t="shared" si="74"/>
        <v>3033000</v>
      </c>
      <c r="Y321" s="687"/>
    </row>
    <row r="322" spans="1:25" s="660" customFormat="1">
      <c r="A322" s="778">
        <v>188</v>
      </c>
      <c r="B322" s="795" t="s">
        <v>1838</v>
      </c>
      <c r="C322" s="779" t="s">
        <v>777</v>
      </c>
      <c r="D322" s="780" t="s">
        <v>1839</v>
      </c>
      <c r="E322" s="747">
        <v>2935624000</v>
      </c>
      <c r="F322" s="747"/>
      <c r="G322" s="747"/>
      <c r="H322" s="747"/>
      <c r="I322" s="747"/>
      <c r="J322" s="747"/>
      <c r="K322" s="747"/>
      <c r="L322" s="747"/>
      <c r="M322" s="747"/>
      <c r="N322" s="747"/>
      <c r="O322" s="747"/>
      <c r="P322" s="747">
        <v>6059000</v>
      </c>
      <c r="Q322" s="747">
        <f t="shared" si="73"/>
        <v>6059000</v>
      </c>
      <c r="R322" s="747">
        <v>6059000</v>
      </c>
      <c r="S322" s="747"/>
      <c r="T322" s="747"/>
      <c r="U322" s="747">
        <f t="shared" si="70"/>
        <v>0</v>
      </c>
      <c r="V322" s="747">
        <f t="shared" si="71"/>
        <v>6059000</v>
      </c>
      <c r="W322" s="747">
        <f t="shared" si="72"/>
        <v>0</v>
      </c>
      <c r="X322" s="747">
        <f t="shared" si="74"/>
        <v>6059000</v>
      </c>
      <c r="Y322" s="687"/>
    </row>
    <row r="323" spans="1:25" s="660" customFormat="1">
      <c r="A323" s="778">
        <v>189</v>
      </c>
      <c r="B323" s="794" t="s">
        <v>1840</v>
      </c>
      <c r="C323" s="779" t="s">
        <v>777</v>
      </c>
      <c r="D323" s="780" t="s">
        <v>1841</v>
      </c>
      <c r="E323" s="747">
        <v>1445709000</v>
      </c>
      <c r="F323" s="747"/>
      <c r="G323" s="747"/>
      <c r="H323" s="747"/>
      <c r="I323" s="747"/>
      <c r="J323" s="747"/>
      <c r="K323" s="747"/>
      <c r="L323" s="747"/>
      <c r="M323" s="747"/>
      <c r="N323" s="747"/>
      <c r="O323" s="747"/>
      <c r="P323" s="747">
        <v>2978000</v>
      </c>
      <c r="Q323" s="747">
        <f t="shared" si="73"/>
        <v>2978000</v>
      </c>
      <c r="R323" s="747">
        <v>2978000</v>
      </c>
      <c r="S323" s="747"/>
      <c r="T323" s="747"/>
      <c r="U323" s="747">
        <f t="shared" si="70"/>
        <v>0</v>
      </c>
      <c r="V323" s="747">
        <f t="shared" si="71"/>
        <v>2978000</v>
      </c>
      <c r="W323" s="747">
        <f t="shared" si="72"/>
        <v>0</v>
      </c>
      <c r="X323" s="747">
        <f t="shared" si="74"/>
        <v>2978000</v>
      </c>
      <c r="Y323" s="687"/>
    </row>
    <row r="324" spans="1:25" s="660" customFormat="1">
      <c r="A324" s="778">
        <v>190</v>
      </c>
      <c r="B324" s="794" t="s">
        <v>1842</v>
      </c>
      <c r="C324" s="779" t="s">
        <v>777</v>
      </c>
      <c r="D324" s="780" t="s">
        <v>1843</v>
      </c>
      <c r="E324" s="747">
        <v>2627967000</v>
      </c>
      <c r="F324" s="747"/>
      <c r="G324" s="747"/>
      <c r="H324" s="747"/>
      <c r="I324" s="747"/>
      <c r="J324" s="747"/>
      <c r="K324" s="747"/>
      <c r="L324" s="747"/>
      <c r="M324" s="747"/>
      <c r="N324" s="747"/>
      <c r="O324" s="747"/>
      <c r="P324" s="747">
        <v>5782000</v>
      </c>
      <c r="Q324" s="747">
        <f t="shared" si="73"/>
        <v>5782000</v>
      </c>
      <c r="R324" s="747">
        <v>5782000</v>
      </c>
      <c r="S324" s="747"/>
      <c r="T324" s="747"/>
      <c r="U324" s="747">
        <f t="shared" si="70"/>
        <v>0</v>
      </c>
      <c r="V324" s="747">
        <f t="shared" si="71"/>
        <v>5782000</v>
      </c>
      <c r="W324" s="747">
        <f t="shared" si="72"/>
        <v>0</v>
      </c>
      <c r="X324" s="747">
        <f t="shared" si="74"/>
        <v>5782000</v>
      </c>
      <c r="Y324" s="687"/>
    </row>
    <row r="325" spans="1:25" s="660" customFormat="1">
      <c r="A325" s="778">
        <v>191</v>
      </c>
      <c r="B325" s="794" t="s">
        <v>1844</v>
      </c>
      <c r="C325" s="779" t="s">
        <v>777</v>
      </c>
      <c r="D325" s="780" t="s">
        <v>1845</v>
      </c>
      <c r="E325" s="747">
        <v>2334610000</v>
      </c>
      <c r="F325" s="747"/>
      <c r="G325" s="747"/>
      <c r="H325" s="747"/>
      <c r="I325" s="747"/>
      <c r="J325" s="747"/>
      <c r="K325" s="747"/>
      <c r="L325" s="747"/>
      <c r="M325" s="747"/>
      <c r="N325" s="747"/>
      <c r="O325" s="747"/>
      <c r="P325" s="747">
        <v>5137000</v>
      </c>
      <c r="Q325" s="747">
        <f t="shared" si="73"/>
        <v>5137000</v>
      </c>
      <c r="R325" s="747">
        <v>5137000</v>
      </c>
      <c r="S325" s="747"/>
      <c r="T325" s="747"/>
      <c r="U325" s="747">
        <f t="shared" si="70"/>
        <v>0</v>
      </c>
      <c r="V325" s="747">
        <f t="shared" si="71"/>
        <v>5137000</v>
      </c>
      <c r="W325" s="747">
        <f t="shared" si="72"/>
        <v>0</v>
      </c>
      <c r="X325" s="747">
        <f t="shared" si="74"/>
        <v>5137000</v>
      </c>
      <c r="Y325" s="687"/>
    </row>
    <row r="326" spans="1:25" s="660" customFormat="1">
      <c r="A326" s="778">
        <v>192</v>
      </c>
      <c r="B326" s="794" t="s">
        <v>1846</v>
      </c>
      <c r="C326" s="779" t="s">
        <v>777</v>
      </c>
      <c r="D326" s="780" t="s">
        <v>1847</v>
      </c>
      <c r="E326" s="747">
        <v>734574000</v>
      </c>
      <c r="F326" s="747"/>
      <c r="G326" s="747"/>
      <c r="H326" s="747"/>
      <c r="I326" s="747"/>
      <c r="J326" s="747"/>
      <c r="K326" s="747"/>
      <c r="L326" s="747"/>
      <c r="M326" s="747"/>
      <c r="N326" s="747"/>
      <c r="O326" s="747"/>
      <c r="P326" s="747">
        <v>2791000</v>
      </c>
      <c r="Q326" s="747">
        <f t="shared" si="73"/>
        <v>2791000</v>
      </c>
      <c r="R326" s="747">
        <v>2791000</v>
      </c>
      <c r="S326" s="747"/>
      <c r="T326" s="747"/>
      <c r="U326" s="747">
        <f t="shared" si="70"/>
        <v>0</v>
      </c>
      <c r="V326" s="747">
        <f t="shared" si="71"/>
        <v>2791000</v>
      </c>
      <c r="W326" s="747">
        <f t="shared" si="72"/>
        <v>0</v>
      </c>
      <c r="X326" s="747">
        <f t="shared" si="74"/>
        <v>2791000</v>
      </c>
      <c r="Y326" s="687"/>
    </row>
    <row r="327" spans="1:25" s="660" customFormat="1">
      <c r="A327" s="778">
        <v>193</v>
      </c>
      <c r="B327" s="794" t="s">
        <v>1848</v>
      </c>
      <c r="C327" s="779" t="s">
        <v>777</v>
      </c>
      <c r="D327" s="780" t="s">
        <v>1849</v>
      </c>
      <c r="E327" s="747">
        <v>2029321000</v>
      </c>
      <c r="F327" s="747"/>
      <c r="G327" s="747"/>
      <c r="H327" s="747"/>
      <c r="I327" s="747"/>
      <c r="J327" s="747"/>
      <c r="K327" s="747"/>
      <c r="L327" s="747"/>
      <c r="M327" s="747"/>
      <c r="N327" s="747"/>
      <c r="O327" s="747"/>
      <c r="P327" s="747">
        <v>6969000</v>
      </c>
      <c r="Q327" s="747">
        <f t="shared" si="73"/>
        <v>6969000</v>
      </c>
      <c r="R327" s="747">
        <v>6969000</v>
      </c>
      <c r="S327" s="747"/>
      <c r="T327" s="747"/>
      <c r="U327" s="747">
        <f t="shared" si="70"/>
        <v>0</v>
      </c>
      <c r="V327" s="747">
        <f t="shared" si="71"/>
        <v>6969000</v>
      </c>
      <c r="W327" s="747">
        <f t="shared" si="72"/>
        <v>0</v>
      </c>
      <c r="X327" s="747">
        <f t="shared" si="74"/>
        <v>6969000</v>
      </c>
      <c r="Y327" s="687"/>
    </row>
    <row r="328" spans="1:25" s="660" customFormat="1">
      <c r="A328" s="778">
        <v>194</v>
      </c>
      <c r="B328" s="794" t="s">
        <v>1850</v>
      </c>
      <c r="C328" s="779" t="s">
        <v>777</v>
      </c>
      <c r="D328" s="780" t="s">
        <v>1851</v>
      </c>
      <c r="E328" s="747">
        <v>1576074000</v>
      </c>
      <c r="F328" s="747"/>
      <c r="G328" s="747"/>
      <c r="H328" s="747"/>
      <c r="I328" s="747"/>
      <c r="J328" s="747"/>
      <c r="K328" s="747"/>
      <c r="L328" s="747"/>
      <c r="M328" s="747"/>
      <c r="N328" s="747"/>
      <c r="O328" s="747"/>
      <c r="P328" s="747">
        <v>5413000</v>
      </c>
      <c r="Q328" s="747">
        <f t="shared" si="73"/>
        <v>5413000</v>
      </c>
      <c r="R328" s="747">
        <v>5413000</v>
      </c>
      <c r="S328" s="747"/>
      <c r="T328" s="747"/>
      <c r="U328" s="747">
        <f t="shared" si="70"/>
        <v>0</v>
      </c>
      <c r="V328" s="747">
        <f t="shared" si="71"/>
        <v>5413000</v>
      </c>
      <c r="W328" s="747">
        <f t="shared" si="72"/>
        <v>0</v>
      </c>
      <c r="X328" s="747">
        <f t="shared" si="74"/>
        <v>5413000</v>
      </c>
      <c r="Y328" s="687"/>
    </row>
    <row r="329" spans="1:25" s="660" customFormat="1">
      <c r="A329" s="778">
        <v>195</v>
      </c>
      <c r="B329" s="794" t="s">
        <v>1852</v>
      </c>
      <c r="C329" s="779" t="s">
        <v>777</v>
      </c>
      <c r="D329" s="780" t="s">
        <v>1853</v>
      </c>
      <c r="E329" s="747">
        <v>1582704000</v>
      </c>
      <c r="F329" s="747"/>
      <c r="G329" s="747"/>
      <c r="H329" s="747"/>
      <c r="I329" s="747"/>
      <c r="J329" s="747"/>
      <c r="K329" s="747"/>
      <c r="L329" s="747"/>
      <c r="M329" s="747"/>
      <c r="N329" s="747"/>
      <c r="O329" s="747"/>
      <c r="P329" s="747">
        <v>3482000</v>
      </c>
      <c r="Q329" s="747">
        <f t="shared" si="73"/>
        <v>3482000</v>
      </c>
      <c r="R329" s="747">
        <v>3482000</v>
      </c>
      <c r="S329" s="747"/>
      <c r="T329" s="747"/>
      <c r="U329" s="747">
        <f t="shared" si="70"/>
        <v>0</v>
      </c>
      <c r="V329" s="747">
        <f t="shared" si="71"/>
        <v>3482000</v>
      </c>
      <c r="W329" s="747">
        <f t="shared" si="72"/>
        <v>0</v>
      </c>
      <c r="X329" s="747">
        <f t="shared" si="74"/>
        <v>3482000</v>
      </c>
      <c r="Y329" s="687"/>
    </row>
    <row r="330" spans="1:25" s="660" customFormat="1">
      <c r="A330" s="778">
        <v>196</v>
      </c>
      <c r="B330" s="794" t="s">
        <v>1854</v>
      </c>
      <c r="C330" s="779" t="s">
        <v>777</v>
      </c>
      <c r="D330" s="780" t="s">
        <v>1855</v>
      </c>
      <c r="E330" s="747">
        <v>1560588000</v>
      </c>
      <c r="F330" s="747"/>
      <c r="G330" s="747"/>
      <c r="H330" s="747"/>
      <c r="I330" s="747"/>
      <c r="J330" s="747"/>
      <c r="K330" s="747"/>
      <c r="L330" s="747"/>
      <c r="M330" s="747"/>
      <c r="N330" s="747"/>
      <c r="O330" s="747"/>
      <c r="P330" s="747">
        <v>6584000</v>
      </c>
      <c r="Q330" s="747">
        <f t="shared" si="73"/>
        <v>6584000</v>
      </c>
      <c r="R330" s="747">
        <v>6584000</v>
      </c>
      <c r="S330" s="747"/>
      <c r="T330" s="747"/>
      <c r="U330" s="747">
        <f t="shared" si="70"/>
        <v>0</v>
      </c>
      <c r="V330" s="747">
        <f t="shared" si="71"/>
        <v>6584000</v>
      </c>
      <c r="W330" s="747">
        <f t="shared" si="72"/>
        <v>0</v>
      </c>
      <c r="X330" s="747">
        <f t="shared" si="74"/>
        <v>6584000</v>
      </c>
      <c r="Y330" s="687"/>
    </row>
    <row r="331" spans="1:25" s="660" customFormat="1">
      <c r="A331" s="778">
        <v>197</v>
      </c>
      <c r="B331" s="794" t="s">
        <v>1856</v>
      </c>
      <c r="C331" s="779" t="s">
        <v>777</v>
      </c>
      <c r="D331" s="780" t="s">
        <v>1857</v>
      </c>
      <c r="E331" s="747">
        <v>815801000</v>
      </c>
      <c r="F331" s="747"/>
      <c r="G331" s="747"/>
      <c r="H331" s="747"/>
      <c r="I331" s="747"/>
      <c r="J331" s="747"/>
      <c r="K331" s="747"/>
      <c r="L331" s="747"/>
      <c r="M331" s="747"/>
      <c r="N331" s="747"/>
      <c r="O331" s="747"/>
      <c r="P331" s="747">
        <v>1795000</v>
      </c>
      <c r="Q331" s="747">
        <f t="shared" si="73"/>
        <v>1795000</v>
      </c>
      <c r="R331" s="747">
        <v>1795000</v>
      </c>
      <c r="S331" s="747"/>
      <c r="T331" s="747"/>
      <c r="U331" s="747">
        <f t="shared" si="70"/>
        <v>0</v>
      </c>
      <c r="V331" s="747">
        <f t="shared" si="71"/>
        <v>1795000</v>
      </c>
      <c r="W331" s="747">
        <f t="shared" si="72"/>
        <v>0</v>
      </c>
      <c r="X331" s="747">
        <f t="shared" si="74"/>
        <v>1795000</v>
      </c>
      <c r="Y331" s="687"/>
    </row>
    <row r="332" spans="1:25" s="660" customFormat="1">
      <c r="A332" s="778">
        <v>198</v>
      </c>
      <c r="B332" s="794" t="s">
        <v>1858</v>
      </c>
      <c r="C332" s="779" t="s">
        <v>777</v>
      </c>
      <c r="D332" s="780" t="s">
        <v>1859</v>
      </c>
      <c r="E332" s="747">
        <v>2624802000</v>
      </c>
      <c r="F332" s="747"/>
      <c r="G332" s="747"/>
      <c r="H332" s="747"/>
      <c r="I332" s="747"/>
      <c r="J332" s="747"/>
      <c r="K332" s="747"/>
      <c r="L332" s="747"/>
      <c r="M332" s="747"/>
      <c r="N332" s="747"/>
      <c r="O332" s="747"/>
      <c r="P332" s="747">
        <v>39599000</v>
      </c>
      <c r="Q332" s="747">
        <f t="shared" si="73"/>
        <v>39599000</v>
      </c>
      <c r="R332" s="747">
        <v>39599000</v>
      </c>
      <c r="S332" s="747"/>
      <c r="T332" s="747"/>
      <c r="U332" s="747">
        <f t="shared" si="70"/>
        <v>0</v>
      </c>
      <c r="V332" s="747">
        <f t="shared" si="71"/>
        <v>39599000</v>
      </c>
      <c r="W332" s="747">
        <f t="shared" si="72"/>
        <v>0</v>
      </c>
      <c r="X332" s="747">
        <f t="shared" si="74"/>
        <v>39599000</v>
      </c>
      <c r="Y332" s="687"/>
    </row>
    <row r="333" spans="1:25" s="660" customFormat="1">
      <c r="A333" s="778">
        <v>199</v>
      </c>
      <c r="B333" s="794" t="s">
        <v>1860</v>
      </c>
      <c r="C333" s="779" t="s">
        <v>777</v>
      </c>
      <c r="D333" s="780" t="s">
        <v>1861</v>
      </c>
      <c r="E333" s="747">
        <v>3925069000</v>
      </c>
      <c r="F333" s="747"/>
      <c r="G333" s="747"/>
      <c r="H333" s="747"/>
      <c r="I333" s="747"/>
      <c r="J333" s="747"/>
      <c r="K333" s="747"/>
      <c r="L333" s="747"/>
      <c r="M333" s="747"/>
      <c r="N333" s="747"/>
      <c r="O333" s="747"/>
      <c r="P333" s="747">
        <v>51051000</v>
      </c>
      <c r="Q333" s="747">
        <f t="shared" si="73"/>
        <v>51051000</v>
      </c>
      <c r="R333" s="747">
        <v>51051000</v>
      </c>
      <c r="S333" s="747"/>
      <c r="T333" s="747"/>
      <c r="U333" s="747">
        <f t="shared" si="70"/>
        <v>0</v>
      </c>
      <c r="V333" s="747">
        <f t="shared" si="71"/>
        <v>51051000</v>
      </c>
      <c r="W333" s="747">
        <f t="shared" si="72"/>
        <v>0</v>
      </c>
      <c r="X333" s="747">
        <f t="shared" si="74"/>
        <v>51051000</v>
      </c>
      <c r="Y333" s="687"/>
    </row>
    <row r="334" spans="1:25" s="660" customFormat="1">
      <c r="A334" s="778">
        <v>200</v>
      </c>
      <c r="B334" s="794" t="s">
        <v>1862</v>
      </c>
      <c r="C334" s="779" t="s">
        <v>777</v>
      </c>
      <c r="D334" s="780" t="s">
        <v>1863</v>
      </c>
      <c r="E334" s="747">
        <v>2976394000</v>
      </c>
      <c r="F334" s="747"/>
      <c r="G334" s="747"/>
      <c r="H334" s="747"/>
      <c r="I334" s="747"/>
      <c r="J334" s="747"/>
      <c r="K334" s="747"/>
      <c r="L334" s="747"/>
      <c r="M334" s="747"/>
      <c r="N334" s="747"/>
      <c r="O334" s="747"/>
      <c r="P334" s="747">
        <v>5655000</v>
      </c>
      <c r="Q334" s="747">
        <f t="shared" si="73"/>
        <v>5655000</v>
      </c>
      <c r="R334" s="747">
        <v>5655000</v>
      </c>
      <c r="S334" s="747"/>
      <c r="T334" s="747"/>
      <c r="U334" s="747">
        <f t="shared" si="70"/>
        <v>0</v>
      </c>
      <c r="V334" s="747">
        <f t="shared" si="71"/>
        <v>5655000</v>
      </c>
      <c r="W334" s="747">
        <f t="shared" si="72"/>
        <v>0</v>
      </c>
      <c r="X334" s="747">
        <f t="shared" si="74"/>
        <v>5655000</v>
      </c>
      <c r="Y334" s="687"/>
    </row>
    <row r="335" spans="1:25" s="660" customFormat="1">
      <c r="A335" s="778">
        <v>201</v>
      </c>
      <c r="B335" s="794" t="s">
        <v>1864</v>
      </c>
      <c r="C335" s="779" t="s">
        <v>777</v>
      </c>
      <c r="D335" s="780" t="s">
        <v>1865</v>
      </c>
      <c r="E335" s="747">
        <v>3408226000</v>
      </c>
      <c r="F335" s="747"/>
      <c r="G335" s="747"/>
      <c r="H335" s="747"/>
      <c r="I335" s="747"/>
      <c r="J335" s="747"/>
      <c r="K335" s="747"/>
      <c r="L335" s="747"/>
      <c r="M335" s="747"/>
      <c r="N335" s="747"/>
      <c r="O335" s="747"/>
      <c r="P335" s="747">
        <v>8708000</v>
      </c>
      <c r="Q335" s="747">
        <f t="shared" si="73"/>
        <v>8708000</v>
      </c>
      <c r="R335" s="747">
        <v>8708000</v>
      </c>
      <c r="S335" s="747"/>
      <c r="T335" s="747"/>
      <c r="U335" s="747">
        <f t="shared" si="70"/>
        <v>0</v>
      </c>
      <c r="V335" s="747">
        <f t="shared" si="71"/>
        <v>8708000</v>
      </c>
      <c r="W335" s="747">
        <f t="shared" si="72"/>
        <v>0</v>
      </c>
      <c r="X335" s="747">
        <f t="shared" si="74"/>
        <v>8708000</v>
      </c>
      <c r="Y335" s="687"/>
    </row>
    <row r="336" spans="1:25" s="660" customFormat="1" ht="22.5">
      <c r="A336" s="778">
        <v>202</v>
      </c>
      <c r="B336" s="795" t="s">
        <v>1866</v>
      </c>
      <c r="C336" s="779" t="s">
        <v>777</v>
      </c>
      <c r="D336" s="780" t="s">
        <v>1867</v>
      </c>
      <c r="E336" s="747">
        <v>2045462000</v>
      </c>
      <c r="F336" s="747"/>
      <c r="G336" s="747"/>
      <c r="H336" s="747"/>
      <c r="I336" s="747"/>
      <c r="J336" s="747"/>
      <c r="K336" s="747"/>
      <c r="L336" s="747"/>
      <c r="M336" s="747"/>
      <c r="N336" s="747"/>
      <c r="O336" s="747"/>
      <c r="P336" s="747">
        <v>3887000</v>
      </c>
      <c r="Q336" s="747">
        <f t="shared" si="73"/>
        <v>3887000</v>
      </c>
      <c r="R336" s="747">
        <v>3887000</v>
      </c>
      <c r="S336" s="747"/>
      <c r="T336" s="747"/>
      <c r="U336" s="747">
        <f t="shared" ref="U336:U382" si="75">P336-Q336-T336</f>
        <v>0</v>
      </c>
      <c r="V336" s="747">
        <f t="shared" ref="V336:V399" si="76">I336+L336+R336</f>
        <v>3887000</v>
      </c>
      <c r="W336" s="747">
        <f t="shared" ref="W336:W399" si="77">G336-H336-I336+M336+S336</f>
        <v>0</v>
      </c>
      <c r="X336" s="747">
        <f t="shared" si="74"/>
        <v>3887000</v>
      </c>
      <c r="Y336" s="687"/>
    </row>
    <row r="337" spans="1:25" s="660" customFormat="1" ht="22.5">
      <c r="A337" s="778">
        <v>203</v>
      </c>
      <c r="B337" s="794" t="s">
        <v>1868</v>
      </c>
      <c r="C337" s="779" t="s">
        <v>777</v>
      </c>
      <c r="D337" s="780" t="s">
        <v>1869</v>
      </c>
      <c r="E337" s="747">
        <v>452476000</v>
      </c>
      <c r="F337" s="747"/>
      <c r="G337" s="747"/>
      <c r="H337" s="747"/>
      <c r="I337" s="747"/>
      <c r="J337" s="747"/>
      <c r="K337" s="747"/>
      <c r="L337" s="747"/>
      <c r="M337" s="747"/>
      <c r="N337" s="747"/>
      <c r="O337" s="747"/>
      <c r="P337" s="747">
        <v>2719000</v>
      </c>
      <c r="Q337" s="747">
        <f t="shared" ref="Q337:Q382" si="78">R337+S337</f>
        <v>2719000</v>
      </c>
      <c r="R337" s="747">
        <v>2719000</v>
      </c>
      <c r="S337" s="747"/>
      <c r="T337" s="747"/>
      <c r="U337" s="747">
        <f t="shared" si="75"/>
        <v>0</v>
      </c>
      <c r="V337" s="747">
        <f t="shared" si="76"/>
        <v>2719000</v>
      </c>
      <c r="W337" s="747">
        <f t="shared" si="77"/>
        <v>0</v>
      </c>
      <c r="X337" s="747">
        <f t="shared" ref="X337:X400" si="79">F337+K337+Q337</f>
        <v>2719000</v>
      </c>
      <c r="Y337" s="687"/>
    </row>
    <row r="338" spans="1:25" s="660" customFormat="1">
      <c r="A338" s="778">
        <v>204</v>
      </c>
      <c r="B338" s="794" t="s">
        <v>1870</v>
      </c>
      <c r="C338" s="779" t="s">
        <v>777</v>
      </c>
      <c r="D338" s="780" t="s">
        <v>1871</v>
      </c>
      <c r="E338" s="747">
        <v>4615942000</v>
      </c>
      <c r="F338" s="747"/>
      <c r="G338" s="747"/>
      <c r="H338" s="747"/>
      <c r="I338" s="747"/>
      <c r="J338" s="747"/>
      <c r="K338" s="747"/>
      <c r="L338" s="747"/>
      <c r="M338" s="747"/>
      <c r="N338" s="747"/>
      <c r="O338" s="747"/>
      <c r="P338" s="747">
        <v>46822000</v>
      </c>
      <c r="Q338" s="747">
        <f t="shared" si="78"/>
        <v>46822000</v>
      </c>
      <c r="R338" s="747">
        <v>46822000</v>
      </c>
      <c r="S338" s="747"/>
      <c r="T338" s="747"/>
      <c r="U338" s="747">
        <f t="shared" si="75"/>
        <v>0</v>
      </c>
      <c r="V338" s="747">
        <f t="shared" si="76"/>
        <v>46822000</v>
      </c>
      <c r="W338" s="747">
        <f t="shared" si="77"/>
        <v>0</v>
      </c>
      <c r="X338" s="747">
        <f t="shared" si="79"/>
        <v>46822000</v>
      </c>
      <c r="Y338" s="687"/>
    </row>
    <row r="339" spans="1:25" s="660" customFormat="1">
      <c r="A339" s="778">
        <v>205</v>
      </c>
      <c r="B339" s="795" t="s">
        <v>1872</v>
      </c>
      <c r="C339" s="779" t="s">
        <v>777</v>
      </c>
      <c r="D339" s="780" t="s">
        <v>1873</v>
      </c>
      <c r="E339" s="747">
        <v>2119051000</v>
      </c>
      <c r="F339" s="747"/>
      <c r="G339" s="747"/>
      <c r="H339" s="747"/>
      <c r="I339" s="747"/>
      <c r="J339" s="747"/>
      <c r="K339" s="747"/>
      <c r="L339" s="747"/>
      <c r="M339" s="747"/>
      <c r="N339" s="747"/>
      <c r="O339" s="747"/>
      <c r="P339" s="747">
        <v>6924000</v>
      </c>
      <c r="Q339" s="747">
        <f t="shared" si="78"/>
        <v>6924000</v>
      </c>
      <c r="R339" s="747">
        <v>6924000</v>
      </c>
      <c r="S339" s="747"/>
      <c r="T339" s="747"/>
      <c r="U339" s="747">
        <f t="shared" si="75"/>
        <v>0</v>
      </c>
      <c r="V339" s="747">
        <f t="shared" si="76"/>
        <v>6924000</v>
      </c>
      <c r="W339" s="747">
        <f t="shared" si="77"/>
        <v>0</v>
      </c>
      <c r="X339" s="747">
        <f t="shared" si="79"/>
        <v>6924000</v>
      </c>
      <c r="Y339" s="687"/>
    </row>
    <row r="340" spans="1:25" s="660" customFormat="1">
      <c r="A340" s="778">
        <v>206</v>
      </c>
      <c r="B340" s="794" t="s">
        <v>1874</v>
      </c>
      <c r="C340" s="779" t="s">
        <v>777</v>
      </c>
      <c r="D340" s="780" t="s">
        <v>1875</v>
      </c>
      <c r="E340" s="747">
        <v>3567463000</v>
      </c>
      <c r="F340" s="747"/>
      <c r="G340" s="747"/>
      <c r="H340" s="747"/>
      <c r="I340" s="747"/>
      <c r="J340" s="747"/>
      <c r="K340" s="747"/>
      <c r="L340" s="747"/>
      <c r="M340" s="747"/>
      <c r="N340" s="747"/>
      <c r="O340" s="747"/>
      <c r="P340" s="747">
        <v>9075000</v>
      </c>
      <c r="Q340" s="747">
        <f t="shared" si="78"/>
        <v>9075000</v>
      </c>
      <c r="R340" s="747">
        <v>9075000</v>
      </c>
      <c r="S340" s="747"/>
      <c r="T340" s="747"/>
      <c r="U340" s="747">
        <f t="shared" si="75"/>
        <v>0</v>
      </c>
      <c r="V340" s="747">
        <f t="shared" si="76"/>
        <v>9075000</v>
      </c>
      <c r="W340" s="747">
        <f t="shared" si="77"/>
        <v>0</v>
      </c>
      <c r="X340" s="747">
        <f t="shared" si="79"/>
        <v>9075000</v>
      </c>
      <c r="Y340" s="687"/>
    </row>
    <row r="341" spans="1:25" s="660" customFormat="1">
      <c r="A341" s="778">
        <v>207</v>
      </c>
      <c r="B341" s="795" t="s">
        <v>1876</v>
      </c>
      <c r="C341" s="779" t="s">
        <v>777</v>
      </c>
      <c r="D341" s="780" t="s">
        <v>1877</v>
      </c>
      <c r="E341" s="747">
        <v>2258453000</v>
      </c>
      <c r="F341" s="747"/>
      <c r="G341" s="747"/>
      <c r="H341" s="747"/>
      <c r="I341" s="747"/>
      <c r="J341" s="747"/>
      <c r="K341" s="747"/>
      <c r="L341" s="747"/>
      <c r="M341" s="747"/>
      <c r="N341" s="747"/>
      <c r="O341" s="747"/>
      <c r="P341" s="747">
        <v>6464000</v>
      </c>
      <c r="Q341" s="747">
        <f t="shared" si="78"/>
        <v>6464000</v>
      </c>
      <c r="R341" s="747">
        <v>6464000</v>
      </c>
      <c r="S341" s="747"/>
      <c r="T341" s="747"/>
      <c r="U341" s="747">
        <f t="shared" si="75"/>
        <v>0</v>
      </c>
      <c r="V341" s="747">
        <f t="shared" si="76"/>
        <v>6464000</v>
      </c>
      <c r="W341" s="747">
        <f t="shared" si="77"/>
        <v>0</v>
      </c>
      <c r="X341" s="747">
        <f t="shared" si="79"/>
        <v>6464000</v>
      </c>
      <c r="Y341" s="687"/>
    </row>
    <row r="342" spans="1:25" s="660" customFormat="1">
      <c r="A342" s="778">
        <v>208</v>
      </c>
      <c r="B342" s="794" t="s">
        <v>1878</v>
      </c>
      <c r="C342" s="779" t="s">
        <v>777</v>
      </c>
      <c r="D342" s="780" t="s">
        <v>1879</v>
      </c>
      <c r="E342" s="747">
        <v>2191945000</v>
      </c>
      <c r="F342" s="747"/>
      <c r="G342" s="747"/>
      <c r="H342" s="747"/>
      <c r="I342" s="747"/>
      <c r="J342" s="747"/>
      <c r="K342" s="747"/>
      <c r="L342" s="747"/>
      <c r="M342" s="747"/>
      <c r="N342" s="747"/>
      <c r="O342" s="747"/>
      <c r="P342" s="747">
        <v>71153000</v>
      </c>
      <c r="Q342" s="747">
        <f t="shared" si="78"/>
        <v>71153000</v>
      </c>
      <c r="R342" s="747">
        <v>71153000</v>
      </c>
      <c r="S342" s="747"/>
      <c r="T342" s="747"/>
      <c r="U342" s="747">
        <f t="shared" si="75"/>
        <v>0</v>
      </c>
      <c r="V342" s="747">
        <f t="shared" si="76"/>
        <v>71153000</v>
      </c>
      <c r="W342" s="747">
        <f t="shared" si="77"/>
        <v>0</v>
      </c>
      <c r="X342" s="747">
        <f t="shared" si="79"/>
        <v>71153000</v>
      </c>
      <c r="Y342" s="687"/>
    </row>
    <row r="343" spans="1:25" s="660" customFormat="1">
      <c r="A343" s="778">
        <v>209</v>
      </c>
      <c r="B343" s="795" t="s">
        <v>1880</v>
      </c>
      <c r="C343" s="779" t="s">
        <v>777</v>
      </c>
      <c r="D343" s="780" t="s">
        <v>1881</v>
      </c>
      <c r="E343" s="747">
        <v>10444307000</v>
      </c>
      <c r="F343" s="747"/>
      <c r="G343" s="747"/>
      <c r="H343" s="747"/>
      <c r="I343" s="747"/>
      <c r="J343" s="747"/>
      <c r="K343" s="747"/>
      <c r="L343" s="747"/>
      <c r="M343" s="747"/>
      <c r="N343" s="747"/>
      <c r="O343" s="747"/>
      <c r="P343" s="747">
        <v>28143000</v>
      </c>
      <c r="Q343" s="747">
        <f t="shared" si="78"/>
        <v>27642000</v>
      </c>
      <c r="R343" s="747">
        <v>27642000</v>
      </c>
      <c r="S343" s="747"/>
      <c r="T343" s="747"/>
      <c r="U343" s="747">
        <f t="shared" si="75"/>
        <v>501000</v>
      </c>
      <c r="V343" s="747">
        <f t="shared" si="76"/>
        <v>27642000</v>
      </c>
      <c r="W343" s="747">
        <f t="shared" si="77"/>
        <v>0</v>
      </c>
      <c r="X343" s="747">
        <f t="shared" si="79"/>
        <v>27642000</v>
      </c>
      <c r="Y343" s="687"/>
    </row>
    <row r="344" spans="1:25" s="660" customFormat="1">
      <c r="A344" s="778">
        <v>210</v>
      </c>
      <c r="B344" s="794" t="s">
        <v>1882</v>
      </c>
      <c r="C344" s="779" t="s">
        <v>777</v>
      </c>
      <c r="D344" s="780" t="s">
        <v>1883</v>
      </c>
      <c r="E344" s="747">
        <v>3224799000</v>
      </c>
      <c r="F344" s="747"/>
      <c r="G344" s="747"/>
      <c r="H344" s="747"/>
      <c r="I344" s="747"/>
      <c r="J344" s="747"/>
      <c r="K344" s="747"/>
      <c r="L344" s="747"/>
      <c r="M344" s="747"/>
      <c r="N344" s="747"/>
      <c r="O344" s="747"/>
      <c r="P344" s="747">
        <v>6128000</v>
      </c>
      <c r="Q344" s="747">
        <f t="shared" si="78"/>
        <v>6128000</v>
      </c>
      <c r="R344" s="747">
        <v>6128000</v>
      </c>
      <c r="S344" s="747"/>
      <c r="T344" s="747"/>
      <c r="U344" s="747">
        <f t="shared" si="75"/>
        <v>0</v>
      </c>
      <c r="V344" s="747">
        <f t="shared" si="76"/>
        <v>6128000</v>
      </c>
      <c r="W344" s="747">
        <f t="shared" si="77"/>
        <v>0</v>
      </c>
      <c r="X344" s="747">
        <f t="shared" si="79"/>
        <v>6128000</v>
      </c>
      <c r="Y344" s="687"/>
    </row>
    <row r="345" spans="1:25" s="660" customFormat="1">
      <c r="A345" s="778">
        <v>211</v>
      </c>
      <c r="B345" s="794" t="s">
        <v>1884</v>
      </c>
      <c r="C345" s="779" t="s">
        <v>777</v>
      </c>
      <c r="D345" s="780" t="s">
        <v>1885</v>
      </c>
      <c r="E345" s="747">
        <v>2069075000</v>
      </c>
      <c r="F345" s="747"/>
      <c r="G345" s="747"/>
      <c r="H345" s="747"/>
      <c r="I345" s="747"/>
      <c r="J345" s="747"/>
      <c r="K345" s="747"/>
      <c r="L345" s="747"/>
      <c r="M345" s="747"/>
      <c r="N345" s="747"/>
      <c r="O345" s="747"/>
      <c r="P345" s="747">
        <v>60210000</v>
      </c>
      <c r="Q345" s="747">
        <f t="shared" si="78"/>
        <v>60210000</v>
      </c>
      <c r="R345" s="747">
        <v>60210000</v>
      </c>
      <c r="S345" s="747"/>
      <c r="T345" s="747"/>
      <c r="U345" s="747">
        <f t="shared" si="75"/>
        <v>0</v>
      </c>
      <c r="V345" s="747">
        <f t="shared" si="76"/>
        <v>60210000</v>
      </c>
      <c r="W345" s="747">
        <f t="shared" si="77"/>
        <v>0</v>
      </c>
      <c r="X345" s="747">
        <f t="shared" si="79"/>
        <v>60210000</v>
      </c>
      <c r="Y345" s="687"/>
    </row>
    <row r="346" spans="1:25" s="660" customFormat="1">
      <c r="A346" s="778">
        <v>212</v>
      </c>
      <c r="B346" s="794" t="s">
        <v>1886</v>
      </c>
      <c r="C346" s="779" t="s">
        <v>777</v>
      </c>
      <c r="D346" s="780" t="s">
        <v>1887</v>
      </c>
      <c r="E346" s="747">
        <v>2368044000</v>
      </c>
      <c r="F346" s="747"/>
      <c r="G346" s="747"/>
      <c r="H346" s="747"/>
      <c r="I346" s="747"/>
      <c r="J346" s="747"/>
      <c r="K346" s="747"/>
      <c r="L346" s="747"/>
      <c r="M346" s="747"/>
      <c r="N346" s="747"/>
      <c r="O346" s="747"/>
      <c r="P346" s="747">
        <v>71448000</v>
      </c>
      <c r="Q346" s="747">
        <f t="shared" si="78"/>
        <v>71448000</v>
      </c>
      <c r="R346" s="747">
        <v>71448000</v>
      </c>
      <c r="S346" s="747"/>
      <c r="T346" s="747"/>
      <c r="U346" s="747">
        <f t="shared" si="75"/>
        <v>0</v>
      </c>
      <c r="V346" s="747">
        <f t="shared" si="76"/>
        <v>71448000</v>
      </c>
      <c r="W346" s="747">
        <f t="shared" si="77"/>
        <v>0</v>
      </c>
      <c r="X346" s="747">
        <f t="shared" si="79"/>
        <v>71448000</v>
      </c>
      <c r="Y346" s="687"/>
    </row>
    <row r="347" spans="1:25" s="660" customFormat="1">
      <c r="A347" s="778">
        <v>213</v>
      </c>
      <c r="B347" s="795" t="s">
        <v>1888</v>
      </c>
      <c r="C347" s="779" t="s">
        <v>777</v>
      </c>
      <c r="D347" s="780" t="s">
        <v>1889</v>
      </c>
      <c r="E347" s="747">
        <v>5961042412</v>
      </c>
      <c r="F347" s="747"/>
      <c r="G347" s="747"/>
      <c r="H347" s="747"/>
      <c r="I347" s="747"/>
      <c r="J347" s="747"/>
      <c r="K347" s="747"/>
      <c r="L347" s="747"/>
      <c r="M347" s="747"/>
      <c r="N347" s="747"/>
      <c r="O347" s="747"/>
      <c r="P347" s="747">
        <v>43400000</v>
      </c>
      <c r="Q347" s="747">
        <f t="shared" si="78"/>
        <v>43400000</v>
      </c>
      <c r="R347" s="747">
        <v>43400000</v>
      </c>
      <c r="S347" s="747"/>
      <c r="T347" s="747"/>
      <c r="U347" s="747">
        <f t="shared" si="75"/>
        <v>0</v>
      </c>
      <c r="V347" s="747">
        <f t="shared" si="76"/>
        <v>43400000</v>
      </c>
      <c r="W347" s="747">
        <f t="shared" si="77"/>
        <v>0</v>
      </c>
      <c r="X347" s="747">
        <f t="shared" si="79"/>
        <v>43400000</v>
      </c>
      <c r="Y347" s="687"/>
    </row>
    <row r="348" spans="1:25" s="660" customFormat="1">
      <c r="A348" s="778">
        <v>214</v>
      </c>
      <c r="B348" s="795" t="s">
        <v>1890</v>
      </c>
      <c r="C348" s="779" t="s">
        <v>777</v>
      </c>
      <c r="D348" s="780" t="s">
        <v>1891</v>
      </c>
      <c r="E348" s="747">
        <v>1497463000</v>
      </c>
      <c r="F348" s="747"/>
      <c r="G348" s="747"/>
      <c r="H348" s="747"/>
      <c r="I348" s="747"/>
      <c r="J348" s="747"/>
      <c r="K348" s="747"/>
      <c r="L348" s="747"/>
      <c r="M348" s="747"/>
      <c r="N348" s="747"/>
      <c r="O348" s="747"/>
      <c r="P348" s="747">
        <v>20036000</v>
      </c>
      <c r="Q348" s="747">
        <f t="shared" si="78"/>
        <v>20036000</v>
      </c>
      <c r="R348" s="747">
        <v>20036000</v>
      </c>
      <c r="S348" s="747"/>
      <c r="T348" s="747"/>
      <c r="U348" s="747">
        <f t="shared" si="75"/>
        <v>0</v>
      </c>
      <c r="V348" s="747">
        <f t="shared" si="76"/>
        <v>20036000</v>
      </c>
      <c r="W348" s="747">
        <f t="shared" si="77"/>
        <v>0</v>
      </c>
      <c r="X348" s="747">
        <f t="shared" si="79"/>
        <v>20036000</v>
      </c>
      <c r="Y348" s="687"/>
    </row>
    <row r="349" spans="1:25" s="660" customFormat="1">
      <c r="A349" s="778">
        <v>215</v>
      </c>
      <c r="B349" s="794" t="s">
        <v>1892</v>
      </c>
      <c r="C349" s="779" t="s">
        <v>777</v>
      </c>
      <c r="D349" s="780" t="s">
        <v>1893</v>
      </c>
      <c r="E349" s="747">
        <v>13874992000</v>
      </c>
      <c r="F349" s="747"/>
      <c r="G349" s="747"/>
      <c r="H349" s="747"/>
      <c r="I349" s="747"/>
      <c r="J349" s="747"/>
      <c r="K349" s="747"/>
      <c r="L349" s="747"/>
      <c r="M349" s="747"/>
      <c r="N349" s="747"/>
      <c r="O349" s="747"/>
      <c r="P349" s="747">
        <v>239852000</v>
      </c>
      <c r="Q349" s="747">
        <f t="shared" si="78"/>
        <v>239852000</v>
      </c>
      <c r="R349" s="747">
        <v>239852000</v>
      </c>
      <c r="S349" s="747"/>
      <c r="T349" s="747"/>
      <c r="U349" s="747">
        <f t="shared" si="75"/>
        <v>0</v>
      </c>
      <c r="V349" s="747">
        <f t="shared" si="76"/>
        <v>239852000</v>
      </c>
      <c r="W349" s="747">
        <f t="shared" si="77"/>
        <v>0</v>
      </c>
      <c r="X349" s="747">
        <f t="shared" si="79"/>
        <v>239852000</v>
      </c>
      <c r="Y349" s="687"/>
    </row>
    <row r="350" spans="1:25" s="660" customFormat="1">
      <c r="A350" s="778">
        <v>216</v>
      </c>
      <c r="B350" s="794" t="s">
        <v>1894</v>
      </c>
      <c r="C350" s="779" t="s">
        <v>777</v>
      </c>
      <c r="D350" s="780" t="s">
        <v>1895</v>
      </c>
      <c r="E350" s="747">
        <v>4608071000</v>
      </c>
      <c r="F350" s="747"/>
      <c r="G350" s="747"/>
      <c r="H350" s="747"/>
      <c r="I350" s="747"/>
      <c r="J350" s="747"/>
      <c r="K350" s="747"/>
      <c r="L350" s="747"/>
      <c r="M350" s="747"/>
      <c r="N350" s="747"/>
      <c r="O350" s="747"/>
      <c r="P350" s="747">
        <v>70574000</v>
      </c>
      <c r="Q350" s="747">
        <f t="shared" si="78"/>
        <v>70574000</v>
      </c>
      <c r="R350" s="747">
        <v>70574000</v>
      </c>
      <c r="S350" s="747"/>
      <c r="T350" s="747"/>
      <c r="U350" s="747">
        <f t="shared" si="75"/>
        <v>0</v>
      </c>
      <c r="V350" s="747">
        <f t="shared" si="76"/>
        <v>70574000</v>
      </c>
      <c r="W350" s="747">
        <f t="shared" si="77"/>
        <v>0</v>
      </c>
      <c r="X350" s="747">
        <f t="shared" si="79"/>
        <v>70574000</v>
      </c>
      <c r="Y350" s="687"/>
    </row>
    <row r="351" spans="1:25" s="660" customFormat="1" ht="22.5">
      <c r="A351" s="778">
        <v>217</v>
      </c>
      <c r="B351" s="794" t="s">
        <v>1896</v>
      </c>
      <c r="C351" s="779" t="s">
        <v>777</v>
      </c>
      <c r="D351" s="780" t="s">
        <v>1897</v>
      </c>
      <c r="E351" s="747">
        <v>38464382000</v>
      </c>
      <c r="F351" s="747"/>
      <c r="G351" s="747"/>
      <c r="H351" s="747"/>
      <c r="I351" s="747"/>
      <c r="J351" s="747"/>
      <c r="K351" s="747"/>
      <c r="L351" s="747"/>
      <c r="M351" s="747"/>
      <c r="N351" s="747"/>
      <c r="O351" s="747"/>
      <c r="P351" s="747">
        <v>152024000</v>
      </c>
      <c r="Q351" s="747">
        <f t="shared" si="78"/>
        <v>152024000</v>
      </c>
      <c r="R351" s="747">
        <v>152024000</v>
      </c>
      <c r="S351" s="747"/>
      <c r="T351" s="747"/>
      <c r="U351" s="747">
        <f t="shared" si="75"/>
        <v>0</v>
      </c>
      <c r="V351" s="747">
        <f t="shared" si="76"/>
        <v>152024000</v>
      </c>
      <c r="W351" s="747">
        <f t="shared" si="77"/>
        <v>0</v>
      </c>
      <c r="X351" s="747">
        <f t="shared" si="79"/>
        <v>152024000</v>
      </c>
      <c r="Y351" s="687"/>
    </row>
    <row r="352" spans="1:25" s="660" customFormat="1" ht="22.5">
      <c r="A352" s="778">
        <v>218</v>
      </c>
      <c r="B352" s="794" t="s">
        <v>1898</v>
      </c>
      <c r="C352" s="779" t="s">
        <v>777</v>
      </c>
      <c r="D352" s="780" t="s">
        <v>838</v>
      </c>
      <c r="E352" s="747">
        <v>78296811792</v>
      </c>
      <c r="F352" s="747"/>
      <c r="G352" s="747"/>
      <c r="H352" s="747"/>
      <c r="I352" s="747"/>
      <c r="J352" s="747"/>
      <c r="K352" s="747"/>
      <c r="L352" s="747"/>
      <c r="M352" s="747"/>
      <c r="N352" s="747"/>
      <c r="O352" s="747"/>
      <c r="P352" s="747">
        <v>211556000</v>
      </c>
      <c r="Q352" s="747">
        <f t="shared" si="78"/>
        <v>211556000</v>
      </c>
      <c r="R352" s="747">
        <v>211556000</v>
      </c>
      <c r="S352" s="747"/>
      <c r="T352" s="747"/>
      <c r="U352" s="747">
        <f t="shared" si="75"/>
        <v>0</v>
      </c>
      <c r="V352" s="747">
        <f t="shared" si="76"/>
        <v>211556000</v>
      </c>
      <c r="W352" s="747">
        <f t="shared" si="77"/>
        <v>0</v>
      </c>
      <c r="X352" s="747">
        <f t="shared" si="79"/>
        <v>211556000</v>
      </c>
      <c r="Y352" s="687"/>
    </row>
    <row r="353" spans="1:25" s="660" customFormat="1">
      <c r="A353" s="778">
        <v>219</v>
      </c>
      <c r="B353" s="794" t="s">
        <v>1899</v>
      </c>
      <c r="C353" s="779" t="s">
        <v>777</v>
      </c>
      <c r="D353" s="780" t="s">
        <v>1900</v>
      </c>
      <c r="E353" s="747">
        <v>21883354417</v>
      </c>
      <c r="F353" s="747"/>
      <c r="G353" s="747"/>
      <c r="H353" s="747"/>
      <c r="I353" s="747"/>
      <c r="J353" s="747"/>
      <c r="K353" s="747"/>
      <c r="L353" s="747"/>
      <c r="M353" s="747"/>
      <c r="N353" s="747"/>
      <c r="O353" s="747"/>
      <c r="P353" s="747">
        <v>140158000</v>
      </c>
      <c r="Q353" s="747">
        <f t="shared" si="78"/>
        <v>140158000</v>
      </c>
      <c r="R353" s="747">
        <v>140158000</v>
      </c>
      <c r="S353" s="747"/>
      <c r="T353" s="747"/>
      <c r="U353" s="747">
        <f t="shared" si="75"/>
        <v>0</v>
      </c>
      <c r="V353" s="747">
        <f t="shared" si="76"/>
        <v>140158000</v>
      </c>
      <c r="W353" s="747">
        <f t="shared" si="77"/>
        <v>0</v>
      </c>
      <c r="X353" s="747">
        <f t="shared" si="79"/>
        <v>140158000</v>
      </c>
      <c r="Y353" s="687"/>
    </row>
    <row r="354" spans="1:25" s="660" customFormat="1" ht="22.5">
      <c r="A354" s="778">
        <v>220</v>
      </c>
      <c r="B354" s="794" t="s">
        <v>1901</v>
      </c>
      <c r="C354" s="779" t="s">
        <v>777</v>
      </c>
      <c r="D354" s="780" t="s">
        <v>1902</v>
      </c>
      <c r="E354" s="747">
        <v>30225646000</v>
      </c>
      <c r="F354" s="747"/>
      <c r="G354" s="747"/>
      <c r="H354" s="747"/>
      <c r="I354" s="747"/>
      <c r="J354" s="747"/>
      <c r="K354" s="747"/>
      <c r="L354" s="747"/>
      <c r="M354" s="747"/>
      <c r="N354" s="747"/>
      <c r="O354" s="747"/>
      <c r="P354" s="747">
        <v>193204000</v>
      </c>
      <c r="Q354" s="747">
        <f t="shared" si="78"/>
        <v>193204000</v>
      </c>
      <c r="R354" s="747">
        <v>193204000</v>
      </c>
      <c r="S354" s="747"/>
      <c r="T354" s="747"/>
      <c r="U354" s="747">
        <f t="shared" si="75"/>
        <v>0</v>
      </c>
      <c r="V354" s="747">
        <f t="shared" si="76"/>
        <v>193204000</v>
      </c>
      <c r="W354" s="747">
        <f t="shared" si="77"/>
        <v>0</v>
      </c>
      <c r="X354" s="747">
        <f t="shared" si="79"/>
        <v>193204000</v>
      </c>
      <c r="Y354" s="687"/>
    </row>
    <row r="355" spans="1:25" s="660" customFormat="1" ht="22.5">
      <c r="A355" s="778">
        <v>221</v>
      </c>
      <c r="B355" s="794" t="s">
        <v>1903</v>
      </c>
      <c r="C355" s="779" t="s">
        <v>777</v>
      </c>
      <c r="D355" s="780" t="s">
        <v>1904</v>
      </c>
      <c r="E355" s="747">
        <v>103761109000</v>
      </c>
      <c r="F355" s="747"/>
      <c r="G355" s="747"/>
      <c r="H355" s="747"/>
      <c r="I355" s="747"/>
      <c r="J355" s="747"/>
      <c r="K355" s="747"/>
      <c r="L355" s="747"/>
      <c r="M355" s="747"/>
      <c r="N355" s="747"/>
      <c r="O355" s="747"/>
      <c r="P355" s="747">
        <v>182687000</v>
      </c>
      <c r="Q355" s="747">
        <f t="shared" si="78"/>
        <v>182687000</v>
      </c>
      <c r="R355" s="747">
        <v>182687000</v>
      </c>
      <c r="S355" s="747"/>
      <c r="T355" s="747"/>
      <c r="U355" s="747">
        <f t="shared" si="75"/>
        <v>0</v>
      </c>
      <c r="V355" s="747">
        <f t="shared" si="76"/>
        <v>182687000</v>
      </c>
      <c r="W355" s="747">
        <f t="shared" si="77"/>
        <v>0</v>
      </c>
      <c r="X355" s="747">
        <f t="shared" si="79"/>
        <v>182687000</v>
      </c>
      <c r="Y355" s="687"/>
    </row>
    <row r="356" spans="1:25" s="660" customFormat="1" ht="22.5">
      <c r="A356" s="778">
        <v>222</v>
      </c>
      <c r="B356" s="794" t="s">
        <v>1905</v>
      </c>
      <c r="C356" s="779" t="s">
        <v>777</v>
      </c>
      <c r="D356" s="780" t="s">
        <v>1906</v>
      </c>
      <c r="E356" s="747">
        <v>86621999000</v>
      </c>
      <c r="F356" s="747"/>
      <c r="G356" s="747"/>
      <c r="H356" s="747"/>
      <c r="I356" s="747"/>
      <c r="J356" s="747"/>
      <c r="K356" s="747"/>
      <c r="L356" s="747"/>
      <c r="M356" s="747"/>
      <c r="N356" s="747"/>
      <c r="O356" s="747"/>
      <c r="P356" s="747">
        <v>394133000</v>
      </c>
      <c r="Q356" s="747">
        <f t="shared" si="78"/>
        <v>394133000</v>
      </c>
      <c r="R356" s="747">
        <v>394133000</v>
      </c>
      <c r="S356" s="747"/>
      <c r="T356" s="747"/>
      <c r="U356" s="747">
        <f t="shared" si="75"/>
        <v>0</v>
      </c>
      <c r="V356" s="747">
        <f t="shared" si="76"/>
        <v>394133000</v>
      </c>
      <c r="W356" s="747">
        <f t="shared" si="77"/>
        <v>0</v>
      </c>
      <c r="X356" s="747">
        <f t="shared" si="79"/>
        <v>394133000</v>
      </c>
      <c r="Y356" s="687"/>
    </row>
    <row r="357" spans="1:25" s="660" customFormat="1" ht="22.5">
      <c r="A357" s="778">
        <v>223</v>
      </c>
      <c r="B357" s="794" t="s">
        <v>1907</v>
      </c>
      <c r="C357" s="779" t="s">
        <v>777</v>
      </c>
      <c r="D357" s="780" t="s">
        <v>1908</v>
      </c>
      <c r="E357" s="747">
        <v>22549854034</v>
      </c>
      <c r="F357" s="747"/>
      <c r="G357" s="747"/>
      <c r="H357" s="747"/>
      <c r="I357" s="747"/>
      <c r="J357" s="747"/>
      <c r="K357" s="747"/>
      <c r="L357" s="747"/>
      <c r="M357" s="747"/>
      <c r="N357" s="747"/>
      <c r="O357" s="747"/>
      <c r="P357" s="747">
        <v>104489000</v>
      </c>
      <c r="Q357" s="747">
        <f t="shared" si="78"/>
        <v>104489000</v>
      </c>
      <c r="R357" s="747">
        <v>104489000</v>
      </c>
      <c r="S357" s="747"/>
      <c r="T357" s="747"/>
      <c r="U357" s="747">
        <f t="shared" si="75"/>
        <v>0</v>
      </c>
      <c r="V357" s="747">
        <f t="shared" si="76"/>
        <v>104489000</v>
      </c>
      <c r="W357" s="747">
        <f t="shared" si="77"/>
        <v>0</v>
      </c>
      <c r="X357" s="747">
        <f t="shared" si="79"/>
        <v>104489000</v>
      </c>
      <c r="Y357" s="687"/>
    </row>
    <row r="358" spans="1:25" s="660" customFormat="1" ht="22.5">
      <c r="A358" s="778">
        <v>224</v>
      </c>
      <c r="B358" s="794" t="s">
        <v>1909</v>
      </c>
      <c r="C358" s="779" t="s">
        <v>777</v>
      </c>
      <c r="D358" s="780" t="s">
        <v>1910</v>
      </c>
      <c r="E358" s="747">
        <v>39789832022</v>
      </c>
      <c r="F358" s="747"/>
      <c r="G358" s="747"/>
      <c r="H358" s="747"/>
      <c r="I358" s="747"/>
      <c r="J358" s="747"/>
      <c r="K358" s="747"/>
      <c r="L358" s="747"/>
      <c r="M358" s="747"/>
      <c r="N358" s="747"/>
      <c r="O358" s="747"/>
      <c r="P358" s="747">
        <v>213408000</v>
      </c>
      <c r="Q358" s="747">
        <f t="shared" si="78"/>
        <v>213408000</v>
      </c>
      <c r="R358" s="747">
        <v>213408000</v>
      </c>
      <c r="S358" s="747"/>
      <c r="T358" s="747"/>
      <c r="U358" s="747">
        <f t="shared" si="75"/>
        <v>0</v>
      </c>
      <c r="V358" s="747">
        <f t="shared" si="76"/>
        <v>213408000</v>
      </c>
      <c r="W358" s="747">
        <f t="shared" si="77"/>
        <v>0</v>
      </c>
      <c r="X358" s="747">
        <f t="shared" si="79"/>
        <v>213408000</v>
      </c>
      <c r="Y358" s="687"/>
    </row>
    <row r="359" spans="1:25" s="660" customFormat="1" ht="22.5">
      <c r="A359" s="778">
        <v>225</v>
      </c>
      <c r="B359" s="794" t="s">
        <v>1911</v>
      </c>
      <c r="C359" s="779" t="s">
        <v>777</v>
      </c>
      <c r="D359" s="780" t="s">
        <v>1912</v>
      </c>
      <c r="E359" s="747">
        <v>10966167353</v>
      </c>
      <c r="F359" s="747"/>
      <c r="G359" s="747"/>
      <c r="H359" s="747"/>
      <c r="I359" s="747"/>
      <c r="J359" s="747"/>
      <c r="K359" s="747"/>
      <c r="L359" s="747"/>
      <c r="M359" s="747"/>
      <c r="N359" s="747"/>
      <c r="O359" s="747"/>
      <c r="P359" s="747">
        <v>59546000</v>
      </c>
      <c r="Q359" s="747">
        <f t="shared" si="78"/>
        <v>59546000</v>
      </c>
      <c r="R359" s="747">
        <v>59546000</v>
      </c>
      <c r="S359" s="747"/>
      <c r="T359" s="747"/>
      <c r="U359" s="747">
        <f t="shared" si="75"/>
        <v>0</v>
      </c>
      <c r="V359" s="747">
        <f t="shared" si="76"/>
        <v>59546000</v>
      </c>
      <c r="W359" s="747">
        <f t="shared" si="77"/>
        <v>0</v>
      </c>
      <c r="X359" s="747">
        <f t="shared" si="79"/>
        <v>59546000</v>
      </c>
      <c r="Y359" s="687"/>
    </row>
    <row r="360" spans="1:25" s="660" customFormat="1">
      <c r="A360" s="778">
        <v>226</v>
      </c>
      <c r="B360" s="775" t="s">
        <v>344</v>
      </c>
      <c r="C360" s="776"/>
      <c r="D360" s="777"/>
      <c r="E360" s="747"/>
      <c r="F360" s="747"/>
      <c r="G360" s="747"/>
      <c r="H360" s="747"/>
      <c r="I360" s="747"/>
      <c r="J360" s="747"/>
      <c r="K360" s="747"/>
      <c r="L360" s="747"/>
      <c r="M360" s="747"/>
      <c r="N360" s="747"/>
      <c r="O360" s="747"/>
      <c r="P360" s="747"/>
      <c r="Q360" s="747"/>
      <c r="R360" s="747"/>
      <c r="S360" s="747"/>
      <c r="T360" s="747"/>
      <c r="U360" s="747">
        <f t="shared" si="75"/>
        <v>0</v>
      </c>
      <c r="V360" s="747">
        <f t="shared" si="76"/>
        <v>0</v>
      </c>
      <c r="W360" s="747">
        <f t="shared" si="77"/>
        <v>0</v>
      </c>
      <c r="X360" s="747"/>
      <c r="Y360" s="687"/>
    </row>
    <row r="361" spans="1:25" s="660" customFormat="1">
      <c r="A361" s="778">
        <v>227</v>
      </c>
      <c r="B361" s="764" t="s">
        <v>1913</v>
      </c>
      <c r="C361" s="779" t="s">
        <v>777</v>
      </c>
      <c r="D361" s="780" t="s">
        <v>1914</v>
      </c>
      <c r="E361" s="747">
        <v>2637638853</v>
      </c>
      <c r="F361" s="747"/>
      <c r="G361" s="747"/>
      <c r="H361" s="747"/>
      <c r="I361" s="747"/>
      <c r="J361" s="747"/>
      <c r="K361" s="747"/>
      <c r="L361" s="747"/>
      <c r="M361" s="747"/>
      <c r="N361" s="747"/>
      <c r="O361" s="747"/>
      <c r="P361" s="747">
        <v>10503000</v>
      </c>
      <c r="Q361" s="747">
        <f t="shared" si="78"/>
        <v>10503000</v>
      </c>
      <c r="R361" s="747">
        <v>10503000</v>
      </c>
      <c r="S361" s="747"/>
      <c r="T361" s="747"/>
      <c r="U361" s="747">
        <f t="shared" si="75"/>
        <v>0</v>
      </c>
      <c r="V361" s="747">
        <f t="shared" si="76"/>
        <v>10503000</v>
      </c>
      <c r="W361" s="747">
        <f t="shared" si="77"/>
        <v>0</v>
      </c>
      <c r="X361" s="747">
        <f t="shared" si="79"/>
        <v>10503000</v>
      </c>
      <c r="Y361" s="687"/>
    </row>
    <row r="362" spans="1:25" s="660" customFormat="1">
      <c r="A362" s="778">
        <v>228</v>
      </c>
      <c r="B362" s="764" t="s">
        <v>1915</v>
      </c>
      <c r="C362" s="779" t="s">
        <v>777</v>
      </c>
      <c r="D362" s="780" t="s">
        <v>1916</v>
      </c>
      <c r="E362" s="747">
        <v>153845000</v>
      </c>
      <c r="F362" s="747"/>
      <c r="G362" s="747"/>
      <c r="H362" s="747"/>
      <c r="I362" s="747"/>
      <c r="J362" s="747"/>
      <c r="K362" s="747"/>
      <c r="L362" s="747"/>
      <c r="M362" s="747"/>
      <c r="N362" s="747"/>
      <c r="O362" s="747"/>
      <c r="P362" s="747">
        <v>153845000</v>
      </c>
      <c r="Q362" s="747">
        <f t="shared" si="78"/>
        <v>153845000</v>
      </c>
      <c r="R362" s="747">
        <v>153845000</v>
      </c>
      <c r="S362" s="747"/>
      <c r="T362" s="747"/>
      <c r="U362" s="747">
        <f t="shared" si="75"/>
        <v>0</v>
      </c>
      <c r="V362" s="747">
        <f t="shared" si="76"/>
        <v>153845000</v>
      </c>
      <c r="W362" s="747">
        <f t="shared" si="77"/>
        <v>0</v>
      </c>
      <c r="X362" s="747">
        <f t="shared" si="79"/>
        <v>153845000</v>
      </c>
      <c r="Y362" s="687"/>
    </row>
    <row r="363" spans="1:25" s="660" customFormat="1" ht="22.5">
      <c r="A363" s="778">
        <v>229</v>
      </c>
      <c r="B363" s="764" t="s">
        <v>1917</v>
      </c>
      <c r="C363" s="779" t="s">
        <v>777</v>
      </c>
      <c r="D363" s="780" t="s">
        <v>1918</v>
      </c>
      <c r="E363" s="747">
        <v>2907339790</v>
      </c>
      <c r="F363" s="747"/>
      <c r="G363" s="747"/>
      <c r="H363" s="747"/>
      <c r="I363" s="747"/>
      <c r="J363" s="747"/>
      <c r="K363" s="747"/>
      <c r="L363" s="747"/>
      <c r="M363" s="747"/>
      <c r="N363" s="747"/>
      <c r="O363" s="747"/>
      <c r="P363" s="747">
        <v>2943000</v>
      </c>
      <c r="Q363" s="747">
        <f t="shared" si="78"/>
        <v>2943000</v>
      </c>
      <c r="R363" s="747">
        <v>2943000</v>
      </c>
      <c r="S363" s="747"/>
      <c r="T363" s="747"/>
      <c r="U363" s="747">
        <f t="shared" si="75"/>
        <v>0</v>
      </c>
      <c r="V363" s="747">
        <f t="shared" si="76"/>
        <v>2943000</v>
      </c>
      <c r="W363" s="747">
        <f t="shared" si="77"/>
        <v>0</v>
      </c>
      <c r="X363" s="747">
        <f t="shared" si="79"/>
        <v>2943000</v>
      </c>
      <c r="Y363" s="687"/>
    </row>
    <row r="364" spans="1:25" s="660" customFormat="1" ht="22.5">
      <c r="A364" s="778">
        <v>230</v>
      </c>
      <c r="B364" s="764" t="s">
        <v>1919</v>
      </c>
      <c r="C364" s="779" t="s">
        <v>777</v>
      </c>
      <c r="D364" s="780" t="s">
        <v>1920</v>
      </c>
      <c r="E364" s="747">
        <v>1643948168</v>
      </c>
      <c r="F364" s="747"/>
      <c r="G364" s="747"/>
      <c r="H364" s="747"/>
      <c r="I364" s="747"/>
      <c r="J364" s="747"/>
      <c r="K364" s="747"/>
      <c r="L364" s="747"/>
      <c r="M364" s="747"/>
      <c r="N364" s="747"/>
      <c r="O364" s="747"/>
      <c r="P364" s="747">
        <v>1037000</v>
      </c>
      <c r="Q364" s="747">
        <f t="shared" si="78"/>
        <v>1037000</v>
      </c>
      <c r="R364" s="747">
        <v>1037000</v>
      </c>
      <c r="S364" s="747"/>
      <c r="T364" s="747"/>
      <c r="U364" s="747">
        <f t="shared" si="75"/>
        <v>0</v>
      </c>
      <c r="V364" s="747">
        <f t="shared" si="76"/>
        <v>1037000</v>
      </c>
      <c r="W364" s="747">
        <f t="shared" si="77"/>
        <v>0</v>
      </c>
      <c r="X364" s="747">
        <f t="shared" si="79"/>
        <v>1037000</v>
      </c>
      <c r="Y364" s="687"/>
    </row>
    <row r="365" spans="1:25" s="660" customFormat="1">
      <c r="A365" s="778">
        <v>231</v>
      </c>
      <c r="B365" s="764" t="s">
        <v>1921</v>
      </c>
      <c r="C365" s="779" t="s">
        <v>777</v>
      </c>
      <c r="D365" s="780" t="s">
        <v>1922</v>
      </c>
      <c r="E365" s="747">
        <v>3915705712</v>
      </c>
      <c r="F365" s="747"/>
      <c r="G365" s="747"/>
      <c r="H365" s="747"/>
      <c r="I365" s="747"/>
      <c r="J365" s="747"/>
      <c r="K365" s="747"/>
      <c r="L365" s="747"/>
      <c r="M365" s="747"/>
      <c r="N365" s="747"/>
      <c r="O365" s="747"/>
      <c r="P365" s="747">
        <v>3877000</v>
      </c>
      <c r="Q365" s="747">
        <f t="shared" si="78"/>
        <v>3877000</v>
      </c>
      <c r="R365" s="747">
        <v>3877000</v>
      </c>
      <c r="S365" s="747"/>
      <c r="T365" s="747"/>
      <c r="U365" s="747">
        <f t="shared" si="75"/>
        <v>0</v>
      </c>
      <c r="V365" s="747">
        <f t="shared" si="76"/>
        <v>3877000</v>
      </c>
      <c r="W365" s="747">
        <f t="shared" si="77"/>
        <v>0</v>
      </c>
      <c r="X365" s="747">
        <f t="shared" si="79"/>
        <v>3877000</v>
      </c>
      <c r="Y365" s="687"/>
    </row>
    <row r="366" spans="1:25" s="660" customFormat="1">
      <c r="A366" s="778">
        <v>232</v>
      </c>
      <c r="B366" s="764" t="s">
        <v>1923</v>
      </c>
      <c r="C366" s="779" t="s">
        <v>777</v>
      </c>
      <c r="D366" s="780" t="s">
        <v>1924</v>
      </c>
      <c r="E366" s="747">
        <v>2223912600</v>
      </c>
      <c r="F366" s="747"/>
      <c r="G366" s="747"/>
      <c r="H366" s="747"/>
      <c r="I366" s="747"/>
      <c r="J366" s="747"/>
      <c r="K366" s="747"/>
      <c r="L366" s="747"/>
      <c r="M366" s="747"/>
      <c r="N366" s="747"/>
      <c r="O366" s="747"/>
      <c r="P366" s="747">
        <v>2202000</v>
      </c>
      <c r="Q366" s="747">
        <f t="shared" si="78"/>
        <v>2202000</v>
      </c>
      <c r="R366" s="747">
        <v>2202000</v>
      </c>
      <c r="S366" s="747"/>
      <c r="T366" s="747"/>
      <c r="U366" s="747">
        <f t="shared" si="75"/>
        <v>0</v>
      </c>
      <c r="V366" s="747">
        <f t="shared" si="76"/>
        <v>2202000</v>
      </c>
      <c r="W366" s="747">
        <f t="shared" si="77"/>
        <v>0</v>
      </c>
      <c r="X366" s="747">
        <f t="shared" si="79"/>
        <v>2202000</v>
      </c>
      <c r="Y366" s="687"/>
    </row>
    <row r="367" spans="1:25" s="660" customFormat="1" ht="22.5">
      <c r="A367" s="778">
        <v>233</v>
      </c>
      <c r="B367" s="784" t="s">
        <v>1925</v>
      </c>
      <c r="C367" s="779" t="s">
        <v>777</v>
      </c>
      <c r="D367" s="780" t="s">
        <v>1926</v>
      </c>
      <c r="E367" s="747">
        <v>3761032000</v>
      </c>
      <c r="F367" s="747"/>
      <c r="G367" s="747"/>
      <c r="H367" s="747"/>
      <c r="I367" s="747"/>
      <c r="J367" s="747"/>
      <c r="K367" s="747"/>
      <c r="L367" s="747"/>
      <c r="M367" s="747"/>
      <c r="N367" s="747"/>
      <c r="O367" s="747"/>
      <c r="P367" s="747">
        <v>1409759000</v>
      </c>
      <c r="Q367" s="747">
        <f t="shared" si="78"/>
        <v>1409759000</v>
      </c>
      <c r="R367" s="747">
        <v>1409759000</v>
      </c>
      <c r="S367" s="747"/>
      <c r="T367" s="747"/>
      <c r="U367" s="747">
        <f t="shared" si="75"/>
        <v>0</v>
      </c>
      <c r="V367" s="747">
        <f t="shared" si="76"/>
        <v>1409759000</v>
      </c>
      <c r="W367" s="747">
        <f t="shared" si="77"/>
        <v>0</v>
      </c>
      <c r="X367" s="747">
        <f t="shared" si="79"/>
        <v>1409759000</v>
      </c>
      <c r="Y367" s="687"/>
    </row>
    <row r="368" spans="1:25" s="660" customFormat="1">
      <c r="A368" s="778">
        <v>234</v>
      </c>
      <c r="B368" s="785" t="s">
        <v>1927</v>
      </c>
      <c r="C368" s="779" t="s">
        <v>777</v>
      </c>
      <c r="D368" s="780" t="s">
        <v>1928</v>
      </c>
      <c r="E368" s="747">
        <v>44735043000</v>
      </c>
      <c r="F368" s="747"/>
      <c r="G368" s="747"/>
      <c r="H368" s="747"/>
      <c r="I368" s="747"/>
      <c r="J368" s="747"/>
      <c r="K368" s="747"/>
      <c r="L368" s="747"/>
      <c r="M368" s="747"/>
      <c r="N368" s="747"/>
      <c r="O368" s="747"/>
      <c r="P368" s="747">
        <v>640218000</v>
      </c>
      <c r="Q368" s="747">
        <f t="shared" si="78"/>
        <v>640218000</v>
      </c>
      <c r="R368" s="747">
        <v>640218000</v>
      </c>
      <c r="S368" s="747"/>
      <c r="T368" s="747"/>
      <c r="U368" s="747">
        <f t="shared" si="75"/>
        <v>0</v>
      </c>
      <c r="V368" s="747">
        <f t="shared" si="76"/>
        <v>640218000</v>
      </c>
      <c r="W368" s="747">
        <f t="shared" si="77"/>
        <v>0</v>
      </c>
      <c r="X368" s="747">
        <f t="shared" si="79"/>
        <v>640218000</v>
      </c>
      <c r="Y368" s="687"/>
    </row>
    <row r="369" spans="1:25" s="660" customFormat="1">
      <c r="A369" s="778">
        <v>235</v>
      </c>
      <c r="B369" s="785" t="s">
        <v>1929</v>
      </c>
      <c r="C369" s="779" t="s">
        <v>777</v>
      </c>
      <c r="D369" s="780" t="s">
        <v>1930</v>
      </c>
      <c r="E369" s="747">
        <v>1000000000</v>
      </c>
      <c r="F369" s="747"/>
      <c r="G369" s="747"/>
      <c r="H369" s="747"/>
      <c r="I369" s="747"/>
      <c r="J369" s="747"/>
      <c r="K369" s="747"/>
      <c r="L369" s="747"/>
      <c r="M369" s="747"/>
      <c r="N369" s="747"/>
      <c r="O369" s="747"/>
      <c r="P369" s="747">
        <v>188713000</v>
      </c>
      <c r="Q369" s="747">
        <f t="shared" si="78"/>
        <v>188713000</v>
      </c>
      <c r="R369" s="747">
        <v>188713000</v>
      </c>
      <c r="S369" s="747"/>
      <c r="T369" s="747"/>
      <c r="U369" s="747">
        <f t="shared" si="75"/>
        <v>0</v>
      </c>
      <c r="V369" s="747">
        <f t="shared" si="76"/>
        <v>188713000</v>
      </c>
      <c r="W369" s="747">
        <f t="shared" si="77"/>
        <v>0</v>
      </c>
      <c r="X369" s="747">
        <f t="shared" si="79"/>
        <v>188713000</v>
      </c>
      <c r="Y369" s="687"/>
    </row>
    <row r="370" spans="1:25" s="660" customFormat="1" ht="22.5">
      <c r="A370" s="778">
        <v>236</v>
      </c>
      <c r="B370" s="784" t="s">
        <v>1931</v>
      </c>
      <c r="C370" s="779" t="s">
        <v>777</v>
      </c>
      <c r="D370" s="780" t="s">
        <v>1932</v>
      </c>
      <c r="E370" s="747">
        <v>350000000</v>
      </c>
      <c r="F370" s="747"/>
      <c r="G370" s="747"/>
      <c r="H370" s="747"/>
      <c r="I370" s="747"/>
      <c r="J370" s="747"/>
      <c r="K370" s="747"/>
      <c r="L370" s="747"/>
      <c r="M370" s="747"/>
      <c r="N370" s="747"/>
      <c r="O370" s="747"/>
      <c r="P370" s="747">
        <v>347087000</v>
      </c>
      <c r="Q370" s="747">
        <f t="shared" si="78"/>
        <v>347087000</v>
      </c>
      <c r="R370" s="747">
        <v>347087000</v>
      </c>
      <c r="S370" s="747"/>
      <c r="T370" s="747"/>
      <c r="U370" s="747">
        <f t="shared" si="75"/>
        <v>0</v>
      </c>
      <c r="V370" s="747">
        <f t="shared" si="76"/>
        <v>347087000</v>
      </c>
      <c r="W370" s="747">
        <f t="shared" si="77"/>
        <v>0</v>
      </c>
      <c r="X370" s="747">
        <f t="shared" si="79"/>
        <v>347087000</v>
      </c>
      <c r="Y370" s="687"/>
    </row>
    <row r="371" spans="1:25" s="660" customFormat="1">
      <c r="A371" s="778">
        <v>237</v>
      </c>
      <c r="B371" s="775" t="s">
        <v>1459</v>
      </c>
      <c r="C371" s="776"/>
      <c r="D371" s="777"/>
      <c r="E371" s="747"/>
      <c r="F371" s="747"/>
      <c r="G371" s="747"/>
      <c r="H371" s="747"/>
      <c r="I371" s="747"/>
      <c r="J371" s="747"/>
      <c r="K371" s="747"/>
      <c r="L371" s="747"/>
      <c r="M371" s="747"/>
      <c r="N371" s="747"/>
      <c r="O371" s="747"/>
      <c r="P371" s="747"/>
      <c r="Q371" s="747"/>
      <c r="R371" s="747"/>
      <c r="S371" s="747"/>
      <c r="T371" s="747"/>
      <c r="U371" s="747">
        <f t="shared" si="75"/>
        <v>0</v>
      </c>
      <c r="V371" s="747">
        <f t="shared" si="76"/>
        <v>0</v>
      </c>
      <c r="W371" s="747">
        <f t="shared" si="77"/>
        <v>0</v>
      </c>
      <c r="X371" s="747"/>
      <c r="Y371" s="687"/>
    </row>
    <row r="372" spans="1:25" s="660" customFormat="1">
      <c r="A372" s="778">
        <v>238</v>
      </c>
      <c r="B372" s="785" t="s">
        <v>1933</v>
      </c>
      <c r="C372" s="779" t="s">
        <v>777</v>
      </c>
      <c r="D372" s="780" t="s">
        <v>1934</v>
      </c>
      <c r="E372" s="747">
        <v>2986625000</v>
      </c>
      <c r="F372" s="747"/>
      <c r="G372" s="747"/>
      <c r="H372" s="747"/>
      <c r="I372" s="747"/>
      <c r="J372" s="747"/>
      <c r="K372" s="747"/>
      <c r="L372" s="747"/>
      <c r="M372" s="747"/>
      <c r="N372" s="747"/>
      <c r="O372" s="747"/>
      <c r="P372" s="747">
        <v>512899000</v>
      </c>
      <c r="Q372" s="747">
        <f t="shared" si="78"/>
        <v>512899000</v>
      </c>
      <c r="R372" s="747">
        <v>512899000</v>
      </c>
      <c r="S372" s="747"/>
      <c r="T372" s="747"/>
      <c r="U372" s="747">
        <f t="shared" si="75"/>
        <v>0</v>
      </c>
      <c r="V372" s="747">
        <f t="shared" si="76"/>
        <v>512899000</v>
      </c>
      <c r="W372" s="747">
        <f t="shared" si="77"/>
        <v>0</v>
      </c>
      <c r="X372" s="747">
        <f t="shared" si="79"/>
        <v>512899000</v>
      </c>
      <c r="Y372" s="687"/>
    </row>
    <row r="373" spans="1:25" s="660" customFormat="1">
      <c r="A373" s="778">
        <v>239</v>
      </c>
      <c r="B373" s="775" t="s">
        <v>1935</v>
      </c>
      <c r="C373" s="776"/>
      <c r="D373" s="777"/>
      <c r="E373" s="747"/>
      <c r="F373" s="747"/>
      <c r="G373" s="747"/>
      <c r="H373" s="747"/>
      <c r="I373" s="747"/>
      <c r="J373" s="747"/>
      <c r="K373" s="747"/>
      <c r="L373" s="747"/>
      <c r="M373" s="747"/>
      <c r="N373" s="747"/>
      <c r="O373" s="747"/>
      <c r="P373" s="747"/>
      <c r="Q373" s="747"/>
      <c r="R373" s="747"/>
      <c r="S373" s="747"/>
      <c r="T373" s="747"/>
      <c r="U373" s="747">
        <f t="shared" si="75"/>
        <v>0</v>
      </c>
      <c r="V373" s="747">
        <f t="shared" si="76"/>
        <v>0</v>
      </c>
      <c r="W373" s="747">
        <f t="shared" si="77"/>
        <v>0</v>
      </c>
      <c r="X373" s="747"/>
      <c r="Y373" s="687"/>
    </row>
    <row r="374" spans="1:25" s="660" customFormat="1">
      <c r="A374" s="778">
        <v>240</v>
      </c>
      <c r="B374" s="784" t="s">
        <v>1936</v>
      </c>
      <c r="C374" s="779" t="s">
        <v>777</v>
      </c>
      <c r="D374" s="780" t="s">
        <v>1937</v>
      </c>
      <c r="E374" s="747">
        <v>198000000</v>
      </c>
      <c r="F374" s="747"/>
      <c r="G374" s="747"/>
      <c r="H374" s="747"/>
      <c r="I374" s="747"/>
      <c r="J374" s="747"/>
      <c r="K374" s="747"/>
      <c r="L374" s="747"/>
      <c r="M374" s="747"/>
      <c r="N374" s="747"/>
      <c r="O374" s="747"/>
      <c r="P374" s="747">
        <v>198000000</v>
      </c>
      <c r="Q374" s="747">
        <f t="shared" si="78"/>
        <v>198000000</v>
      </c>
      <c r="R374" s="747">
        <v>198000000</v>
      </c>
      <c r="S374" s="747"/>
      <c r="T374" s="747"/>
      <c r="U374" s="747">
        <f t="shared" si="75"/>
        <v>0</v>
      </c>
      <c r="V374" s="747">
        <f t="shared" si="76"/>
        <v>198000000</v>
      </c>
      <c r="W374" s="747">
        <f t="shared" si="77"/>
        <v>0</v>
      </c>
      <c r="X374" s="747">
        <f t="shared" si="79"/>
        <v>198000000</v>
      </c>
      <c r="Y374" s="687"/>
    </row>
    <row r="375" spans="1:25" s="660" customFormat="1">
      <c r="A375" s="778">
        <v>241</v>
      </c>
      <c r="B375" s="787" t="s">
        <v>474</v>
      </c>
      <c r="C375" s="788"/>
      <c r="D375" s="789"/>
      <c r="E375" s="747"/>
      <c r="F375" s="747"/>
      <c r="G375" s="747"/>
      <c r="H375" s="747"/>
      <c r="I375" s="747"/>
      <c r="J375" s="747"/>
      <c r="K375" s="747"/>
      <c r="L375" s="747"/>
      <c r="M375" s="747"/>
      <c r="N375" s="747"/>
      <c r="O375" s="747"/>
      <c r="P375" s="747"/>
      <c r="Q375" s="747"/>
      <c r="R375" s="747"/>
      <c r="S375" s="747"/>
      <c r="T375" s="747"/>
      <c r="U375" s="747">
        <f t="shared" si="75"/>
        <v>0</v>
      </c>
      <c r="V375" s="747">
        <f t="shared" si="76"/>
        <v>0</v>
      </c>
      <c r="W375" s="747">
        <f t="shared" si="77"/>
        <v>0</v>
      </c>
      <c r="X375" s="747"/>
      <c r="Y375" s="687"/>
    </row>
    <row r="376" spans="1:25" s="660" customFormat="1">
      <c r="A376" s="778">
        <v>242</v>
      </c>
      <c r="B376" s="792" t="s">
        <v>474</v>
      </c>
      <c r="C376" s="776" t="s">
        <v>777</v>
      </c>
      <c r="D376" s="777" t="s">
        <v>1938</v>
      </c>
      <c r="E376" s="747">
        <v>299000000</v>
      </c>
      <c r="F376" s="747"/>
      <c r="G376" s="747"/>
      <c r="H376" s="747"/>
      <c r="I376" s="747"/>
      <c r="J376" s="747"/>
      <c r="K376" s="747"/>
      <c r="L376" s="747"/>
      <c r="M376" s="747"/>
      <c r="N376" s="747"/>
      <c r="O376" s="747"/>
      <c r="P376" s="747">
        <v>2830000</v>
      </c>
      <c r="Q376" s="747">
        <f t="shared" si="78"/>
        <v>2830000</v>
      </c>
      <c r="R376" s="747">
        <v>2830000</v>
      </c>
      <c r="S376" s="747"/>
      <c r="T376" s="747"/>
      <c r="U376" s="747">
        <f t="shared" si="75"/>
        <v>0</v>
      </c>
      <c r="V376" s="747">
        <f t="shared" si="76"/>
        <v>2830000</v>
      </c>
      <c r="W376" s="747">
        <f t="shared" si="77"/>
        <v>0</v>
      </c>
      <c r="X376" s="747">
        <f t="shared" si="79"/>
        <v>2830000</v>
      </c>
      <c r="Y376" s="687"/>
    </row>
    <row r="377" spans="1:25" s="660" customFormat="1">
      <c r="A377" s="778">
        <v>243</v>
      </c>
      <c r="B377" s="775" t="s">
        <v>1939</v>
      </c>
      <c r="C377" s="776"/>
      <c r="D377" s="777"/>
      <c r="E377" s="747"/>
      <c r="F377" s="747"/>
      <c r="G377" s="747"/>
      <c r="H377" s="747"/>
      <c r="I377" s="747"/>
      <c r="J377" s="747"/>
      <c r="K377" s="747"/>
      <c r="L377" s="747"/>
      <c r="M377" s="747"/>
      <c r="N377" s="747"/>
      <c r="O377" s="747"/>
      <c r="P377" s="747"/>
      <c r="Q377" s="747"/>
      <c r="R377" s="747"/>
      <c r="S377" s="747"/>
      <c r="T377" s="747"/>
      <c r="U377" s="747">
        <f t="shared" si="75"/>
        <v>0</v>
      </c>
      <c r="V377" s="747">
        <f t="shared" si="76"/>
        <v>0</v>
      </c>
      <c r="W377" s="747">
        <f t="shared" si="77"/>
        <v>0</v>
      </c>
      <c r="X377" s="747"/>
      <c r="Y377" s="687"/>
    </row>
    <row r="378" spans="1:25" s="660" customFormat="1" ht="22.5">
      <c r="A378" s="778">
        <v>244</v>
      </c>
      <c r="B378" s="745" t="s">
        <v>1940</v>
      </c>
      <c r="C378" s="779" t="s">
        <v>777</v>
      </c>
      <c r="D378" s="780" t="s">
        <v>1941</v>
      </c>
      <c r="E378" s="747">
        <v>882445726</v>
      </c>
      <c r="F378" s="747"/>
      <c r="G378" s="747"/>
      <c r="H378" s="747"/>
      <c r="I378" s="747"/>
      <c r="J378" s="747"/>
      <c r="K378" s="747"/>
      <c r="L378" s="747"/>
      <c r="M378" s="747"/>
      <c r="N378" s="747"/>
      <c r="O378" s="747"/>
      <c r="P378" s="747">
        <v>8383000</v>
      </c>
      <c r="Q378" s="747">
        <f t="shared" si="78"/>
        <v>8383000</v>
      </c>
      <c r="R378" s="747">
        <v>8383000</v>
      </c>
      <c r="S378" s="747"/>
      <c r="T378" s="747"/>
      <c r="U378" s="747">
        <f t="shared" si="75"/>
        <v>0</v>
      </c>
      <c r="V378" s="747">
        <f t="shared" si="76"/>
        <v>8383000</v>
      </c>
      <c r="W378" s="747">
        <f t="shared" si="77"/>
        <v>0</v>
      </c>
      <c r="X378" s="747">
        <f t="shared" si="79"/>
        <v>8383000</v>
      </c>
      <c r="Y378" s="687"/>
    </row>
    <row r="379" spans="1:25" s="660" customFormat="1">
      <c r="A379" s="778">
        <v>245</v>
      </c>
      <c r="B379" s="787" t="s">
        <v>478</v>
      </c>
      <c r="C379" s="788"/>
      <c r="D379" s="789"/>
      <c r="E379" s="747"/>
      <c r="F379" s="747"/>
      <c r="G379" s="747"/>
      <c r="H379" s="747"/>
      <c r="I379" s="747"/>
      <c r="J379" s="747"/>
      <c r="K379" s="747"/>
      <c r="L379" s="747"/>
      <c r="M379" s="747"/>
      <c r="N379" s="747"/>
      <c r="O379" s="747"/>
      <c r="P379" s="747"/>
      <c r="Q379" s="747"/>
      <c r="R379" s="747"/>
      <c r="S379" s="747"/>
      <c r="T379" s="747"/>
      <c r="U379" s="747">
        <f t="shared" si="75"/>
        <v>0</v>
      </c>
      <c r="V379" s="747">
        <f t="shared" si="76"/>
        <v>0</v>
      </c>
      <c r="W379" s="747">
        <f t="shared" si="77"/>
        <v>0</v>
      </c>
      <c r="X379" s="747"/>
      <c r="Y379" s="687"/>
    </row>
    <row r="380" spans="1:25" s="660" customFormat="1">
      <c r="A380" s="778">
        <v>246</v>
      </c>
      <c r="B380" s="792" t="s">
        <v>478</v>
      </c>
      <c r="C380" s="776" t="s">
        <v>777</v>
      </c>
      <c r="D380" s="777" t="s">
        <v>1942</v>
      </c>
      <c r="E380" s="747">
        <v>1000000000</v>
      </c>
      <c r="F380" s="747"/>
      <c r="G380" s="747"/>
      <c r="H380" s="747"/>
      <c r="I380" s="747"/>
      <c r="J380" s="747"/>
      <c r="K380" s="747"/>
      <c r="L380" s="747"/>
      <c r="M380" s="747"/>
      <c r="N380" s="747"/>
      <c r="O380" s="747"/>
      <c r="P380" s="747">
        <v>9305000</v>
      </c>
      <c r="Q380" s="747">
        <f t="shared" si="78"/>
        <v>9305000</v>
      </c>
      <c r="R380" s="747">
        <v>9305000</v>
      </c>
      <c r="S380" s="747"/>
      <c r="T380" s="747"/>
      <c r="U380" s="747">
        <f t="shared" si="75"/>
        <v>0</v>
      </c>
      <c r="V380" s="747">
        <f t="shared" si="76"/>
        <v>9305000</v>
      </c>
      <c r="W380" s="747">
        <f t="shared" si="77"/>
        <v>0</v>
      </c>
      <c r="X380" s="747">
        <f t="shared" si="79"/>
        <v>9305000</v>
      </c>
      <c r="Y380" s="687"/>
    </row>
    <row r="381" spans="1:25" s="660" customFormat="1">
      <c r="A381" s="778">
        <v>247</v>
      </c>
      <c r="B381" s="775" t="s">
        <v>1943</v>
      </c>
      <c r="C381" s="776"/>
      <c r="D381" s="777"/>
      <c r="E381" s="747"/>
      <c r="F381" s="747"/>
      <c r="G381" s="747"/>
      <c r="H381" s="747"/>
      <c r="I381" s="747"/>
      <c r="J381" s="747"/>
      <c r="K381" s="747"/>
      <c r="L381" s="747"/>
      <c r="M381" s="747"/>
      <c r="N381" s="747"/>
      <c r="O381" s="747"/>
      <c r="P381" s="747"/>
      <c r="Q381" s="747"/>
      <c r="R381" s="747"/>
      <c r="S381" s="747"/>
      <c r="T381" s="747"/>
      <c r="U381" s="747">
        <f t="shared" si="75"/>
        <v>0</v>
      </c>
      <c r="V381" s="747">
        <f t="shared" si="76"/>
        <v>0</v>
      </c>
      <c r="W381" s="747">
        <f t="shared" si="77"/>
        <v>0</v>
      </c>
      <c r="X381" s="747"/>
      <c r="Y381" s="687"/>
    </row>
    <row r="382" spans="1:25" s="660" customFormat="1" ht="22.5">
      <c r="A382" s="778">
        <v>248</v>
      </c>
      <c r="B382" s="792" t="s">
        <v>1944</v>
      </c>
      <c r="C382" s="776" t="s">
        <v>777</v>
      </c>
      <c r="D382" s="777" t="s">
        <v>1945</v>
      </c>
      <c r="E382" s="747">
        <v>955047000</v>
      </c>
      <c r="F382" s="747"/>
      <c r="G382" s="747"/>
      <c r="H382" s="747"/>
      <c r="I382" s="747"/>
      <c r="J382" s="747"/>
      <c r="K382" s="747"/>
      <c r="L382" s="747"/>
      <c r="M382" s="747"/>
      <c r="N382" s="747"/>
      <c r="O382" s="747"/>
      <c r="P382" s="747">
        <v>99177000</v>
      </c>
      <c r="Q382" s="747">
        <f t="shared" si="78"/>
        <v>99176000</v>
      </c>
      <c r="R382" s="747">
        <v>99176000</v>
      </c>
      <c r="S382" s="747"/>
      <c r="T382" s="747"/>
      <c r="U382" s="747">
        <f t="shared" si="75"/>
        <v>1000</v>
      </c>
      <c r="V382" s="747">
        <f t="shared" si="76"/>
        <v>99176000</v>
      </c>
      <c r="W382" s="747">
        <f t="shared" si="77"/>
        <v>0</v>
      </c>
      <c r="X382" s="747">
        <f t="shared" si="79"/>
        <v>99176000</v>
      </c>
      <c r="Y382" s="687"/>
    </row>
    <row r="383" spans="1:25" s="660" customFormat="1">
      <c r="A383" s="766"/>
      <c r="B383" s="773" t="s">
        <v>1946</v>
      </c>
      <c r="C383" s="729"/>
      <c r="D383" s="730"/>
      <c r="E383" s="731"/>
      <c r="F383" s="747"/>
      <c r="G383" s="747"/>
      <c r="H383" s="747"/>
      <c r="I383" s="747"/>
      <c r="J383" s="747"/>
      <c r="K383" s="747"/>
      <c r="L383" s="747"/>
      <c r="M383" s="747"/>
      <c r="N383" s="747"/>
      <c r="O383" s="747"/>
      <c r="P383" s="731">
        <v>48104500</v>
      </c>
      <c r="Q383" s="747"/>
      <c r="R383" s="731"/>
      <c r="S383" s="731"/>
      <c r="T383" s="731"/>
      <c r="U383" s="747">
        <f>P383-Q383-T383</f>
        <v>48104500</v>
      </c>
      <c r="V383" s="747">
        <f t="shared" si="76"/>
        <v>0</v>
      </c>
      <c r="W383" s="747">
        <f t="shared" si="77"/>
        <v>0</v>
      </c>
      <c r="X383" s="747">
        <f t="shared" si="79"/>
        <v>0</v>
      </c>
      <c r="Y383" s="687"/>
    </row>
    <row r="384" spans="1:25" s="659" customFormat="1">
      <c r="A384" s="796" t="s">
        <v>1947</v>
      </c>
      <c r="B384" s="797" t="s">
        <v>1948</v>
      </c>
      <c r="C384" s="733"/>
      <c r="D384" s="734"/>
      <c r="E384" s="735"/>
      <c r="F384" s="798">
        <f>F385+F402+F449+F462+F535+F545+F561+F584</f>
        <v>424078180181</v>
      </c>
      <c r="G384" s="798">
        <f t="shared" ref="G384:X384" si="80">G385+G402+G449+G462+G535+G545+G561+G584</f>
        <v>92220425576</v>
      </c>
      <c r="H384" s="798">
        <f t="shared" si="80"/>
        <v>432801145</v>
      </c>
      <c r="I384" s="798">
        <f t="shared" si="80"/>
        <v>74305130130</v>
      </c>
      <c r="J384" s="798">
        <f t="shared" si="80"/>
        <v>3015000000</v>
      </c>
      <c r="K384" s="798">
        <f t="shared" si="80"/>
        <v>2318067000</v>
      </c>
      <c r="L384" s="798">
        <f t="shared" si="80"/>
        <v>1128067000</v>
      </c>
      <c r="M384" s="798">
        <f t="shared" si="80"/>
        <v>1190000000</v>
      </c>
      <c r="N384" s="798">
        <f t="shared" si="80"/>
        <v>0</v>
      </c>
      <c r="O384" s="798">
        <f t="shared" si="80"/>
        <v>696933000</v>
      </c>
      <c r="P384" s="798">
        <f t="shared" si="80"/>
        <v>699720000000</v>
      </c>
      <c r="Q384" s="798">
        <f t="shared" si="80"/>
        <v>570377010605</v>
      </c>
      <c r="R384" s="798">
        <f t="shared" si="80"/>
        <v>516239880413</v>
      </c>
      <c r="S384" s="798">
        <f t="shared" si="80"/>
        <v>54137130192</v>
      </c>
      <c r="T384" s="798">
        <f t="shared" si="80"/>
        <v>46101024226</v>
      </c>
      <c r="U384" s="799">
        <f t="shared" si="80"/>
        <v>4276412169</v>
      </c>
      <c r="V384" s="799">
        <f t="shared" si="80"/>
        <v>591673077543</v>
      </c>
      <c r="W384" s="798">
        <f t="shared" si="80"/>
        <v>72809624493</v>
      </c>
      <c r="X384" s="798">
        <f t="shared" si="80"/>
        <v>994563278721</v>
      </c>
    </row>
    <row r="385" spans="1:25" s="658" customFormat="1">
      <c r="A385" s="736" t="s">
        <v>57</v>
      </c>
      <c r="B385" s="737" t="s">
        <v>1949</v>
      </c>
      <c r="C385" s="738"/>
      <c r="D385" s="739"/>
      <c r="E385" s="731">
        <f>E386+E399</f>
        <v>1586476122584</v>
      </c>
      <c r="F385" s="731">
        <f>F386+F394</f>
        <v>115314298040</v>
      </c>
      <c r="G385" s="731">
        <f t="shared" ref="G385:X385" si="81">G386+G394</f>
        <v>38089093018</v>
      </c>
      <c r="H385" s="731">
        <f t="shared" si="81"/>
        <v>0</v>
      </c>
      <c r="I385" s="731">
        <f t="shared" si="81"/>
        <v>28818405825</v>
      </c>
      <c r="J385" s="731">
        <f t="shared" si="81"/>
        <v>692000000</v>
      </c>
      <c r="K385" s="731">
        <f t="shared" si="81"/>
        <v>0</v>
      </c>
      <c r="L385" s="731">
        <f t="shared" si="81"/>
        <v>0</v>
      </c>
      <c r="M385" s="731">
        <f t="shared" si="81"/>
        <v>0</v>
      </c>
      <c r="N385" s="731">
        <f t="shared" si="81"/>
        <v>0</v>
      </c>
      <c r="O385" s="731">
        <f t="shared" si="81"/>
        <v>692000000</v>
      </c>
      <c r="P385" s="731">
        <f t="shared" si="81"/>
        <v>115850000000</v>
      </c>
      <c r="Q385" s="731">
        <f t="shared" si="81"/>
        <v>112078659942</v>
      </c>
      <c r="R385" s="731">
        <f t="shared" si="81"/>
        <v>99277894816</v>
      </c>
      <c r="S385" s="731">
        <f t="shared" si="81"/>
        <v>12800765126</v>
      </c>
      <c r="T385" s="731">
        <f t="shared" si="81"/>
        <v>3554979555</v>
      </c>
      <c r="U385" s="731">
        <f>U386+U394</f>
        <v>216360503</v>
      </c>
      <c r="V385" s="731">
        <f t="shared" si="81"/>
        <v>128096300641</v>
      </c>
      <c r="W385" s="731">
        <f t="shared" si="81"/>
        <v>22071452319</v>
      </c>
      <c r="X385" s="731">
        <f t="shared" si="81"/>
        <v>227392957982</v>
      </c>
    </row>
    <row r="386" spans="1:25" s="658" customFormat="1" ht="21">
      <c r="A386" s="759" t="s">
        <v>254</v>
      </c>
      <c r="B386" s="760" t="s">
        <v>1950</v>
      </c>
      <c r="C386" s="779"/>
      <c r="D386" s="800"/>
      <c r="E386" s="799">
        <f>E387</f>
        <v>1519092678584</v>
      </c>
      <c r="F386" s="799">
        <f>F387</f>
        <v>73054283552</v>
      </c>
      <c r="G386" s="799">
        <f t="shared" ref="G386:X386" si="82">G387</f>
        <v>24318843018</v>
      </c>
      <c r="H386" s="799">
        <f t="shared" si="82"/>
        <v>0</v>
      </c>
      <c r="I386" s="799">
        <f t="shared" si="82"/>
        <v>19698555825</v>
      </c>
      <c r="J386" s="799">
        <f t="shared" si="82"/>
        <v>0</v>
      </c>
      <c r="K386" s="799">
        <f t="shared" si="82"/>
        <v>0</v>
      </c>
      <c r="L386" s="799">
        <f t="shared" si="82"/>
        <v>0</v>
      </c>
      <c r="M386" s="799">
        <f t="shared" si="82"/>
        <v>0</v>
      </c>
      <c r="N386" s="799">
        <f t="shared" si="82"/>
        <v>0</v>
      </c>
      <c r="O386" s="799">
        <f t="shared" si="82"/>
        <v>0</v>
      </c>
      <c r="P386" s="799">
        <f t="shared" si="82"/>
        <v>75178000000</v>
      </c>
      <c r="Q386" s="799">
        <f t="shared" si="82"/>
        <v>73900489697</v>
      </c>
      <c r="R386" s="799">
        <f t="shared" si="82"/>
        <v>68093244571</v>
      </c>
      <c r="S386" s="799">
        <f t="shared" si="82"/>
        <v>5807245126</v>
      </c>
      <c r="T386" s="799">
        <f t="shared" si="82"/>
        <v>1061499000</v>
      </c>
      <c r="U386" s="799">
        <f t="shared" si="82"/>
        <v>216011303</v>
      </c>
      <c r="V386" s="799">
        <f t="shared" si="82"/>
        <v>87791800396</v>
      </c>
      <c r="W386" s="799">
        <f t="shared" si="82"/>
        <v>10427532319</v>
      </c>
      <c r="X386" s="799">
        <f t="shared" si="82"/>
        <v>146954773249</v>
      </c>
    </row>
    <row r="387" spans="1:25" s="658" customFormat="1" ht="22.5">
      <c r="A387" s="761" t="s">
        <v>1393</v>
      </c>
      <c r="B387" s="762" t="s">
        <v>1951</v>
      </c>
      <c r="C387" s="779"/>
      <c r="D387" s="801"/>
      <c r="E387" s="802">
        <f>SUM(E388:E393)</f>
        <v>1519092678584</v>
      </c>
      <c r="F387" s="802">
        <f>SUM(F388:F393)</f>
        <v>73054283552</v>
      </c>
      <c r="G387" s="802">
        <f t="shared" ref="G387:X387" si="83">SUM(G388:G393)</f>
        <v>24318843018</v>
      </c>
      <c r="H387" s="802">
        <f t="shared" si="83"/>
        <v>0</v>
      </c>
      <c r="I387" s="802">
        <f t="shared" si="83"/>
        <v>19698555825</v>
      </c>
      <c r="J387" s="802">
        <f t="shared" si="83"/>
        <v>0</v>
      </c>
      <c r="K387" s="802">
        <f t="shared" si="83"/>
        <v>0</v>
      </c>
      <c r="L387" s="802">
        <f t="shared" si="83"/>
        <v>0</v>
      </c>
      <c r="M387" s="802">
        <f t="shared" si="83"/>
        <v>0</v>
      </c>
      <c r="N387" s="802">
        <f t="shared" si="83"/>
        <v>0</v>
      </c>
      <c r="O387" s="802">
        <f t="shared" si="83"/>
        <v>0</v>
      </c>
      <c r="P387" s="802">
        <f t="shared" si="83"/>
        <v>75178000000</v>
      </c>
      <c r="Q387" s="802">
        <f t="shared" si="83"/>
        <v>73900489697</v>
      </c>
      <c r="R387" s="802">
        <f t="shared" si="83"/>
        <v>68093244571</v>
      </c>
      <c r="S387" s="802">
        <f t="shared" si="83"/>
        <v>5807245126</v>
      </c>
      <c r="T387" s="802">
        <f t="shared" si="83"/>
        <v>1061499000</v>
      </c>
      <c r="U387" s="802">
        <f t="shared" si="83"/>
        <v>216011303</v>
      </c>
      <c r="V387" s="802">
        <f t="shared" si="83"/>
        <v>87791800396</v>
      </c>
      <c r="W387" s="802">
        <f t="shared" si="83"/>
        <v>10427532319</v>
      </c>
      <c r="X387" s="802">
        <f t="shared" si="83"/>
        <v>146954773249</v>
      </c>
    </row>
    <row r="388" spans="1:25" s="658" customFormat="1">
      <c r="A388" s="803" t="s">
        <v>104</v>
      </c>
      <c r="B388" s="753" t="s">
        <v>423</v>
      </c>
      <c r="C388" s="779">
        <v>961</v>
      </c>
      <c r="D388" s="780" t="s">
        <v>1952</v>
      </c>
      <c r="E388" s="804">
        <v>190348239000</v>
      </c>
      <c r="F388" s="804">
        <v>42854808552</v>
      </c>
      <c r="G388" s="804">
        <v>23126841685</v>
      </c>
      <c r="H388" s="804"/>
      <c r="I388" s="804">
        <v>18796818685</v>
      </c>
      <c r="J388" s="804"/>
      <c r="K388" s="804">
        <f t="shared" ref="K388:K448" si="84">L388+M388</f>
        <v>0</v>
      </c>
      <c r="L388" s="804"/>
      <c r="M388" s="804"/>
      <c r="N388" s="804"/>
      <c r="O388" s="804">
        <f t="shared" ref="O388:O448" si="85">J388-K388-N388</f>
        <v>0</v>
      </c>
      <c r="P388" s="804">
        <v>33000000000</v>
      </c>
      <c r="Q388" s="804">
        <f t="shared" ref="Q388:Q448" si="86">R388+S388</f>
        <v>32999999160</v>
      </c>
      <c r="R388" s="804">
        <v>27244706034</v>
      </c>
      <c r="S388" s="804">
        <v>5755293126</v>
      </c>
      <c r="T388" s="804"/>
      <c r="U388" s="747">
        <f t="shared" ref="U388:U441" si="87">P388-Q388-T388</f>
        <v>840</v>
      </c>
      <c r="V388" s="747">
        <f t="shared" si="76"/>
        <v>46041524719</v>
      </c>
      <c r="W388" s="747">
        <f t="shared" si="77"/>
        <v>10085316126</v>
      </c>
      <c r="X388" s="747">
        <f t="shared" si="79"/>
        <v>75854807712</v>
      </c>
      <c r="Y388" s="688" t="s">
        <v>1953</v>
      </c>
    </row>
    <row r="389" spans="1:25" s="658" customFormat="1">
      <c r="A389" s="803" t="s">
        <v>105</v>
      </c>
      <c r="B389" s="745" t="s">
        <v>1954</v>
      </c>
      <c r="C389" s="779" t="s">
        <v>777</v>
      </c>
      <c r="D389" s="780" t="s">
        <v>851</v>
      </c>
      <c r="E389" s="804">
        <v>659937074000</v>
      </c>
      <c r="F389" s="804">
        <v>19921475000</v>
      </c>
      <c r="G389" s="804"/>
      <c r="H389" s="804"/>
      <c r="I389" s="804"/>
      <c r="J389" s="804"/>
      <c r="K389" s="804">
        <f t="shared" si="84"/>
        <v>0</v>
      </c>
      <c r="L389" s="804"/>
      <c r="M389" s="804"/>
      <c r="N389" s="804"/>
      <c r="O389" s="804">
        <f t="shared" si="85"/>
        <v>0</v>
      </c>
      <c r="P389" s="804">
        <v>30183000000</v>
      </c>
      <c r="Q389" s="804">
        <f t="shared" si="86"/>
        <v>30166623000</v>
      </c>
      <c r="R389" s="804">
        <v>30166623000</v>
      </c>
      <c r="S389" s="804"/>
      <c r="T389" s="804"/>
      <c r="U389" s="747">
        <f t="shared" si="87"/>
        <v>16377000</v>
      </c>
      <c r="V389" s="747">
        <f t="shared" si="76"/>
        <v>30166623000</v>
      </c>
      <c r="W389" s="747">
        <f t="shared" si="77"/>
        <v>0</v>
      </c>
      <c r="X389" s="747">
        <f t="shared" si="79"/>
        <v>50088098000</v>
      </c>
      <c r="Y389" s="688" t="s">
        <v>1953</v>
      </c>
    </row>
    <row r="390" spans="1:25" s="658" customFormat="1">
      <c r="A390" s="803" t="s">
        <v>106</v>
      </c>
      <c r="B390" s="745" t="s">
        <v>1955</v>
      </c>
      <c r="C390" s="779">
        <v>961</v>
      </c>
      <c r="D390" s="780" t="s">
        <v>1956</v>
      </c>
      <c r="E390" s="804">
        <v>26293116000</v>
      </c>
      <c r="F390" s="804">
        <v>1955000000</v>
      </c>
      <c r="G390" s="804">
        <v>1192001333</v>
      </c>
      <c r="H390" s="804"/>
      <c r="I390" s="804">
        <v>901737140</v>
      </c>
      <c r="J390" s="804"/>
      <c r="K390" s="804">
        <f t="shared" si="84"/>
        <v>0</v>
      </c>
      <c r="L390" s="804"/>
      <c r="M390" s="804"/>
      <c r="N390" s="804"/>
      <c r="O390" s="804">
        <f t="shared" si="85"/>
        <v>0</v>
      </c>
      <c r="P390" s="804">
        <v>33000000</v>
      </c>
      <c r="Q390" s="804">
        <f t="shared" si="86"/>
        <v>32473000</v>
      </c>
      <c r="R390" s="804">
        <v>32473000</v>
      </c>
      <c r="S390" s="804"/>
      <c r="T390" s="804"/>
      <c r="U390" s="747">
        <f t="shared" si="87"/>
        <v>527000</v>
      </c>
      <c r="V390" s="747">
        <f t="shared" si="76"/>
        <v>934210140</v>
      </c>
      <c r="W390" s="747">
        <f t="shared" si="77"/>
        <v>290264193</v>
      </c>
      <c r="X390" s="747">
        <f t="shared" si="79"/>
        <v>1987473000</v>
      </c>
      <c r="Y390" s="688" t="s">
        <v>1953</v>
      </c>
    </row>
    <row r="391" spans="1:25" s="658" customFormat="1">
      <c r="A391" s="803" t="s">
        <v>128</v>
      </c>
      <c r="B391" s="745" t="s">
        <v>807</v>
      </c>
      <c r="C391" s="779" t="s">
        <v>777</v>
      </c>
      <c r="D391" s="780" t="s">
        <v>848</v>
      </c>
      <c r="E391" s="804">
        <v>162238870496</v>
      </c>
      <c r="F391" s="804">
        <v>6000000000</v>
      </c>
      <c r="G391" s="804"/>
      <c r="H391" s="804"/>
      <c r="I391" s="804"/>
      <c r="J391" s="804"/>
      <c r="K391" s="804">
        <f t="shared" si="84"/>
        <v>0</v>
      </c>
      <c r="L391" s="804"/>
      <c r="M391" s="804"/>
      <c r="N391" s="804"/>
      <c r="O391" s="804">
        <f t="shared" si="85"/>
        <v>0</v>
      </c>
      <c r="P391" s="804">
        <v>3324000000</v>
      </c>
      <c r="Q391" s="804">
        <f t="shared" si="86"/>
        <v>3324000000</v>
      </c>
      <c r="R391" s="804">
        <v>3324000000</v>
      </c>
      <c r="S391" s="804"/>
      <c r="T391" s="804"/>
      <c r="U391" s="747">
        <f t="shared" si="87"/>
        <v>0</v>
      </c>
      <c r="V391" s="747">
        <f t="shared" si="76"/>
        <v>3324000000</v>
      </c>
      <c r="W391" s="747">
        <f t="shared" si="77"/>
        <v>0</v>
      </c>
      <c r="X391" s="747">
        <f t="shared" si="79"/>
        <v>9324000000</v>
      </c>
      <c r="Y391" s="658" t="s">
        <v>1957</v>
      </c>
    </row>
    <row r="392" spans="1:25" s="658" customFormat="1">
      <c r="A392" s="803" t="s">
        <v>359</v>
      </c>
      <c r="B392" s="745" t="s">
        <v>463</v>
      </c>
      <c r="C392" s="779" t="s">
        <v>777</v>
      </c>
      <c r="D392" s="780" t="s">
        <v>464</v>
      </c>
      <c r="E392" s="804">
        <v>217609474000</v>
      </c>
      <c r="F392" s="804">
        <v>2323000000</v>
      </c>
      <c r="G392" s="804"/>
      <c r="H392" s="804"/>
      <c r="I392" s="804"/>
      <c r="J392" s="804"/>
      <c r="K392" s="804">
        <f t="shared" si="84"/>
        <v>0</v>
      </c>
      <c r="L392" s="804"/>
      <c r="M392" s="804"/>
      <c r="N392" s="804"/>
      <c r="O392" s="804">
        <f t="shared" si="85"/>
        <v>0</v>
      </c>
      <c r="P392" s="804">
        <v>2638000000</v>
      </c>
      <c r="Q392" s="804">
        <f t="shared" si="86"/>
        <v>2438893537</v>
      </c>
      <c r="R392" s="804">
        <v>2438893537</v>
      </c>
      <c r="S392" s="804"/>
      <c r="T392" s="804"/>
      <c r="U392" s="747">
        <f t="shared" si="87"/>
        <v>199106463</v>
      </c>
      <c r="V392" s="747">
        <f t="shared" si="76"/>
        <v>2438893537</v>
      </c>
      <c r="W392" s="747">
        <f t="shared" si="77"/>
        <v>0</v>
      </c>
      <c r="X392" s="747">
        <f t="shared" si="79"/>
        <v>4761893537</v>
      </c>
      <c r="Y392" s="658" t="s">
        <v>784</v>
      </c>
    </row>
    <row r="393" spans="1:25" s="658" customFormat="1">
      <c r="A393" s="803" t="s">
        <v>107</v>
      </c>
      <c r="B393" s="745" t="s">
        <v>825</v>
      </c>
      <c r="C393" s="779" t="s">
        <v>777</v>
      </c>
      <c r="D393" s="780" t="s">
        <v>1958</v>
      </c>
      <c r="E393" s="804">
        <v>262665905088</v>
      </c>
      <c r="F393" s="804"/>
      <c r="G393" s="804"/>
      <c r="H393" s="804"/>
      <c r="I393" s="804"/>
      <c r="J393" s="804"/>
      <c r="K393" s="804">
        <f t="shared" si="84"/>
        <v>0</v>
      </c>
      <c r="L393" s="804"/>
      <c r="M393" s="804"/>
      <c r="N393" s="804"/>
      <c r="O393" s="804">
        <f t="shared" si="85"/>
        <v>0</v>
      </c>
      <c r="P393" s="804">
        <v>6000000000</v>
      </c>
      <c r="Q393" s="804">
        <f t="shared" si="86"/>
        <v>4938501000</v>
      </c>
      <c r="R393" s="804">
        <v>4886549000</v>
      </c>
      <c r="S393" s="804">
        <v>51952000</v>
      </c>
      <c r="T393" s="804">
        <v>1061499000</v>
      </c>
      <c r="U393" s="747">
        <f>P393-Q393-T393</f>
        <v>0</v>
      </c>
      <c r="V393" s="747">
        <f t="shared" si="76"/>
        <v>4886549000</v>
      </c>
      <c r="W393" s="747">
        <f t="shared" si="77"/>
        <v>51952000</v>
      </c>
      <c r="X393" s="747">
        <f t="shared" si="79"/>
        <v>4938501000</v>
      </c>
      <c r="Y393" s="658" t="s">
        <v>783</v>
      </c>
    </row>
    <row r="394" spans="1:25" s="658" customFormat="1">
      <c r="A394" s="759" t="s">
        <v>256</v>
      </c>
      <c r="B394" s="760" t="s">
        <v>1430</v>
      </c>
      <c r="C394" s="779"/>
      <c r="D394" s="800"/>
      <c r="E394" s="799">
        <f>E395</f>
        <v>138053528168</v>
      </c>
      <c r="F394" s="799">
        <f>F395</f>
        <v>42260014488</v>
      </c>
      <c r="G394" s="799">
        <f t="shared" ref="G394:X394" si="88">G395</f>
        <v>13770250000</v>
      </c>
      <c r="H394" s="799">
        <f t="shared" si="88"/>
        <v>0</v>
      </c>
      <c r="I394" s="799">
        <f t="shared" si="88"/>
        <v>9119850000</v>
      </c>
      <c r="J394" s="799">
        <f t="shared" si="88"/>
        <v>692000000</v>
      </c>
      <c r="K394" s="799">
        <f t="shared" si="88"/>
        <v>0</v>
      </c>
      <c r="L394" s="799">
        <f t="shared" si="88"/>
        <v>0</v>
      </c>
      <c r="M394" s="799">
        <f t="shared" si="88"/>
        <v>0</v>
      </c>
      <c r="N394" s="799">
        <f t="shared" si="88"/>
        <v>0</v>
      </c>
      <c r="O394" s="799">
        <f t="shared" si="88"/>
        <v>692000000</v>
      </c>
      <c r="P394" s="799">
        <f t="shared" si="88"/>
        <v>40672000000</v>
      </c>
      <c r="Q394" s="799">
        <f t="shared" si="88"/>
        <v>38178170245</v>
      </c>
      <c r="R394" s="799">
        <f t="shared" si="88"/>
        <v>31184650245</v>
      </c>
      <c r="S394" s="799">
        <f t="shared" si="88"/>
        <v>6993520000</v>
      </c>
      <c r="T394" s="799">
        <f t="shared" si="88"/>
        <v>2493480555</v>
      </c>
      <c r="U394" s="799">
        <f t="shared" si="88"/>
        <v>349200</v>
      </c>
      <c r="V394" s="799">
        <f t="shared" si="88"/>
        <v>40304500245</v>
      </c>
      <c r="W394" s="799">
        <f t="shared" si="88"/>
        <v>11643920000</v>
      </c>
      <c r="X394" s="799">
        <f t="shared" si="88"/>
        <v>80438184733</v>
      </c>
      <c r="Y394" s="665"/>
    </row>
    <row r="395" spans="1:25" s="658" customFormat="1" ht="22.5">
      <c r="A395" s="761" t="s">
        <v>1393</v>
      </c>
      <c r="B395" s="762" t="s">
        <v>1951</v>
      </c>
      <c r="C395" s="779"/>
      <c r="D395" s="801"/>
      <c r="E395" s="802">
        <f>SUM(E396:E401)</f>
        <v>138053528168</v>
      </c>
      <c r="F395" s="802">
        <f>SUM(F396:F401)</f>
        <v>42260014488</v>
      </c>
      <c r="G395" s="802">
        <f t="shared" ref="G395:X395" si="89">SUM(G396:G401)</f>
        <v>13770250000</v>
      </c>
      <c r="H395" s="802">
        <f t="shared" si="89"/>
        <v>0</v>
      </c>
      <c r="I395" s="802">
        <f t="shared" si="89"/>
        <v>9119850000</v>
      </c>
      <c r="J395" s="802">
        <f t="shared" si="89"/>
        <v>692000000</v>
      </c>
      <c r="K395" s="802">
        <f t="shared" si="89"/>
        <v>0</v>
      </c>
      <c r="L395" s="802">
        <f t="shared" si="89"/>
        <v>0</v>
      </c>
      <c r="M395" s="802">
        <f t="shared" si="89"/>
        <v>0</v>
      </c>
      <c r="N395" s="802">
        <f t="shared" si="89"/>
        <v>0</v>
      </c>
      <c r="O395" s="802">
        <f t="shared" si="89"/>
        <v>692000000</v>
      </c>
      <c r="P395" s="802">
        <f t="shared" si="89"/>
        <v>40672000000</v>
      </c>
      <c r="Q395" s="802">
        <f t="shared" si="89"/>
        <v>38178170245</v>
      </c>
      <c r="R395" s="802">
        <f t="shared" si="89"/>
        <v>31184650245</v>
      </c>
      <c r="S395" s="802">
        <f t="shared" si="89"/>
        <v>6993520000</v>
      </c>
      <c r="T395" s="802">
        <f t="shared" si="89"/>
        <v>2493480555</v>
      </c>
      <c r="U395" s="802">
        <f t="shared" si="89"/>
        <v>349200</v>
      </c>
      <c r="V395" s="802">
        <f t="shared" si="89"/>
        <v>40304500245</v>
      </c>
      <c r="W395" s="802">
        <f t="shared" si="89"/>
        <v>11643920000</v>
      </c>
      <c r="X395" s="802">
        <f t="shared" si="89"/>
        <v>80438184733</v>
      </c>
      <c r="Y395" s="665"/>
    </row>
    <row r="396" spans="1:25" s="658" customFormat="1">
      <c r="A396" s="803" t="s">
        <v>104</v>
      </c>
      <c r="B396" s="745" t="s">
        <v>1959</v>
      </c>
      <c r="C396" s="779" t="s">
        <v>777</v>
      </c>
      <c r="D396" s="780" t="s">
        <v>1960</v>
      </c>
      <c r="E396" s="804">
        <v>13044015000</v>
      </c>
      <c r="F396" s="804">
        <v>7217066000</v>
      </c>
      <c r="G396" s="804"/>
      <c r="H396" s="804"/>
      <c r="I396" s="804"/>
      <c r="J396" s="804"/>
      <c r="K396" s="804">
        <f t="shared" si="84"/>
        <v>0</v>
      </c>
      <c r="L396" s="804"/>
      <c r="M396" s="804"/>
      <c r="N396" s="804"/>
      <c r="O396" s="804">
        <f t="shared" si="85"/>
        <v>0</v>
      </c>
      <c r="P396" s="804">
        <v>1350000000</v>
      </c>
      <c r="Q396" s="804">
        <f t="shared" si="86"/>
        <v>1350000000</v>
      </c>
      <c r="R396" s="804">
        <v>1350000000</v>
      </c>
      <c r="S396" s="804"/>
      <c r="T396" s="804"/>
      <c r="U396" s="747">
        <f t="shared" si="87"/>
        <v>0</v>
      </c>
      <c r="V396" s="747">
        <f t="shared" si="76"/>
        <v>1350000000</v>
      </c>
      <c r="W396" s="747">
        <f t="shared" si="77"/>
        <v>0</v>
      </c>
      <c r="X396" s="747">
        <f t="shared" si="79"/>
        <v>8567066000</v>
      </c>
      <c r="Y396" s="688" t="s">
        <v>1953</v>
      </c>
    </row>
    <row r="397" spans="1:25" s="658" customFormat="1" ht="33.75">
      <c r="A397" s="803" t="s">
        <v>105</v>
      </c>
      <c r="B397" s="745" t="s">
        <v>1961</v>
      </c>
      <c r="C397" s="779" t="s">
        <v>777</v>
      </c>
      <c r="D397" s="780" t="s">
        <v>1962</v>
      </c>
      <c r="E397" s="804">
        <v>37988164594</v>
      </c>
      <c r="F397" s="804">
        <v>9307285488</v>
      </c>
      <c r="G397" s="804"/>
      <c r="H397" s="804"/>
      <c r="I397" s="804"/>
      <c r="J397" s="804">
        <v>692000000</v>
      </c>
      <c r="K397" s="804">
        <f t="shared" si="84"/>
        <v>0</v>
      </c>
      <c r="L397" s="804"/>
      <c r="M397" s="804"/>
      <c r="N397" s="804"/>
      <c r="O397" s="804">
        <f t="shared" si="85"/>
        <v>692000000</v>
      </c>
      <c r="P397" s="804">
        <v>9600000000</v>
      </c>
      <c r="Q397" s="804">
        <f t="shared" si="86"/>
        <v>8828428405</v>
      </c>
      <c r="R397" s="804">
        <v>8828428405</v>
      </c>
      <c r="S397" s="804"/>
      <c r="T397" s="804">
        <v>771571595</v>
      </c>
      <c r="U397" s="747">
        <f t="shared" si="87"/>
        <v>0</v>
      </c>
      <c r="V397" s="747">
        <f t="shared" si="76"/>
        <v>8828428405</v>
      </c>
      <c r="W397" s="747">
        <f t="shared" si="77"/>
        <v>0</v>
      </c>
      <c r="X397" s="747">
        <f t="shared" si="79"/>
        <v>18135713893</v>
      </c>
      <c r="Y397" s="688" t="s">
        <v>1963</v>
      </c>
    </row>
    <row r="398" spans="1:25" s="658" customFormat="1">
      <c r="A398" s="803" t="s">
        <v>106</v>
      </c>
      <c r="B398" s="745" t="s">
        <v>1964</v>
      </c>
      <c r="C398" s="779" t="s">
        <v>777</v>
      </c>
      <c r="D398" s="780" t="s">
        <v>1965</v>
      </c>
      <c r="E398" s="804">
        <v>12194577574</v>
      </c>
      <c r="F398" s="804">
        <v>8295951000</v>
      </c>
      <c r="G398" s="804">
        <v>2144250000</v>
      </c>
      <c r="H398" s="804"/>
      <c r="I398" s="804">
        <v>2144250000</v>
      </c>
      <c r="J398" s="804"/>
      <c r="K398" s="804">
        <f t="shared" si="84"/>
        <v>0</v>
      </c>
      <c r="L398" s="804"/>
      <c r="M398" s="804"/>
      <c r="N398" s="804"/>
      <c r="O398" s="804">
        <f t="shared" si="85"/>
        <v>0</v>
      </c>
      <c r="P398" s="804">
        <v>10000000000</v>
      </c>
      <c r="Q398" s="804">
        <f t="shared" si="86"/>
        <v>9999650800</v>
      </c>
      <c r="R398" s="804">
        <v>7800986800</v>
      </c>
      <c r="S398" s="804">
        <v>2198664000</v>
      </c>
      <c r="T398" s="804"/>
      <c r="U398" s="747">
        <f t="shared" si="87"/>
        <v>349200</v>
      </c>
      <c r="V398" s="747">
        <f t="shared" si="76"/>
        <v>9945236800</v>
      </c>
      <c r="W398" s="747">
        <f t="shared" si="77"/>
        <v>2198664000</v>
      </c>
      <c r="X398" s="747">
        <f t="shared" si="79"/>
        <v>18295601800</v>
      </c>
      <c r="Y398" s="688" t="s">
        <v>1953</v>
      </c>
    </row>
    <row r="399" spans="1:25" s="658" customFormat="1" ht="22.5">
      <c r="A399" s="803" t="s">
        <v>128</v>
      </c>
      <c r="B399" s="745" t="s">
        <v>1966</v>
      </c>
      <c r="C399" s="779" t="s">
        <v>777</v>
      </c>
      <c r="D399" s="780" t="s">
        <v>1967</v>
      </c>
      <c r="E399" s="804">
        <v>67383444000</v>
      </c>
      <c r="F399" s="804">
        <v>17439712000</v>
      </c>
      <c r="G399" s="804">
        <v>11626000000</v>
      </c>
      <c r="H399" s="804"/>
      <c r="I399" s="804">
        <v>6975600000</v>
      </c>
      <c r="J399" s="804"/>
      <c r="K399" s="804">
        <f t="shared" si="84"/>
        <v>0</v>
      </c>
      <c r="L399" s="804"/>
      <c r="M399" s="804"/>
      <c r="N399" s="804"/>
      <c r="O399" s="804">
        <f t="shared" si="85"/>
        <v>0</v>
      </c>
      <c r="P399" s="804">
        <v>15822000000</v>
      </c>
      <c r="Q399" s="804">
        <f t="shared" si="86"/>
        <v>14100362000</v>
      </c>
      <c r="R399" s="804">
        <v>9694112000</v>
      </c>
      <c r="S399" s="804">
        <v>4406250000</v>
      </c>
      <c r="T399" s="804">
        <v>1721638000</v>
      </c>
      <c r="U399" s="747">
        <f t="shared" si="87"/>
        <v>0</v>
      </c>
      <c r="V399" s="747">
        <f t="shared" si="76"/>
        <v>16669712000</v>
      </c>
      <c r="W399" s="747">
        <f t="shared" si="77"/>
        <v>9056650000</v>
      </c>
      <c r="X399" s="747">
        <f t="shared" si="79"/>
        <v>31540074000</v>
      </c>
      <c r="Y399" s="688" t="s">
        <v>1953</v>
      </c>
    </row>
    <row r="400" spans="1:25" s="660" customFormat="1" ht="22.5">
      <c r="A400" s="803" t="s">
        <v>359</v>
      </c>
      <c r="B400" s="745" t="s">
        <v>1968</v>
      </c>
      <c r="C400" s="779" t="s">
        <v>777</v>
      </c>
      <c r="D400" s="780" t="s">
        <v>1969</v>
      </c>
      <c r="E400" s="804">
        <v>1443327000</v>
      </c>
      <c r="F400" s="804"/>
      <c r="G400" s="804"/>
      <c r="H400" s="804"/>
      <c r="I400" s="804"/>
      <c r="J400" s="804"/>
      <c r="K400" s="804">
        <f t="shared" si="84"/>
        <v>0</v>
      </c>
      <c r="L400" s="804"/>
      <c r="M400" s="804"/>
      <c r="N400" s="804"/>
      <c r="O400" s="804">
        <f t="shared" si="85"/>
        <v>0</v>
      </c>
      <c r="P400" s="804">
        <v>1200000000</v>
      </c>
      <c r="Q400" s="804">
        <f t="shared" si="86"/>
        <v>1199729040</v>
      </c>
      <c r="R400" s="804">
        <v>1199729040</v>
      </c>
      <c r="S400" s="804"/>
      <c r="T400" s="804">
        <v>270960</v>
      </c>
      <c r="U400" s="747">
        <f t="shared" si="87"/>
        <v>0</v>
      </c>
      <c r="V400" s="747">
        <f t="shared" ref="V400:V461" si="90">I400+L400+R400</f>
        <v>1199729040</v>
      </c>
      <c r="W400" s="747">
        <f t="shared" ref="W400:W461" si="91">G400-H400-I400+M400+S400</f>
        <v>0</v>
      </c>
      <c r="X400" s="747">
        <f t="shared" si="79"/>
        <v>1199729040</v>
      </c>
      <c r="Y400" s="688" t="s">
        <v>1970</v>
      </c>
    </row>
    <row r="401" spans="1:25" s="665" customFormat="1">
      <c r="A401" s="803" t="s">
        <v>107</v>
      </c>
      <c r="B401" s="745" t="s">
        <v>1971</v>
      </c>
      <c r="C401" s="779" t="s">
        <v>777</v>
      </c>
      <c r="D401" s="780" t="s">
        <v>1972</v>
      </c>
      <c r="E401" s="804">
        <v>6000000000</v>
      </c>
      <c r="F401" s="804"/>
      <c r="G401" s="804"/>
      <c r="H401" s="804"/>
      <c r="I401" s="804"/>
      <c r="J401" s="804"/>
      <c r="K401" s="804">
        <f t="shared" si="84"/>
        <v>0</v>
      </c>
      <c r="L401" s="804"/>
      <c r="M401" s="804"/>
      <c r="N401" s="804"/>
      <c r="O401" s="804">
        <f t="shared" si="85"/>
        <v>0</v>
      </c>
      <c r="P401" s="804">
        <v>2700000000</v>
      </c>
      <c r="Q401" s="804">
        <f t="shared" si="86"/>
        <v>2700000000</v>
      </c>
      <c r="R401" s="804">
        <v>2311394000</v>
      </c>
      <c r="S401" s="804">
        <v>388606000</v>
      </c>
      <c r="T401" s="804"/>
      <c r="U401" s="747">
        <f t="shared" si="87"/>
        <v>0</v>
      </c>
      <c r="V401" s="747">
        <f t="shared" si="90"/>
        <v>2311394000</v>
      </c>
      <c r="W401" s="747">
        <f t="shared" si="91"/>
        <v>388606000</v>
      </c>
      <c r="X401" s="747">
        <f t="shared" ref="X401:X461" si="92">F401+K401+Q401</f>
        <v>2700000000</v>
      </c>
      <c r="Y401" s="688" t="s">
        <v>1953</v>
      </c>
    </row>
    <row r="402" spans="1:25" s="658" customFormat="1">
      <c r="A402" s="766" t="s">
        <v>80</v>
      </c>
      <c r="B402" s="760" t="s">
        <v>424</v>
      </c>
      <c r="C402" s="779"/>
      <c r="D402" s="805"/>
      <c r="E402" s="799">
        <f>E403+E406</f>
        <v>34504083000</v>
      </c>
      <c r="F402" s="799">
        <f>F403+F406</f>
        <v>36217916000</v>
      </c>
      <c r="G402" s="799">
        <f>G403+G406</f>
        <v>11318195000</v>
      </c>
      <c r="H402" s="799">
        <f t="shared" ref="H402:W402" si="93">H403+H406</f>
        <v>0</v>
      </c>
      <c r="I402" s="799">
        <f>I403+I406</f>
        <v>11318195000</v>
      </c>
      <c r="J402" s="799">
        <f t="shared" si="93"/>
        <v>0</v>
      </c>
      <c r="K402" s="799">
        <f t="shared" si="93"/>
        <v>0</v>
      </c>
      <c r="L402" s="799">
        <f t="shared" si="93"/>
        <v>0</v>
      </c>
      <c r="M402" s="799">
        <f t="shared" si="93"/>
        <v>0</v>
      </c>
      <c r="N402" s="799">
        <f t="shared" si="93"/>
        <v>0</v>
      </c>
      <c r="O402" s="799">
        <f t="shared" si="93"/>
        <v>0</v>
      </c>
      <c r="P402" s="799">
        <f>P403+P406</f>
        <v>109422000000</v>
      </c>
      <c r="Q402" s="799">
        <f t="shared" si="93"/>
        <v>87607345399</v>
      </c>
      <c r="R402" s="799">
        <f t="shared" si="93"/>
        <v>78998721399</v>
      </c>
      <c r="S402" s="799">
        <f t="shared" si="93"/>
        <v>8608624000</v>
      </c>
      <c r="T402" s="799">
        <f t="shared" si="93"/>
        <v>2721710000</v>
      </c>
      <c r="U402" s="799">
        <f t="shared" si="93"/>
        <v>247944601</v>
      </c>
      <c r="V402" s="799">
        <f t="shared" si="93"/>
        <v>90316916399</v>
      </c>
      <c r="W402" s="799">
        <f t="shared" si="93"/>
        <v>8608624000</v>
      </c>
      <c r="X402" s="799">
        <f>X403+X406</f>
        <v>123922159479</v>
      </c>
      <c r="Y402" s="689">
        <v>123922159479</v>
      </c>
    </row>
    <row r="403" spans="1:25" s="658" customFormat="1" ht="21">
      <c r="A403" s="759" t="s">
        <v>254</v>
      </c>
      <c r="B403" s="760" t="s">
        <v>1950</v>
      </c>
      <c r="C403" s="779"/>
      <c r="D403" s="800"/>
      <c r="E403" s="799">
        <f>E404</f>
        <v>34504083000</v>
      </c>
      <c r="F403" s="799">
        <f>F404</f>
        <v>5000000000</v>
      </c>
      <c r="G403" s="799">
        <f t="shared" ref="G403:X404" si="94">G404</f>
        <v>1000000000</v>
      </c>
      <c r="H403" s="799">
        <f t="shared" si="94"/>
        <v>0</v>
      </c>
      <c r="I403" s="799">
        <f t="shared" si="94"/>
        <v>1000000000</v>
      </c>
      <c r="J403" s="799">
        <f t="shared" si="94"/>
        <v>0</v>
      </c>
      <c r="K403" s="799">
        <f t="shared" si="94"/>
        <v>0</v>
      </c>
      <c r="L403" s="799">
        <f t="shared" si="94"/>
        <v>0</v>
      </c>
      <c r="M403" s="799">
        <f t="shared" si="94"/>
        <v>0</v>
      </c>
      <c r="N403" s="799">
        <f t="shared" si="94"/>
        <v>0</v>
      </c>
      <c r="O403" s="799">
        <f t="shared" si="94"/>
        <v>0</v>
      </c>
      <c r="P403" s="799">
        <f>P404</f>
        <v>3800000000</v>
      </c>
      <c r="Q403" s="799">
        <f t="shared" si="94"/>
        <v>3799825000</v>
      </c>
      <c r="R403" s="799">
        <f t="shared" si="94"/>
        <v>3799825000</v>
      </c>
      <c r="S403" s="799">
        <f t="shared" si="94"/>
        <v>0</v>
      </c>
      <c r="T403" s="799">
        <f t="shared" si="94"/>
        <v>0</v>
      </c>
      <c r="U403" s="799">
        <f t="shared" si="94"/>
        <v>175000</v>
      </c>
      <c r="V403" s="799">
        <f t="shared" si="94"/>
        <v>4799825000</v>
      </c>
      <c r="W403" s="799">
        <f t="shared" si="94"/>
        <v>0</v>
      </c>
      <c r="X403" s="799">
        <f t="shared" si="94"/>
        <v>8799825000</v>
      </c>
    </row>
    <row r="404" spans="1:25" s="658" customFormat="1" ht="22.5">
      <c r="A404" s="761" t="s">
        <v>1393</v>
      </c>
      <c r="B404" s="762" t="s">
        <v>1951</v>
      </c>
      <c r="C404" s="806"/>
      <c r="D404" s="801"/>
      <c r="E404" s="802">
        <f>E405</f>
        <v>34504083000</v>
      </c>
      <c r="F404" s="802">
        <f>F405</f>
        <v>5000000000</v>
      </c>
      <c r="G404" s="802">
        <f t="shared" si="94"/>
        <v>1000000000</v>
      </c>
      <c r="H404" s="802">
        <f t="shared" si="94"/>
        <v>0</v>
      </c>
      <c r="I404" s="802">
        <f t="shared" si="94"/>
        <v>1000000000</v>
      </c>
      <c r="J404" s="802">
        <f t="shared" si="94"/>
        <v>0</v>
      </c>
      <c r="K404" s="802">
        <f t="shared" si="94"/>
        <v>0</v>
      </c>
      <c r="L404" s="802">
        <f t="shared" si="94"/>
        <v>0</v>
      </c>
      <c r="M404" s="802">
        <f t="shared" si="94"/>
        <v>0</v>
      </c>
      <c r="N404" s="802">
        <f t="shared" si="94"/>
        <v>0</v>
      </c>
      <c r="O404" s="802">
        <f t="shared" si="94"/>
        <v>0</v>
      </c>
      <c r="P404" s="802">
        <f t="shared" si="94"/>
        <v>3800000000</v>
      </c>
      <c r="Q404" s="802">
        <f t="shared" si="94"/>
        <v>3799825000</v>
      </c>
      <c r="R404" s="802">
        <f t="shared" si="94"/>
        <v>3799825000</v>
      </c>
      <c r="S404" s="802">
        <f t="shared" si="94"/>
        <v>0</v>
      </c>
      <c r="T404" s="802">
        <f t="shared" si="94"/>
        <v>0</v>
      </c>
      <c r="U404" s="802">
        <f t="shared" si="94"/>
        <v>175000</v>
      </c>
      <c r="V404" s="802">
        <f t="shared" si="94"/>
        <v>4799825000</v>
      </c>
      <c r="W404" s="802">
        <f t="shared" si="94"/>
        <v>0</v>
      </c>
      <c r="X404" s="802">
        <f t="shared" si="94"/>
        <v>8799825000</v>
      </c>
    </row>
    <row r="405" spans="1:25" s="658" customFormat="1">
      <c r="A405" s="803" t="s">
        <v>104</v>
      </c>
      <c r="B405" s="753" t="s">
        <v>1973</v>
      </c>
      <c r="C405" s="779" t="s">
        <v>777</v>
      </c>
      <c r="D405" s="780" t="s">
        <v>1974</v>
      </c>
      <c r="E405" s="804">
        <v>34504083000</v>
      </c>
      <c r="F405" s="804">
        <v>5000000000</v>
      </c>
      <c r="G405" s="804">
        <v>1000000000</v>
      </c>
      <c r="H405" s="804"/>
      <c r="I405" s="804">
        <v>1000000000</v>
      </c>
      <c r="J405" s="804"/>
      <c r="K405" s="804">
        <f t="shared" si="84"/>
        <v>0</v>
      </c>
      <c r="L405" s="804"/>
      <c r="M405" s="804"/>
      <c r="N405" s="804"/>
      <c r="O405" s="804">
        <f t="shared" si="85"/>
        <v>0</v>
      </c>
      <c r="P405" s="804">
        <v>3800000000</v>
      </c>
      <c r="Q405" s="804">
        <f t="shared" si="86"/>
        <v>3799825000</v>
      </c>
      <c r="R405" s="804">
        <v>3799825000</v>
      </c>
      <c r="S405" s="804"/>
      <c r="T405" s="804"/>
      <c r="U405" s="747">
        <f t="shared" si="87"/>
        <v>175000</v>
      </c>
      <c r="V405" s="747">
        <f t="shared" si="90"/>
        <v>4799825000</v>
      </c>
      <c r="W405" s="747">
        <f t="shared" si="91"/>
        <v>0</v>
      </c>
      <c r="X405" s="747">
        <f t="shared" si="92"/>
        <v>8799825000</v>
      </c>
      <c r="Y405" s="688" t="s">
        <v>1953</v>
      </c>
    </row>
    <row r="406" spans="1:25" s="658" customFormat="1">
      <c r="A406" s="759" t="s">
        <v>256</v>
      </c>
      <c r="B406" s="760" t="s">
        <v>1430</v>
      </c>
      <c r="C406" s="781"/>
      <c r="D406" s="800"/>
      <c r="E406" s="807"/>
      <c r="F406" s="799">
        <f t="shared" ref="F406:N406" si="95">F407</f>
        <v>31217916000</v>
      </c>
      <c r="G406" s="799">
        <f t="shared" si="95"/>
        <v>10318195000</v>
      </c>
      <c r="H406" s="799">
        <f t="shared" si="95"/>
        <v>0</v>
      </c>
      <c r="I406" s="799">
        <f t="shared" si="95"/>
        <v>10318195000</v>
      </c>
      <c r="J406" s="799">
        <f t="shared" si="95"/>
        <v>0</v>
      </c>
      <c r="K406" s="804">
        <f t="shared" si="84"/>
        <v>0</v>
      </c>
      <c r="L406" s="799">
        <f t="shared" si="95"/>
        <v>0</v>
      </c>
      <c r="M406" s="799">
        <f t="shared" si="95"/>
        <v>0</v>
      </c>
      <c r="N406" s="799">
        <f t="shared" si="95"/>
        <v>0</v>
      </c>
      <c r="O406" s="804">
        <f t="shared" si="85"/>
        <v>0</v>
      </c>
      <c r="P406" s="799">
        <f>P407</f>
        <v>105622000000</v>
      </c>
      <c r="Q406" s="799">
        <f>R406+S406</f>
        <v>83807520399</v>
      </c>
      <c r="R406" s="799">
        <f>R407</f>
        <v>75198896399</v>
      </c>
      <c r="S406" s="799">
        <f>S407</f>
        <v>8608624000</v>
      </c>
      <c r="T406" s="799">
        <f>T407</f>
        <v>2721710000</v>
      </c>
      <c r="U406" s="799">
        <f>U407</f>
        <v>247769601</v>
      </c>
      <c r="V406" s="731">
        <f>I406+L406+R406</f>
        <v>85517091399</v>
      </c>
      <c r="W406" s="731">
        <f t="shared" si="91"/>
        <v>8608624000</v>
      </c>
      <c r="X406" s="799">
        <f>X407</f>
        <v>115122334479</v>
      </c>
    </row>
    <row r="407" spans="1:25" s="663" customFormat="1" ht="22.5">
      <c r="A407" s="761" t="s">
        <v>1393</v>
      </c>
      <c r="B407" s="762" t="s">
        <v>1951</v>
      </c>
      <c r="C407" s="806"/>
      <c r="D407" s="801"/>
      <c r="E407" s="802"/>
      <c r="F407" s="802">
        <f>SUM(F408:F418)+F438+F439+F440</f>
        <v>31217916000</v>
      </c>
      <c r="G407" s="802">
        <f>SUM(G408:G418)+G438+G439+G440</f>
        <v>10318195000</v>
      </c>
      <c r="H407" s="802">
        <f t="shared" ref="H407:N407" si="96">SUM(H408:H418)+H438+H439+H440</f>
        <v>0</v>
      </c>
      <c r="I407" s="802">
        <f t="shared" si="96"/>
        <v>10318195000</v>
      </c>
      <c r="J407" s="802">
        <f t="shared" si="96"/>
        <v>0</v>
      </c>
      <c r="K407" s="802">
        <f t="shared" si="84"/>
        <v>0</v>
      </c>
      <c r="L407" s="802">
        <f t="shared" si="96"/>
        <v>0</v>
      </c>
      <c r="M407" s="802">
        <f t="shared" si="96"/>
        <v>0</v>
      </c>
      <c r="N407" s="802">
        <f t="shared" si="96"/>
        <v>0</v>
      </c>
      <c r="O407" s="802">
        <f t="shared" si="85"/>
        <v>0</v>
      </c>
      <c r="P407" s="802">
        <f>SUM(P408:P418)+P438+P439+P440</f>
        <v>105622000000</v>
      </c>
      <c r="Q407" s="802">
        <f>R407+S407</f>
        <v>83807520399</v>
      </c>
      <c r="R407" s="802">
        <f>SUM(R408:R418)+R438+R439+R440</f>
        <v>75198896399</v>
      </c>
      <c r="S407" s="802">
        <f>SUM(S408:S418)+S438+S439+S440</f>
        <v>8608624000</v>
      </c>
      <c r="T407" s="802">
        <f>SUM(T408:T418)+T438+T439+T440</f>
        <v>2721710000</v>
      </c>
      <c r="U407" s="802">
        <f>SUM(U408:U418)+U438+U439+U440</f>
        <v>247769601</v>
      </c>
      <c r="V407" s="743">
        <f t="shared" si="90"/>
        <v>85517091399</v>
      </c>
      <c r="W407" s="743">
        <f t="shared" si="91"/>
        <v>8608624000</v>
      </c>
      <c r="X407" s="802">
        <f>SUM(X408:X418)+X438+X439+X440</f>
        <v>115122334479</v>
      </c>
    </row>
    <row r="408" spans="1:25" s="658" customFormat="1">
      <c r="A408" s="803" t="s">
        <v>104</v>
      </c>
      <c r="B408" s="745" t="s">
        <v>808</v>
      </c>
      <c r="C408" s="779" t="s">
        <v>777</v>
      </c>
      <c r="D408" s="780" t="s">
        <v>1975</v>
      </c>
      <c r="E408" s="804">
        <v>13555764295</v>
      </c>
      <c r="F408" s="804">
        <v>11885000000</v>
      </c>
      <c r="G408" s="804">
        <v>303600000</v>
      </c>
      <c r="H408" s="804"/>
      <c r="I408" s="804">
        <v>303600000</v>
      </c>
      <c r="J408" s="804"/>
      <c r="K408" s="804">
        <f t="shared" si="84"/>
        <v>0</v>
      </c>
      <c r="L408" s="804"/>
      <c r="M408" s="804"/>
      <c r="N408" s="804"/>
      <c r="O408" s="804">
        <f t="shared" si="85"/>
        <v>0</v>
      </c>
      <c r="P408" s="804">
        <v>1155000000</v>
      </c>
      <c r="Q408" s="804">
        <f t="shared" si="86"/>
        <v>1152499000</v>
      </c>
      <c r="R408" s="804">
        <v>1152499000</v>
      </c>
      <c r="S408" s="804"/>
      <c r="T408" s="804"/>
      <c r="U408" s="747">
        <f t="shared" si="87"/>
        <v>2501000</v>
      </c>
      <c r="V408" s="747">
        <f t="shared" si="90"/>
        <v>1456099000</v>
      </c>
      <c r="W408" s="747">
        <f t="shared" si="91"/>
        <v>0</v>
      </c>
      <c r="X408" s="747">
        <v>13040000000</v>
      </c>
      <c r="Y408" s="688" t="s">
        <v>1957</v>
      </c>
    </row>
    <row r="409" spans="1:25" s="658" customFormat="1">
      <c r="A409" s="803" t="s">
        <v>105</v>
      </c>
      <c r="B409" s="753" t="s">
        <v>425</v>
      </c>
      <c r="C409" s="779" t="s">
        <v>777</v>
      </c>
      <c r="D409" s="780" t="s">
        <v>1976</v>
      </c>
      <c r="E409" s="804">
        <v>12600269000</v>
      </c>
      <c r="F409" s="804">
        <v>8452916000</v>
      </c>
      <c r="G409" s="804">
        <v>14595000</v>
      </c>
      <c r="H409" s="804"/>
      <c r="I409" s="804">
        <v>14595000</v>
      </c>
      <c r="J409" s="804"/>
      <c r="K409" s="804">
        <f t="shared" si="84"/>
        <v>0</v>
      </c>
      <c r="L409" s="804"/>
      <c r="M409" s="804"/>
      <c r="N409" s="804"/>
      <c r="O409" s="804">
        <f t="shared" si="85"/>
        <v>0</v>
      </c>
      <c r="P409" s="804">
        <v>248000000</v>
      </c>
      <c r="Q409" s="804">
        <f t="shared" si="86"/>
        <v>247702000</v>
      </c>
      <c r="R409" s="804">
        <v>247702000</v>
      </c>
      <c r="S409" s="804"/>
      <c r="T409" s="804"/>
      <c r="U409" s="747">
        <f>P409-Q409-T409</f>
        <v>298000</v>
      </c>
      <c r="V409" s="747">
        <f t="shared" si="90"/>
        <v>262297000</v>
      </c>
      <c r="W409" s="747">
        <f t="shared" si="91"/>
        <v>0</v>
      </c>
      <c r="X409" s="747">
        <f t="shared" si="92"/>
        <v>8700618000</v>
      </c>
      <c r="Y409" s="688" t="s">
        <v>1977</v>
      </c>
    </row>
    <row r="410" spans="1:25" s="658" customFormat="1">
      <c r="A410" s="803" t="s">
        <v>106</v>
      </c>
      <c r="B410" s="753" t="s">
        <v>1978</v>
      </c>
      <c r="C410" s="779" t="s">
        <v>777</v>
      </c>
      <c r="D410" s="780" t="s">
        <v>1979</v>
      </c>
      <c r="E410" s="804">
        <v>53479366000</v>
      </c>
      <c r="F410" s="804">
        <v>10500000000</v>
      </c>
      <c r="G410" s="804">
        <v>10000000000</v>
      </c>
      <c r="H410" s="804"/>
      <c r="I410" s="804">
        <v>10000000000</v>
      </c>
      <c r="J410" s="804"/>
      <c r="K410" s="804">
        <f t="shared" si="84"/>
        <v>0</v>
      </c>
      <c r="L410" s="804"/>
      <c r="M410" s="804"/>
      <c r="N410" s="804"/>
      <c r="O410" s="804">
        <f t="shared" si="85"/>
        <v>0</v>
      </c>
      <c r="P410" s="804">
        <v>27400000000</v>
      </c>
      <c r="Q410" s="804">
        <f t="shared" si="86"/>
        <v>27400000000</v>
      </c>
      <c r="R410" s="804">
        <v>27260559000</v>
      </c>
      <c r="S410" s="804">
        <v>139441000</v>
      </c>
      <c r="T410" s="804"/>
      <c r="U410" s="747">
        <f t="shared" si="87"/>
        <v>0</v>
      </c>
      <c r="V410" s="747">
        <f t="shared" si="90"/>
        <v>37260559000</v>
      </c>
      <c r="W410" s="747">
        <f t="shared" si="91"/>
        <v>139441000</v>
      </c>
      <c r="X410" s="747">
        <f t="shared" si="92"/>
        <v>37900000000</v>
      </c>
      <c r="Y410" s="688" t="s">
        <v>1953</v>
      </c>
    </row>
    <row r="411" spans="1:25" s="658" customFormat="1" ht="22.5">
      <c r="A411" s="803" t="s">
        <v>128</v>
      </c>
      <c r="B411" s="753" t="s">
        <v>1980</v>
      </c>
      <c r="C411" s="779" t="s">
        <v>777</v>
      </c>
      <c r="D411" s="780" t="s">
        <v>1981</v>
      </c>
      <c r="E411" s="804">
        <v>14675246000</v>
      </c>
      <c r="F411" s="804">
        <v>380000000</v>
      </c>
      <c r="G411" s="804"/>
      <c r="H411" s="804"/>
      <c r="I411" s="804"/>
      <c r="J411" s="804"/>
      <c r="K411" s="804">
        <f t="shared" si="84"/>
        <v>0</v>
      </c>
      <c r="L411" s="804"/>
      <c r="M411" s="804"/>
      <c r="N411" s="804"/>
      <c r="O411" s="804">
        <f t="shared" si="85"/>
        <v>0</v>
      </c>
      <c r="P411" s="804">
        <v>9000000000</v>
      </c>
      <c r="Q411" s="804">
        <f t="shared" si="86"/>
        <v>8899762000</v>
      </c>
      <c r="R411" s="804">
        <v>8899762000</v>
      </c>
      <c r="S411" s="804"/>
      <c r="T411" s="804"/>
      <c r="U411" s="747">
        <f>P411-Q411-T411</f>
        <v>100238000</v>
      </c>
      <c r="V411" s="747">
        <f t="shared" si="90"/>
        <v>8899762000</v>
      </c>
      <c r="W411" s="747">
        <f t="shared" si="91"/>
        <v>0</v>
      </c>
      <c r="X411" s="747">
        <f t="shared" si="92"/>
        <v>9279762000</v>
      </c>
      <c r="Y411" s="688" t="s">
        <v>1953</v>
      </c>
    </row>
    <row r="412" spans="1:25" s="658" customFormat="1" ht="22.5">
      <c r="A412" s="803" t="s">
        <v>359</v>
      </c>
      <c r="B412" s="764" t="s">
        <v>1982</v>
      </c>
      <c r="C412" s="779" t="s">
        <v>777</v>
      </c>
      <c r="D412" s="780" t="s">
        <v>1983</v>
      </c>
      <c r="E412" s="804">
        <v>17291314000</v>
      </c>
      <c r="F412" s="804"/>
      <c r="G412" s="804"/>
      <c r="H412" s="804"/>
      <c r="I412" s="804"/>
      <c r="J412" s="804"/>
      <c r="K412" s="804">
        <f t="shared" si="84"/>
        <v>0</v>
      </c>
      <c r="L412" s="804"/>
      <c r="M412" s="804"/>
      <c r="N412" s="804"/>
      <c r="O412" s="804">
        <f t="shared" si="85"/>
        <v>0</v>
      </c>
      <c r="P412" s="804">
        <v>4000000000</v>
      </c>
      <c r="Q412" s="804">
        <f t="shared" si="86"/>
        <v>4000000000</v>
      </c>
      <c r="R412" s="804">
        <v>3798750000</v>
      </c>
      <c r="S412" s="804">
        <v>201250000</v>
      </c>
      <c r="T412" s="804"/>
      <c r="U412" s="747">
        <f t="shared" si="87"/>
        <v>0</v>
      </c>
      <c r="V412" s="747">
        <f t="shared" si="90"/>
        <v>3798750000</v>
      </c>
      <c r="W412" s="747">
        <f t="shared" si="91"/>
        <v>201250000</v>
      </c>
      <c r="X412" s="747">
        <f t="shared" si="92"/>
        <v>4000000000</v>
      </c>
      <c r="Y412" s="688" t="s">
        <v>1953</v>
      </c>
    </row>
    <row r="413" spans="1:25" s="658" customFormat="1">
      <c r="A413" s="803" t="s">
        <v>107</v>
      </c>
      <c r="B413" s="764" t="s">
        <v>1984</v>
      </c>
      <c r="C413" s="779" t="s">
        <v>777</v>
      </c>
      <c r="D413" s="780" t="s">
        <v>1985</v>
      </c>
      <c r="E413" s="804">
        <v>10340676000</v>
      </c>
      <c r="F413" s="804"/>
      <c r="G413" s="804"/>
      <c r="H413" s="804"/>
      <c r="I413" s="804"/>
      <c r="J413" s="804"/>
      <c r="K413" s="804">
        <f t="shared" si="84"/>
        <v>0</v>
      </c>
      <c r="L413" s="804"/>
      <c r="M413" s="804"/>
      <c r="N413" s="804"/>
      <c r="O413" s="804">
        <f t="shared" si="85"/>
        <v>0</v>
      </c>
      <c r="P413" s="804">
        <v>8500000000</v>
      </c>
      <c r="Q413" s="804">
        <f t="shared" si="86"/>
        <v>8500000000</v>
      </c>
      <c r="R413" s="804">
        <v>8500000000</v>
      </c>
      <c r="S413" s="804"/>
      <c r="T413" s="804"/>
      <c r="U413" s="747">
        <f t="shared" si="87"/>
        <v>0</v>
      </c>
      <c r="V413" s="747">
        <f t="shared" si="90"/>
        <v>8500000000</v>
      </c>
      <c r="W413" s="747">
        <f t="shared" si="91"/>
        <v>0</v>
      </c>
      <c r="X413" s="747">
        <f t="shared" si="92"/>
        <v>8500000000</v>
      </c>
      <c r="Y413" s="688" t="s">
        <v>1986</v>
      </c>
    </row>
    <row r="414" spans="1:25" s="658" customFormat="1">
      <c r="A414" s="803" t="s">
        <v>433</v>
      </c>
      <c r="B414" s="753" t="s">
        <v>1987</v>
      </c>
      <c r="C414" s="779" t="s">
        <v>777</v>
      </c>
      <c r="D414" s="780" t="s">
        <v>1988</v>
      </c>
      <c r="E414" s="804">
        <v>13651439000</v>
      </c>
      <c r="F414" s="804"/>
      <c r="G414" s="804"/>
      <c r="H414" s="804"/>
      <c r="I414" s="804"/>
      <c r="J414" s="804"/>
      <c r="K414" s="804">
        <f t="shared" si="84"/>
        <v>0</v>
      </c>
      <c r="L414" s="804"/>
      <c r="M414" s="804"/>
      <c r="N414" s="804"/>
      <c r="O414" s="804">
        <f t="shared" si="85"/>
        <v>0</v>
      </c>
      <c r="P414" s="804">
        <v>8500000000</v>
      </c>
      <c r="Q414" s="804">
        <f t="shared" si="86"/>
        <v>6974254000</v>
      </c>
      <c r="R414" s="804">
        <v>6974254000</v>
      </c>
      <c r="S414" s="804"/>
      <c r="T414" s="804">
        <v>1525746000</v>
      </c>
      <c r="U414" s="747">
        <f t="shared" si="87"/>
        <v>0</v>
      </c>
      <c r="V414" s="747">
        <f t="shared" si="90"/>
        <v>6974254000</v>
      </c>
      <c r="W414" s="747">
        <f t="shared" si="91"/>
        <v>0</v>
      </c>
      <c r="X414" s="747">
        <f t="shared" si="92"/>
        <v>6974254000</v>
      </c>
      <c r="Y414" s="688" t="s">
        <v>1989</v>
      </c>
    </row>
    <row r="415" spans="1:25" s="658" customFormat="1">
      <c r="A415" s="803" t="s">
        <v>434</v>
      </c>
      <c r="B415" s="753" t="s">
        <v>1990</v>
      </c>
      <c r="C415" s="779" t="s">
        <v>777</v>
      </c>
      <c r="D415" s="780" t="s">
        <v>1991</v>
      </c>
      <c r="E415" s="804">
        <v>14930009000</v>
      </c>
      <c r="F415" s="804"/>
      <c r="G415" s="804"/>
      <c r="H415" s="804"/>
      <c r="I415" s="804"/>
      <c r="J415" s="804"/>
      <c r="K415" s="804">
        <f t="shared" si="84"/>
        <v>0</v>
      </c>
      <c r="L415" s="804"/>
      <c r="M415" s="804"/>
      <c r="N415" s="804"/>
      <c r="O415" s="804">
        <f t="shared" si="85"/>
        <v>0</v>
      </c>
      <c r="P415" s="804">
        <v>4000000000</v>
      </c>
      <c r="Q415" s="804">
        <f t="shared" si="86"/>
        <v>4000000000</v>
      </c>
      <c r="R415" s="804">
        <v>730731000</v>
      </c>
      <c r="S415" s="804">
        <v>3269269000</v>
      </c>
      <c r="T415" s="804"/>
      <c r="U415" s="747">
        <f t="shared" si="87"/>
        <v>0</v>
      </c>
      <c r="V415" s="747">
        <f t="shared" si="90"/>
        <v>730731000</v>
      </c>
      <c r="W415" s="747">
        <f t="shared" si="91"/>
        <v>3269269000</v>
      </c>
      <c r="X415" s="747">
        <f t="shared" si="92"/>
        <v>4000000000</v>
      </c>
      <c r="Y415" s="688" t="s">
        <v>1992</v>
      </c>
    </row>
    <row r="416" spans="1:25" s="658" customFormat="1">
      <c r="A416" s="803" t="s">
        <v>436</v>
      </c>
      <c r="B416" s="764" t="s">
        <v>1993</v>
      </c>
      <c r="C416" s="779" t="s">
        <v>777</v>
      </c>
      <c r="D416" s="780" t="s">
        <v>1994</v>
      </c>
      <c r="E416" s="804">
        <v>14988526000</v>
      </c>
      <c r="F416" s="804"/>
      <c r="G416" s="804"/>
      <c r="H416" s="804"/>
      <c r="I416" s="804"/>
      <c r="J416" s="804"/>
      <c r="K416" s="804">
        <f t="shared" si="84"/>
        <v>0</v>
      </c>
      <c r="L416" s="804"/>
      <c r="M416" s="804"/>
      <c r="N416" s="804"/>
      <c r="O416" s="804">
        <f t="shared" si="85"/>
        <v>0</v>
      </c>
      <c r="P416" s="804">
        <v>4000000000</v>
      </c>
      <c r="Q416" s="804">
        <f t="shared" si="86"/>
        <v>3906844000</v>
      </c>
      <c r="R416" s="804">
        <v>548180000</v>
      </c>
      <c r="S416" s="804">
        <v>3358664000</v>
      </c>
      <c r="T416" s="804">
        <v>93156000</v>
      </c>
      <c r="U416" s="747">
        <f>P416-Q416-T416</f>
        <v>0</v>
      </c>
      <c r="V416" s="747">
        <f t="shared" si="90"/>
        <v>548180000</v>
      </c>
      <c r="W416" s="747">
        <f t="shared" si="91"/>
        <v>3358664000</v>
      </c>
      <c r="X416" s="747">
        <f t="shared" si="92"/>
        <v>3906844000</v>
      </c>
      <c r="Y416" s="688" t="s">
        <v>1977</v>
      </c>
    </row>
    <row r="417" spans="1:25" s="658" customFormat="1">
      <c r="A417" s="803" t="s">
        <v>438</v>
      </c>
      <c r="B417" s="764" t="s">
        <v>1995</v>
      </c>
      <c r="C417" s="779" t="s">
        <v>777</v>
      </c>
      <c r="D417" s="780" t="s">
        <v>1996</v>
      </c>
      <c r="E417" s="804">
        <v>10970000000</v>
      </c>
      <c r="F417" s="804"/>
      <c r="G417" s="804"/>
      <c r="H417" s="804"/>
      <c r="I417" s="804"/>
      <c r="J417" s="804"/>
      <c r="K417" s="804">
        <f t="shared" si="84"/>
        <v>0</v>
      </c>
      <c r="L417" s="804"/>
      <c r="M417" s="804"/>
      <c r="N417" s="804"/>
      <c r="O417" s="804">
        <f t="shared" si="85"/>
        <v>0</v>
      </c>
      <c r="P417" s="804">
        <v>5000000000</v>
      </c>
      <c r="Q417" s="804">
        <f t="shared" si="86"/>
        <v>3897192000</v>
      </c>
      <c r="R417" s="804">
        <v>2257192000</v>
      </c>
      <c r="S417" s="804">
        <v>1640000000</v>
      </c>
      <c r="T417" s="804">
        <v>1102808000</v>
      </c>
      <c r="U417" s="747">
        <f t="shared" si="87"/>
        <v>0</v>
      </c>
      <c r="V417" s="747">
        <f t="shared" si="90"/>
        <v>2257192000</v>
      </c>
      <c r="W417" s="747">
        <f t="shared" si="91"/>
        <v>1640000000</v>
      </c>
      <c r="X417" s="747">
        <f t="shared" si="92"/>
        <v>3897192000</v>
      </c>
      <c r="Y417" s="658" t="s">
        <v>1997</v>
      </c>
    </row>
    <row r="418" spans="1:25" s="658" customFormat="1" ht="33.75">
      <c r="A418" s="803" t="s">
        <v>440</v>
      </c>
      <c r="B418" s="745" t="s">
        <v>1998</v>
      </c>
      <c r="C418" s="779"/>
      <c r="D418" s="746" t="s">
        <v>806</v>
      </c>
      <c r="E418" s="804">
        <f>E419</f>
        <v>10199952000</v>
      </c>
      <c r="F418" s="804">
        <f>F419</f>
        <v>0</v>
      </c>
      <c r="G418" s="804">
        <f t="shared" ref="G418:X418" si="97">G419</f>
        <v>0</v>
      </c>
      <c r="H418" s="804">
        <f t="shared" si="97"/>
        <v>0</v>
      </c>
      <c r="I418" s="804">
        <f t="shared" si="97"/>
        <v>0</v>
      </c>
      <c r="J418" s="804">
        <f t="shared" si="97"/>
        <v>0</v>
      </c>
      <c r="K418" s="804">
        <f t="shared" si="97"/>
        <v>0</v>
      </c>
      <c r="L418" s="804">
        <f t="shared" si="97"/>
        <v>0</v>
      </c>
      <c r="M418" s="804">
        <f t="shared" si="97"/>
        <v>0</v>
      </c>
      <c r="N418" s="804">
        <f t="shared" si="97"/>
        <v>0</v>
      </c>
      <c r="O418" s="804">
        <f t="shared" si="97"/>
        <v>0</v>
      </c>
      <c r="P418" s="804">
        <f t="shared" si="97"/>
        <v>9200000000</v>
      </c>
      <c r="Q418" s="804">
        <f t="shared" si="97"/>
        <v>9190289399</v>
      </c>
      <c r="R418" s="804">
        <f t="shared" si="97"/>
        <v>9190289399</v>
      </c>
      <c r="S418" s="804">
        <f t="shared" si="97"/>
        <v>0</v>
      </c>
      <c r="T418" s="804">
        <f t="shared" si="97"/>
        <v>0</v>
      </c>
      <c r="U418" s="747">
        <f t="shared" si="87"/>
        <v>9710601</v>
      </c>
      <c r="V418" s="804">
        <f t="shared" si="97"/>
        <v>9190289399</v>
      </c>
      <c r="W418" s="804">
        <f t="shared" si="97"/>
        <v>0</v>
      </c>
      <c r="X418" s="804">
        <f t="shared" si="97"/>
        <v>9284686479</v>
      </c>
      <c r="Y418" s="658" t="s">
        <v>1999</v>
      </c>
    </row>
    <row r="419" spans="1:25" s="663" customFormat="1">
      <c r="A419" s="808"/>
      <c r="B419" s="762" t="s">
        <v>2000</v>
      </c>
      <c r="C419" s="806"/>
      <c r="D419" s="742"/>
      <c r="E419" s="802">
        <f>SUM(E420:E437)</f>
        <v>10199952000</v>
      </c>
      <c r="F419" s="802">
        <f>SUM(F420:F437)</f>
        <v>0</v>
      </c>
      <c r="G419" s="802">
        <f t="shared" ref="G419:W419" si="98">SUM(G420:G437)</f>
        <v>0</v>
      </c>
      <c r="H419" s="802">
        <f t="shared" si="98"/>
        <v>0</v>
      </c>
      <c r="I419" s="802">
        <f t="shared" si="98"/>
        <v>0</v>
      </c>
      <c r="J419" s="802">
        <f t="shared" si="98"/>
        <v>0</v>
      </c>
      <c r="K419" s="802">
        <f t="shared" si="98"/>
        <v>0</v>
      </c>
      <c r="L419" s="802">
        <f t="shared" si="98"/>
        <v>0</v>
      </c>
      <c r="M419" s="802">
        <f t="shared" si="98"/>
        <v>0</v>
      </c>
      <c r="N419" s="802">
        <f t="shared" si="98"/>
        <v>0</v>
      </c>
      <c r="O419" s="802">
        <f t="shared" si="98"/>
        <v>0</v>
      </c>
      <c r="P419" s="802">
        <f t="shared" si="98"/>
        <v>9200000000</v>
      </c>
      <c r="Q419" s="802">
        <f t="shared" si="98"/>
        <v>9190289399</v>
      </c>
      <c r="R419" s="802">
        <f t="shared" si="98"/>
        <v>9190289399</v>
      </c>
      <c r="S419" s="802">
        <f t="shared" si="98"/>
        <v>0</v>
      </c>
      <c r="T419" s="802">
        <f t="shared" si="98"/>
        <v>0</v>
      </c>
      <c r="U419" s="802">
        <f t="shared" si="98"/>
        <v>9710601</v>
      </c>
      <c r="V419" s="802">
        <f t="shared" si="98"/>
        <v>9190289399</v>
      </c>
      <c r="W419" s="802">
        <f t="shared" si="98"/>
        <v>0</v>
      </c>
      <c r="X419" s="802">
        <f>SUM(X420:X437)</f>
        <v>9284686479</v>
      </c>
      <c r="Y419" s="663" t="s">
        <v>2001</v>
      </c>
    </row>
    <row r="420" spans="1:25" s="658" customFormat="1" ht="22.5">
      <c r="A420" s="809" t="s">
        <v>1088</v>
      </c>
      <c r="B420" s="768" t="s">
        <v>2002</v>
      </c>
      <c r="C420" s="769" t="s">
        <v>777</v>
      </c>
      <c r="D420" s="770" t="s">
        <v>1945</v>
      </c>
      <c r="E420" s="810">
        <v>955047000</v>
      </c>
      <c r="F420" s="810"/>
      <c r="G420" s="810"/>
      <c r="H420" s="810"/>
      <c r="I420" s="810"/>
      <c r="J420" s="810"/>
      <c r="K420" s="804">
        <f t="shared" si="84"/>
        <v>0</v>
      </c>
      <c r="L420" s="810"/>
      <c r="M420" s="810"/>
      <c r="N420" s="810"/>
      <c r="O420" s="804">
        <f t="shared" si="85"/>
        <v>0</v>
      </c>
      <c r="P420" s="810">
        <v>845000000</v>
      </c>
      <c r="Q420" s="804">
        <f t="shared" si="86"/>
        <v>844728500</v>
      </c>
      <c r="R420" s="810">
        <v>844728500</v>
      </c>
      <c r="S420" s="810"/>
      <c r="T420" s="810"/>
      <c r="U420" s="747">
        <f t="shared" si="87"/>
        <v>271500</v>
      </c>
      <c r="V420" s="747">
        <f t="shared" si="90"/>
        <v>844728500</v>
      </c>
      <c r="W420" s="747">
        <f t="shared" si="91"/>
        <v>0</v>
      </c>
      <c r="X420" s="747">
        <f t="shared" si="92"/>
        <v>844728500</v>
      </c>
    </row>
    <row r="421" spans="1:25" s="658" customFormat="1">
      <c r="A421" s="809" t="s">
        <v>1088</v>
      </c>
      <c r="B421" s="768" t="s">
        <v>7</v>
      </c>
      <c r="C421" s="769" t="s">
        <v>777</v>
      </c>
      <c r="D421" s="770" t="s">
        <v>2003</v>
      </c>
      <c r="E421" s="810">
        <v>462000000</v>
      </c>
      <c r="F421" s="810"/>
      <c r="G421" s="810"/>
      <c r="H421" s="810"/>
      <c r="I421" s="810"/>
      <c r="J421" s="810"/>
      <c r="K421" s="804">
        <f t="shared" si="84"/>
        <v>0</v>
      </c>
      <c r="L421" s="810"/>
      <c r="M421" s="810"/>
      <c r="N421" s="810"/>
      <c r="O421" s="804">
        <f t="shared" si="85"/>
        <v>0</v>
      </c>
      <c r="P421" s="810">
        <v>442000000</v>
      </c>
      <c r="Q421" s="804">
        <f t="shared" si="86"/>
        <v>441065000</v>
      </c>
      <c r="R421" s="810">
        <v>441065000</v>
      </c>
      <c r="S421" s="810"/>
      <c r="T421" s="810"/>
      <c r="U421" s="747">
        <f t="shared" si="87"/>
        <v>935000</v>
      </c>
      <c r="V421" s="747">
        <f t="shared" si="90"/>
        <v>441065000</v>
      </c>
      <c r="W421" s="747">
        <f t="shared" si="91"/>
        <v>0</v>
      </c>
      <c r="X421" s="747">
        <f t="shared" si="92"/>
        <v>441065000</v>
      </c>
    </row>
    <row r="422" spans="1:25" s="658" customFormat="1">
      <c r="A422" s="809" t="s">
        <v>1088</v>
      </c>
      <c r="B422" s="768" t="s">
        <v>2004</v>
      </c>
      <c r="C422" s="769" t="s">
        <v>777</v>
      </c>
      <c r="D422" s="770" t="s">
        <v>2005</v>
      </c>
      <c r="E422" s="810">
        <v>1000000000</v>
      </c>
      <c r="F422" s="810"/>
      <c r="G422" s="810"/>
      <c r="H422" s="810"/>
      <c r="I422" s="810"/>
      <c r="J422" s="810"/>
      <c r="K422" s="804">
        <f t="shared" si="84"/>
        <v>0</v>
      </c>
      <c r="L422" s="810"/>
      <c r="M422" s="810"/>
      <c r="N422" s="810"/>
      <c r="O422" s="804">
        <f t="shared" si="85"/>
        <v>0</v>
      </c>
      <c r="P422" s="810">
        <v>799000000</v>
      </c>
      <c r="Q422" s="804">
        <f t="shared" si="86"/>
        <v>798107000</v>
      </c>
      <c r="R422" s="810">
        <v>798107000</v>
      </c>
      <c r="S422" s="810"/>
      <c r="T422" s="810"/>
      <c r="U422" s="747">
        <f t="shared" si="87"/>
        <v>893000</v>
      </c>
      <c r="V422" s="747">
        <f t="shared" si="90"/>
        <v>798107000</v>
      </c>
      <c r="W422" s="747">
        <f t="shared" si="91"/>
        <v>0</v>
      </c>
      <c r="X422" s="747">
        <f t="shared" si="92"/>
        <v>798107000</v>
      </c>
    </row>
    <row r="423" spans="1:25" s="658" customFormat="1">
      <c r="A423" s="809" t="s">
        <v>1088</v>
      </c>
      <c r="B423" s="768" t="s">
        <v>2006</v>
      </c>
      <c r="C423" s="769" t="s">
        <v>777</v>
      </c>
      <c r="D423" s="770" t="s">
        <v>2007</v>
      </c>
      <c r="E423" s="810">
        <v>200000000</v>
      </c>
      <c r="F423" s="810"/>
      <c r="G423" s="810"/>
      <c r="H423" s="810"/>
      <c r="I423" s="810"/>
      <c r="J423" s="810"/>
      <c r="K423" s="804">
        <f t="shared" si="84"/>
        <v>0</v>
      </c>
      <c r="L423" s="810"/>
      <c r="M423" s="810"/>
      <c r="N423" s="810"/>
      <c r="O423" s="804">
        <f t="shared" si="85"/>
        <v>0</v>
      </c>
      <c r="P423" s="810">
        <v>192000000</v>
      </c>
      <c r="Q423" s="804">
        <f t="shared" si="86"/>
        <v>191090920</v>
      </c>
      <c r="R423" s="810">
        <v>191090920</v>
      </c>
      <c r="S423" s="810"/>
      <c r="T423" s="810"/>
      <c r="U423" s="747">
        <f t="shared" si="87"/>
        <v>909080</v>
      </c>
      <c r="V423" s="747">
        <f t="shared" si="90"/>
        <v>191090920</v>
      </c>
      <c r="W423" s="747">
        <f t="shared" si="91"/>
        <v>0</v>
      </c>
      <c r="X423" s="811">
        <v>282658000</v>
      </c>
      <c r="Y423" s="658">
        <v>282658000</v>
      </c>
    </row>
    <row r="424" spans="1:25" s="658" customFormat="1">
      <c r="A424" s="809" t="s">
        <v>1088</v>
      </c>
      <c r="B424" s="768" t="s">
        <v>474</v>
      </c>
      <c r="C424" s="769" t="s">
        <v>777</v>
      </c>
      <c r="D424" s="770" t="s">
        <v>1938</v>
      </c>
      <c r="E424" s="810">
        <v>299000000</v>
      </c>
      <c r="F424" s="810"/>
      <c r="G424" s="810"/>
      <c r="H424" s="810"/>
      <c r="I424" s="810"/>
      <c r="J424" s="810"/>
      <c r="K424" s="804">
        <f t="shared" si="84"/>
        <v>0</v>
      </c>
      <c r="L424" s="810"/>
      <c r="M424" s="810"/>
      <c r="N424" s="810"/>
      <c r="O424" s="804">
        <f t="shared" si="85"/>
        <v>0</v>
      </c>
      <c r="P424" s="810">
        <v>283000000</v>
      </c>
      <c r="Q424" s="804">
        <f t="shared" si="86"/>
        <v>282658000</v>
      </c>
      <c r="R424" s="810">
        <v>282658000</v>
      </c>
      <c r="S424" s="810"/>
      <c r="T424" s="810"/>
      <c r="U424" s="747">
        <f t="shared" si="87"/>
        <v>342000</v>
      </c>
      <c r="V424" s="747">
        <f t="shared" si="90"/>
        <v>282658000</v>
      </c>
      <c r="W424" s="747">
        <f t="shared" si="91"/>
        <v>0</v>
      </c>
      <c r="X424" s="811">
        <v>285488000</v>
      </c>
      <c r="Y424" s="658">
        <v>285488000</v>
      </c>
    </row>
    <row r="425" spans="1:25" s="658" customFormat="1">
      <c r="A425" s="809" t="s">
        <v>1088</v>
      </c>
      <c r="B425" s="768" t="s">
        <v>478</v>
      </c>
      <c r="C425" s="769" t="s">
        <v>777</v>
      </c>
      <c r="D425" s="770" t="s">
        <v>1942</v>
      </c>
      <c r="E425" s="810">
        <v>1000000000</v>
      </c>
      <c r="F425" s="810"/>
      <c r="G425" s="810"/>
      <c r="H425" s="810"/>
      <c r="I425" s="810"/>
      <c r="J425" s="810"/>
      <c r="K425" s="804">
        <f t="shared" si="84"/>
        <v>0</v>
      </c>
      <c r="L425" s="810"/>
      <c r="M425" s="810"/>
      <c r="N425" s="810"/>
      <c r="O425" s="804">
        <f t="shared" si="85"/>
        <v>0</v>
      </c>
      <c r="P425" s="810">
        <v>876000000</v>
      </c>
      <c r="Q425" s="804">
        <f t="shared" si="86"/>
        <v>875844000</v>
      </c>
      <c r="R425" s="810">
        <v>875844000</v>
      </c>
      <c r="S425" s="810"/>
      <c r="T425" s="810"/>
      <c r="U425" s="747">
        <f t="shared" si="87"/>
        <v>156000</v>
      </c>
      <c r="V425" s="747">
        <f t="shared" si="90"/>
        <v>875844000</v>
      </c>
      <c r="W425" s="747">
        <f t="shared" si="91"/>
        <v>0</v>
      </c>
      <c r="X425" s="747">
        <f t="shared" si="92"/>
        <v>875844000</v>
      </c>
    </row>
    <row r="426" spans="1:25" s="658" customFormat="1">
      <c r="A426" s="809" t="s">
        <v>1088</v>
      </c>
      <c r="B426" s="768" t="s">
        <v>2008</v>
      </c>
      <c r="C426" s="769" t="s">
        <v>777</v>
      </c>
      <c r="D426" s="770" t="s">
        <v>2009</v>
      </c>
      <c r="E426" s="810">
        <v>426639000</v>
      </c>
      <c r="F426" s="810"/>
      <c r="G426" s="810"/>
      <c r="H426" s="810"/>
      <c r="I426" s="810"/>
      <c r="J426" s="810"/>
      <c r="K426" s="804">
        <f t="shared" si="84"/>
        <v>0</v>
      </c>
      <c r="L426" s="810"/>
      <c r="M426" s="810"/>
      <c r="N426" s="810"/>
      <c r="O426" s="804">
        <f t="shared" si="85"/>
        <v>0</v>
      </c>
      <c r="P426" s="810">
        <v>364000000</v>
      </c>
      <c r="Q426" s="804">
        <f t="shared" si="86"/>
        <v>363406000</v>
      </c>
      <c r="R426" s="810">
        <v>363406000</v>
      </c>
      <c r="S426" s="810"/>
      <c r="T426" s="810"/>
      <c r="U426" s="747">
        <f t="shared" si="87"/>
        <v>594000</v>
      </c>
      <c r="V426" s="747">
        <f t="shared" si="90"/>
        <v>363406000</v>
      </c>
      <c r="W426" s="747">
        <f t="shared" si="91"/>
        <v>0</v>
      </c>
      <c r="X426" s="747">
        <f t="shared" si="92"/>
        <v>363406000</v>
      </c>
    </row>
    <row r="427" spans="1:25" s="658" customFormat="1">
      <c r="A427" s="809" t="s">
        <v>1088</v>
      </c>
      <c r="B427" s="768" t="s">
        <v>2010</v>
      </c>
      <c r="C427" s="769" t="s">
        <v>777</v>
      </c>
      <c r="D427" s="770" t="s">
        <v>2011</v>
      </c>
      <c r="E427" s="810">
        <v>420000000</v>
      </c>
      <c r="F427" s="810"/>
      <c r="G427" s="810"/>
      <c r="H427" s="810"/>
      <c r="I427" s="810"/>
      <c r="J427" s="810"/>
      <c r="K427" s="804">
        <f t="shared" si="84"/>
        <v>0</v>
      </c>
      <c r="L427" s="810"/>
      <c r="M427" s="810"/>
      <c r="N427" s="810"/>
      <c r="O427" s="804">
        <f t="shared" si="85"/>
        <v>0</v>
      </c>
      <c r="P427" s="810">
        <v>420000000</v>
      </c>
      <c r="Q427" s="804">
        <f t="shared" si="86"/>
        <v>419379000</v>
      </c>
      <c r="R427" s="810">
        <v>419379000</v>
      </c>
      <c r="S427" s="810"/>
      <c r="T427" s="810"/>
      <c r="U427" s="747">
        <f t="shared" si="87"/>
        <v>621000</v>
      </c>
      <c r="V427" s="747">
        <f t="shared" si="90"/>
        <v>419379000</v>
      </c>
      <c r="W427" s="747">
        <f t="shared" si="91"/>
        <v>0</v>
      </c>
      <c r="X427" s="747">
        <f t="shared" si="92"/>
        <v>419379000</v>
      </c>
    </row>
    <row r="428" spans="1:25" s="658" customFormat="1">
      <c r="A428" s="809" t="s">
        <v>1088</v>
      </c>
      <c r="B428" s="768" t="s">
        <v>2012</v>
      </c>
      <c r="C428" s="769" t="s">
        <v>777</v>
      </c>
      <c r="D428" s="770" t="s">
        <v>2013</v>
      </c>
      <c r="E428" s="810">
        <v>799446000</v>
      </c>
      <c r="F428" s="810"/>
      <c r="G428" s="810"/>
      <c r="H428" s="810"/>
      <c r="I428" s="810"/>
      <c r="J428" s="810"/>
      <c r="K428" s="804">
        <f t="shared" si="84"/>
        <v>0</v>
      </c>
      <c r="L428" s="810"/>
      <c r="M428" s="810"/>
      <c r="N428" s="810"/>
      <c r="O428" s="804">
        <f t="shared" si="85"/>
        <v>0</v>
      </c>
      <c r="P428" s="810">
        <v>741000000</v>
      </c>
      <c r="Q428" s="804">
        <f t="shared" si="86"/>
        <v>740247000</v>
      </c>
      <c r="R428" s="810">
        <v>740247000</v>
      </c>
      <c r="S428" s="810"/>
      <c r="T428" s="810"/>
      <c r="U428" s="747">
        <f t="shared" si="87"/>
        <v>753000</v>
      </c>
      <c r="V428" s="747">
        <f t="shared" si="90"/>
        <v>740247000</v>
      </c>
      <c r="W428" s="747">
        <f t="shared" si="91"/>
        <v>0</v>
      </c>
      <c r="X428" s="747">
        <f t="shared" si="92"/>
        <v>740247000</v>
      </c>
    </row>
    <row r="429" spans="1:25" s="658" customFormat="1">
      <c r="A429" s="809" t="s">
        <v>1088</v>
      </c>
      <c r="B429" s="768" t="s">
        <v>2014</v>
      </c>
      <c r="C429" s="769" t="s">
        <v>777</v>
      </c>
      <c r="D429" s="770" t="s">
        <v>2015</v>
      </c>
      <c r="E429" s="810">
        <v>544000000</v>
      </c>
      <c r="F429" s="810"/>
      <c r="G429" s="810"/>
      <c r="H429" s="810"/>
      <c r="I429" s="810"/>
      <c r="J429" s="810"/>
      <c r="K429" s="804">
        <f t="shared" si="84"/>
        <v>0</v>
      </c>
      <c r="L429" s="810"/>
      <c r="M429" s="810"/>
      <c r="N429" s="810"/>
      <c r="O429" s="804">
        <f t="shared" si="85"/>
        <v>0</v>
      </c>
      <c r="P429" s="810">
        <v>544000000</v>
      </c>
      <c r="Q429" s="804">
        <f t="shared" si="86"/>
        <v>543875000</v>
      </c>
      <c r="R429" s="810">
        <v>543875000</v>
      </c>
      <c r="S429" s="810"/>
      <c r="T429" s="810"/>
      <c r="U429" s="747">
        <f t="shared" si="87"/>
        <v>125000</v>
      </c>
      <c r="V429" s="747">
        <f t="shared" si="90"/>
        <v>543875000</v>
      </c>
      <c r="W429" s="747">
        <f t="shared" si="91"/>
        <v>0</v>
      </c>
      <c r="X429" s="747">
        <f t="shared" si="92"/>
        <v>543875000</v>
      </c>
    </row>
    <row r="430" spans="1:25" s="658" customFormat="1">
      <c r="A430" s="809" t="s">
        <v>1088</v>
      </c>
      <c r="B430" s="768" t="s">
        <v>476</v>
      </c>
      <c r="C430" s="769" t="s">
        <v>777</v>
      </c>
      <c r="D430" s="770" t="s">
        <v>2016</v>
      </c>
      <c r="E430" s="810">
        <v>702468000</v>
      </c>
      <c r="F430" s="810"/>
      <c r="G430" s="810"/>
      <c r="H430" s="810"/>
      <c r="I430" s="810"/>
      <c r="J430" s="810"/>
      <c r="K430" s="804">
        <f t="shared" si="84"/>
        <v>0</v>
      </c>
      <c r="L430" s="810"/>
      <c r="M430" s="810"/>
      <c r="N430" s="810"/>
      <c r="O430" s="804">
        <f t="shared" si="85"/>
        <v>0</v>
      </c>
      <c r="P430" s="810">
        <v>611000000</v>
      </c>
      <c r="Q430" s="804">
        <f t="shared" si="86"/>
        <v>610492000</v>
      </c>
      <c r="R430" s="810">
        <v>610492000</v>
      </c>
      <c r="S430" s="810"/>
      <c r="T430" s="810"/>
      <c r="U430" s="747">
        <f t="shared" si="87"/>
        <v>508000</v>
      </c>
      <c r="V430" s="747">
        <f t="shared" si="90"/>
        <v>610492000</v>
      </c>
      <c r="W430" s="747">
        <f t="shared" si="91"/>
        <v>0</v>
      </c>
      <c r="X430" s="747">
        <f t="shared" si="92"/>
        <v>610492000</v>
      </c>
    </row>
    <row r="431" spans="1:25" s="658" customFormat="1">
      <c r="A431" s="809" t="s">
        <v>1088</v>
      </c>
      <c r="B431" s="768" t="s">
        <v>2017</v>
      </c>
      <c r="C431" s="769" t="s">
        <v>777</v>
      </c>
      <c r="D431" s="770" t="s">
        <v>2018</v>
      </c>
      <c r="E431" s="810">
        <v>562000000</v>
      </c>
      <c r="F431" s="810"/>
      <c r="G431" s="810"/>
      <c r="H431" s="810"/>
      <c r="I431" s="810"/>
      <c r="J431" s="810"/>
      <c r="K431" s="804">
        <f t="shared" si="84"/>
        <v>0</v>
      </c>
      <c r="L431" s="810"/>
      <c r="M431" s="810"/>
      <c r="N431" s="810"/>
      <c r="O431" s="804">
        <f t="shared" si="85"/>
        <v>0</v>
      </c>
      <c r="P431" s="810">
        <v>527000000</v>
      </c>
      <c r="Q431" s="804">
        <f t="shared" si="86"/>
        <v>526290000</v>
      </c>
      <c r="R431" s="810">
        <v>526290000</v>
      </c>
      <c r="S431" s="810"/>
      <c r="T431" s="810"/>
      <c r="U431" s="747">
        <f t="shared" si="87"/>
        <v>710000</v>
      </c>
      <c r="V431" s="747">
        <f t="shared" si="90"/>
        <v>526290000</v>
      </c>
      <c r="W431" s="747">
        <f t="shared" si="91"/>
        <v>0</v>
      </c>
      <c r="X431" s="747">
        <f t="shared" si="92"/>
        <v>526290000</v>
      </c>
    </row>
    <row r="432" spans="1:25" s="658" customFormat="1">
      <c r="A432" s="809" t="s">
        <v>1088</v>
      </c>
      <c r="B432" s="768" t="s">
        <v>2019</v>
      </c>
      <c r="C432" s="769" t="s">
        <v>777</v>
      </c>
      <c r="D432" s="770" t="s">
        <v>2020</v>
      </c>
      <c r="E432" s="810">
        <v>398405000</v>
      </c>
      <c r="F432" s="810"/>
      <c r="G432" s="810"/>
      <c r="H432" s="810"/>
      <c r="I432" s="810"/>
      <c r="J432" s="810"/>
      <c r="K432" s="804">
        <f t="shared" si="84"/>
        <v>0</v>
      </c>
      <c r="L432" s="810"/>
      <c r="M432" s="810"/>
      <c r="N432" s="810"/>
      <c r="O432" s="804">
        <f t="shared" si="85"/>
        <v>0</v>
      </c>
      <c r="P432" s="810">
        <v>358000000</v>
      </c>
      <c r="Q432" s="804">
        <f t="shared" si="86"/>
        <v>357297000</v>
      </c>
      <c r="R432" s="810">
        <v>357297000</v>
      </c>
      <c r="S432" s="810"/>
      <c r="T432" s="810"/>
      <c r="U432" s="747">
        <f t="shared" si="87"/>
        <v>703000</v>
      </c>
      <c r="V432" s="747">
        <f t="shared" si="90"/>
        <v>357297000</v>
      </c>
      <c r="W432" s="747">
        <f t="shared" si="91"/>
        <v>0</v>
      </c>
      <c r="X432" s="747">
        <f t="shared" si="92"/>
        <v>357297000</v>
      </c>
    </row>
    <row r="433" spans="1:25" s="658" customFormat="1">
      <c r="A433" s="809" t="s">
        <v>1088</v>
      </c>
      <c r="B433" s="768" t="s">
        <v>2021</v>
      </c>
      <c r="C433" s="769" t="s">
        <v>777</v>
      </c>
      <c r="D433" s="770" t="s">
        <v>2022</v>
      </c>
      <c r="E433" s="810">
        <v>139583000</v>
      </c>
      <c r="F433" s="810"/>
      <c r="G433" s="810"/>
      <c r="H433" s="810"/>
      <c r="I433" s="810"/>
      <c r="J433" s="810"/>
      <c r="K433" s="804">
        <f t="shared" si="84"/>
        <v>0</v>
      </c>
      <c r="L433" s="810"/>
      <c r="M433" s="810"/>
      <c r="N433" s="810"/>
      <c r="O433" s="804">
        <f t="shared" si="85"/>
        <v>0</v>
      </c>
      <c r="P433" s="810">
        <v>116000000</v>
      </c>
      <c r="Q433" s="804">
        <f t="shared" si="86"/>
        <v>115343000</v>
      </c>
      <c r="R433" s="810">
        <v>115343000</v>
      </c>
      <c r="S433" s="810"/>
      <c r="T433" s="810"/>
      <c r="U433" s="747">
        <f t="shared" si="87"/>
        <v>657000</v>
      </c>
      <c r="V433" s="747">
        <f t="shared" si="90"/>
        <v>115343000</v>
      </c>
      <c r="W433" s="747">
        <f t="shared" si="91"/>
        <v>0</v>
      </c>
      <c r="X433" s="747">
        <f t="shared" si="92"/>
        <v>115343000</v>
      </c>
    </row>
    <row r="434" spans="1:25" s="658" customFormat="1">
      <c r="A434" s="809" t="s">
        <v>1088</v>
      </c>
      <c r="B434" s="768" t="s">
        <v>2023</v>
      </c>
      <c r="C434" s="769" t="s">
        <v>777</v>
      </c>
      <c r="D434" s="770" t="s">
        <v>2024</v>
      </c>
      <c r="E434" s="810">
        <v>200000000</v>
      </c>
      <c r="F434" s="810"/>
      <c r="G434" s="810"/>
      <c r="H434" s="810"/>
      <c r="I434" s="810"/>
      <c r="J434" s="810"/>
      <c r="K434" s="804">
        <f t="shared" si="84"/>
        <v>0</v>
      </c>
      <c r="L434" s="810"/>
      <c r="M434" s="810"/>
      <c r="N434" s="810"/>
      <c r="O434" s="804">
        <f t="shared" si="85"/>
        <v>0</v>
      </c>
      <c r="P434" s="810">
        <v>109000000</v>
      </c>
      <c r="Q434" s="804">
        <f t="shared" si="86"/>
        <v>108471000</v>
      </c>
      <c r="R434" s="810">
        <v>108471000</v>
      </c>
      <c r="S434" s="810"/>
      <c r="T434" s="810"/>
      <c r="U434" s="747">
        <f t="shared" si="87"/>
        <v>529000</v>
      </c>
      <c r="V434" s="747">
        <f t="shared" si="90"/>
        <v>108471000</v>
      </c>
      <c r="W434" s="747">
        <f t="shared" si="91"/>
        <v>0</v>
      </c>
      <c r="X434" s="747">
        <f t="shared" si="92"/>
        <v>108471000</v>
      </c>
    </row>
    <row r="435" spans="1:25" s="658" customFormat="1">
      <c r="A435" s="809" t="s">
        <v>1088</v>
      </c>
      <c r="B435" s="768" t="s">
        <v>2025</v>
      </c>
      <c r="C435" s="769" t="s">
        <v>777</v>
      </c>
      <c r="D435" s="770" t="s">
        <v>2026</v>
      </c>
      <c r="E435" s="810">
        <v>499364000</v>
      </c>
      <c r="F435" s="810"/>
      <c r="G435" s="810"/>
      <c r="H435" s="810"/>
      <c r="I435" s="810"/>
      <c r="J435" s="810"/>
      <c r="K435" s="804">
        <f t="shared" si="84"/>
        <v>0</v>
      </c>
      <c r="L435" s="810"/>
      <c r="M435" s="810"/>
      <c r="N435" s="810"/>
      <c r="O435" s="804">
        <f t="shared" si="85"/>
        <v>0</v>
      </c>
      <c r="P435" s="810">
        <v>465000000</v>
      </c>
      <c r="Q435" s="804">
        <f t="shared" si="86"/>
        <v>464786000</v>
      </c>
      <c r="R435" s="810">
        <v>464786000</v>
      </c>
      <c r="S435" s="810"/>
      <c r="T435" s="810"/>
      <c r="U435" s="747">
        <f t="shared" si="87"/>
        <v>214000</v>
      </c>
      <c r="V435" s="747">
        <f t="shared" si="90"/>
        <v>464786000</v>
      </c>
      <c r="W435" s="747">
        <f t="shared" si="91"/>
        <v>0</v>
      </c>
      <c r="X435" s="747">
        <f t="shared" si="92"/>
        <v>464786000</v>
      </c>
    </row>
    <row r="436" spans="1:25" s="658" customFormat="1">
      <c r="A436" s="809" t="s">
        <v>1088</v>
      </c>
      <c r="B436" s="768" t="s">
        <v>2027</v>
      </c>
      <c r="C436" s="769" t="s">
        <v>777</v>
      </c>
      <c r="D436" s="770" t="s">
        <v>2028</v>
      </c>
      <c r="E436" s="810">
        <v>900000000</v>
      </c>
      <c r="F436" s="810"/>
      <c r="G436" s="810"/>
      <c r="H436" s="810"/>
      <c r="I436" s="810"/>
      <c r="J436" s="810"/>
      <c r="K436" s="804">
        <f t="shared" si="84"/>
        <v>0</v>
      </c>
      <c r="L436" s="810"/>
      <c r="M436" s="810"/>
      <c r="N436" s="810"/>
      <c r="O436" s="804">
        <f t="shared" si="85"/>
        <v>0</v>
      </c>
      <c r="P436" s="810">
        <v>845000000</v>
      </c>
      <c r="Q436" s="804">
        <f t="shared" si="86"/>
        <v>844930528</v>
      </c>
      <c r="R436" s="810">
        <v>844930528</v>
      </c>
      <c r="S436" s="810"/>
      <c r="T436" s="810"/>
      <c r="U436" s="747">
        <f t="shared" si="87"/>
        <v>69472</v>
      </c>
      <c r="V436" s="747">
        <f t="shared" si="90"/>
        <v>844930528</v>
      </c>
      <c r="W436" s="747">
        <f t="shared" si="91"/>
        <v>0</v>
      </c>
      <c r="X436" s="747">
        <f t="shared" si="92"/>
        <v>844930528</v>
      </c>
    </row>
    <row r="437" spans="1:25" s="658" customFormat="1">
      <c r="A437" s="809" t="s">
        <v>1088</v>
      </c>
      <c r="B437" s="768" t="s">
        <v>479</v>
      </c>
      <c r="C437" s="769" t="s">
        <v>777</v>
      </c>
      <c r="D437" s="770" t="s">
        <v>2029</v>
      </c>
      <c r="E437" s="810">
        <v>692000000</v>
      </c>
      <c r="F437" s="810"/>
      <c r="G437" s="810"/>
      <c r="H437" s="810"/>
      <c r="I437" s="810"/>
      <c r="J437" s="810"/>
      <c r="K437" s="804">
        <f t="shared" si="84"/>
        <v>0</v>
      </c>
      <c r="L437" s="810"/>
      <c r="M437" s="810"/>
      <c r="N437" s="810"/>
      <c r="O437" s="804">
        <f t="shared" si="85"/>
        <v>0</v>
      </c>
      <c r="P437" s="810">
        <v>663000000</v>
      </c>
      <c r="Q437" s="804">
        <f t="shared" si="86"/>
        <v>662279451</v>
      </c>
      <c r="R437" s="810">
        <v>662279451</v>
      </c>
      <c r="S437" s="810"/>
      <c r="T437" s="810"/>
      <c r="U437" s="747">
        <f t="shared" si="87"/>
        <v>720549</v>
      </c>
      <c r="V437" s="747">
        <f t="shared" si="90"/>
        <v>662279451</v>
      </c>
      <c r="W437" s="747">
        <f t="shared" si="91"/>
        <v>0</v>
      </c>
      <c r="X437" s="747">
        <f t="shared" si="92"/>
        <v>662279451</v>
      </c>
    </row>
    <row r="438" spans="1:25" s="658" customFormat="1" ht="22.5">
      <c r="A438" s="803" t="s">
        <v>441</v>
      </c>
      <c r="B438" s="764" t="s">
        <v>2030</v>
      </c>
      <c r="C438" s="779" t="s">
        <v>777</v>
      </c>
      <c r="D438" s="780" t="s">
        <v>2031</v>
      </c>
      <c r="E438" s="804">
        <v>5890906000</v>
      </c>
      <c r="F438" s="804"/>
      <c r="G438" s="804"/>
      <c r="H438" s="804"/>
      <c r="I438" s="804"/>
      <c r="J438" s="804"/>
      <c r="K438" s="804">
        <f t="shared" si="84"/>
        <v>0</v>
      </c>
      <c r="L438" s="804"/>
      <c r="M438" s="804"/>
      <c r="N438" s="804"/>
      <c r="O438" s="804">
        <f t="shared" si="85"/>
        <v>0</v>
      </c>
      <c r="P438" s="804">
        <v>5774000000</v>
      </c>
      <c r="Q438" s="804">
        <f t="shared" si="86"/>
        <v>5638978000</v>
      </c>
      <c r="R438" s="804">
        <v>5638978000</v>
      </c>
      <c r="S438" s="804"/>
      <c r="T438" s="804"/>
      <c r="U438" s="747">
        <f t="shared" si="87"/>
        <v>135022000</v>
      </c>
      <c r="V438" s="747">
        <f t="shared" si="90"/>
        <v>5638978000</v>
      </c>
      <c r="W438" s="747">
        <f t="shared" si="91"/>
        <v>0</v>
      </c>
      <c r="X438" s="747">
        <f t="shared" si="92"/>
        <v>5638978000</v>
      </c>
    </row>
    <row r="439" spans="1:25" s="658" customFormat="1" ht="31.5">
      <c r="A439" s="812">
        <v>13</v>
      </c>
      <c r="B439" s="753" t="s">
        <v>2032</v>
      </c>
      <c r="C439" s="769"/>
      <c r="D439" s="813">
        <v>7678197</v>
      </c>
      <c r="E439" s="810"/>
      <c r="F439" s="810"/>
      <c r="G439" s="810"/>
      <c r="H439" s="810"/>
      <c r="I439" s="810"/>
      <c r="J439" s="810"/>
      <c r="K439" s="804">
        <f t="shared" si="84"/>
        <v>0</v>
      </c>
      <c r="L439" s="810"/>
      <c r="M439" s="810"/>
      <c r="N439" s="810"/>
      <c r="O439" s="804">
        <f t="shared" si="85"/>
        <v>0</v>
      </c>
      <c r="P439" s="810">
        <v>3765000000</v>
      </c>
      <c r="Q439" s="804">
        <f t="shared" si="86"/>
        <v>0</v>
      </c>
      <c r="R439" s="810"/>
      <c r="S439" s="810"/>
      <c r="T439" s="810"/>
      <c r="U439" s="747"/>
      <c r="V439" s="747">
        <f t="shared" si="90"/>
        <v>0</v>
      </c>
      <c r="W439" s="747">
        <f t="shared" si="91"/>
        <v>0</v>
      </c>
      <c r="X439" s="747">
        <f t="shared" si="92"/>
        <v>0</v>
      </c>
      <c r="Y439" s="688" t="s">
        <v>2033</v>
      </c>
    </row>
    <row r="440" spans="1:25" s="658" customFormat="1" ht="31.5">
      <c r="A440" s="812">
        <v>14</v>
      </c>
      <c r="B440" s="814" t="s">
        <v>2034</v>
      </c>
      <c r="C440" s="769"/>
      <c r="D440" s="815"/>
      <c r="E440" s="810"/>
      <c r="F440" s="810"/>
      <c r="G440" s="810"/>
      <c r="H440" s="810"/>
      <c r="I440" s="810"/>
      <c r="J440" s="810"/>
      <c r="K440" s="804">
        <f t="shared" si="84"/>
        <v>0</v>
      </c>
      <c r="L440" s="810"/>
      <c r="M440" s="810"/>
      <c r="N440" s="810"/>
      <c r="O440" s="804">
        <f t="shared" si="85"/>
        <v>0</v>
      </c>
      <c r="P440" s="810">
        <v>15080000000</v>
      </c>
      <c r="Q440" s="804">
        <f t="shared" si="86"/>
        <v>0</v>
      </c>
      <c r="R440" s="810"/>
      <c r="S440" s="810"/>
      <c r="T440" s="810"/>
      <c r="U440" s="747"/>
      <c r="V440" s="747">
        <f t="shared" si="90"/>
        <v>0</v>
      </c>
      <c r="W440" s="747">
        <f t="shared" si="91"/>
        <v>0</v>
      </c>
      <c r="X440" s="747">
        <f t="shared" si="92"/>
        <v>0</v>
      </c>
      <c r="Y440" s="688" t="s">
        <v>2033</v>
      </c>
    </row>
    <row r="441" spans="1:25" s="658" customFormat="1">
      <c r="A441" s="812"/>
      <c r="B441" s="814" t="s">
        <v>78</v>
      </c>
      <c r="C441" s="769"/>
      <c r="D441" s="815"/>
      <c r="E441" s="810"/>
      <c r="F441" s="810"/>
      <c r="G441" s="810"/>
      <c r="H441" s="810"/>
      <c r="I441" s="810"/>
      <c r="J441" s="810"/>
      <c r="K441" s="804">
        <f t="shared" si="84"/>
        <v>0</v>
      </c>
      <c r="L441" s="810"/>
      <c r="M441" s="810"/>
      <c r="N441" s="810"/>
      <c r="O441" s="804">
        <f t="shared" si="85"/>
        <v>0</v>
      </c>
      <c r="P441" s="810">
        <v>0</v>
      </c>
      <c r="Q441" s="804">
        <f t="shared" si="86"/>
        <v>0</v>
      </c>
      <c r="R441" s="810"/>
      <c r="S441" s="810"/>
      <c r="T441" s="810"/>
      <c r="U441" s="747">
        <f t="shared" si="87"/>
        <v>0</v>
      </c>
      <c r="V441" s="747">
        <f t="shared" si="90"/>
        <v>0</v>
      </c>
      <c r="W441" s="747">
        <f t="shared" si="91"/>
        <v>0</v>
      </c>
      <c r="X441" s="747">
        <f t="shared" si="92"/>
        <v>0</v>
      </c>
      <c r="Y441" s="688"/>
    </row>
    <row r="442" spans="1:25" s="658" customFormat="1" ht="22.5">
      <c r="A442" s="812" t="s">
        <v>2035</v>
      </c>
      <c r="B442" s="816" t="s">
        <v>2036</v>
      </c>
      <c r="C442" s="769"/>
      <c r="D442" s="813">
        <v>7670337</v>
      </c>
      <c r="E442" s="810"/>
      <c r="F442" s="810"/>
      <c r="G442" s="810"/>
      <c r="H442" s="810"/>
      <c r="I442" s="810"/>
      <c r="J442" s="810"/>
      <c r="K442" s="804">
        <f t="shared" si="84"/>
        <v>0</v>
      </c>
      <c r="L442" s="810"/>
      <c r="M442" s="810"/>
      <c r="N442" s="810"/>
      <c r="O442" s="804">
        <f t="shared" si="85"/>
        <v>0</v>
      </c>
      <c r="P442" s="810">
        <v>6727000000</v>
      </c>
      <c r="Q442" s="804">
        <f t="shared" si="86"/>
        <v>0</v>
      </c>
      <c r="R442" s="810"/>
      <c r="S442" s="810"/>
      <c r="T442" s="810"/>
      <c r="U442" s="747"/>
      <c r="V442" s="747">
        <f t="shared" si="90"/>
        <v>0</v>
      </c>
      <c r="W442" s="747">
        <f t="shared" si="91"/>
        <v>0</v>
      </c>
      <c r="X442" s="747">
        <f t="shared" si="92"/>
        <v>0</v>
      </c>
      <c r="Y442" s="688"/>
    </row>
    <row r="443" spans="1:25" s="658" customFormat="1" ht="22.5">
      <c r="A443" s="812" t="s">
        <v>2037</v>
      </c>
      <c r="B443" s="814" t="s">
        <v>2038</v>
      </c>
      <c r="C443" s="769"/>
      <c r="D443" s="813">
        <v>7631308</v>
      </c>
      <c r="E443" s="810"/>
      <c r="F443" s="810"/>
      <c r="G443" s="810"/>
      <c r="H443" s="810"/>
      <c r="I443" s="810"/>
      <c r="J443" s="810"/>
      <c r="K443" s="804">
        <f t="shared" si="84"/>
        <v>0</v>
      </c>
      <c r="L443" s="810"/>
      <c r="M443" s="810"/>
      <c r="N443" s="810"/>
      <c r="O443" s="804">
        <f t="shared" si="85"/>
        <v>0</v>
      </c>
      <c r="P443" s="810">
        <v>4697000000</v>
      </c>
      <c r="Q443" s="804">
        <f t="shared" si="86"/>
        <v>0</v>
      </c>
      <c r="R443" s="810"/>
      <c r="S443" s="810"/>
      <c r="T443" s="810"/>
      <c r="U443" s="747"/>
      <c r="V443" s="747">
        <f t="shared" si="90"/>
        <v>0</v>
      </c>
      <c r="W443" s="747">
        <f t="shared" si="91"/>
        <v>0</v>
      </c>
      <c r="X443" s="747">
        <f t="shared" si="92"/>
        <v>0</v>
      </c>
      <c r="Y443" s="688"/>
    </row>
    <row r="444" spans="1:25" s="665" customFormat="1" ht="22.5">
      <c r="A444" s="812" t="s">
        <v>2039</v>
      </c>
      <c r="B444" s="814" t="s">
        <v>2040</v>
      </c>
      <c r="C444" s="769"/>
      <c r="D444" s="813">
        <v>7653854</v>
      </c>
      <c r="E444" s="810"/>
      <c r="F444" s="810"/>
      <c r="G444" s="810"/>
      <c r="H444" s="810"/>
      <c r="I444" s="810"/>
      <c r="J444" s="810"/>
      <c r="K444" s="804">
        <f t="shared" si="84"/>
        <v>0</v>
      </c>
      <c r="L444" s="810"/>
      <c r="M444" s="810"/>
      <c r="N444" s="810"/>
      <c r="O444" s="804">
        <f t="shared" si="85"/>
        <v>0</v>
      </c>
      <c r="P444" s="810">
        <v>1000000000</v>
      </c>
      <c r="Q444" s="804">
        <f t="shared" si="86"/>
        <v>0</v>
      </c>
      <c r="R444" s="810"/>
      <c r="S444" s="810"/>
      <c r="T444" s="810"/>
      <c r="U444" s="747"/>
      <c r="V444" s="747">
        <f t="shared" si="90"/>
        <v>0</v>
      </c>
      <c r="W444" s="747">
        <f t="shared" si="91"/>
        <v>0</v>
      </c>
      <c r="X444" s="747">
        <f t="shared" si="92"/>
        <v>0</v>
      </c>
      <c r="Y444" s="688"/>
    </row>
    <row r="445" spans="1:25" s="658" customFormat="1" ht="22.5">
      <c r="A445" s="812" t="s">
        <v>2041</v>
      </c>
      <c r="B445" s="816" t="s">
        <v>2042</v>
      </c>
      <c r="C445" s="769"/>
      <c r="D445" s="813">
        <v>7589947</v>
      </c>
      <c r="E445" s="810"/>
      <c r="F445" s="810"/>
      <c r="G445" s="810"/>
      <c r="H445" s="810"/>
      <c r="I445" s="810"/>
      <c r="J445" s="810"/>
      <c r="K445" s="804">
        <f t="shared" si="84"/>
        <v>0</v>
      </c>
      <c r="L445" s="810"/>
      <c r="M445" s="810"/>
      <c r="N445" s="810"/>
      <c r="O445" s="804">
        <f t="shared" si="85"/>
        <v>0</v>
      </c>
      <c r="P445" s="810">
        <v>436000000</v>
      </c>
      <c r="Q445" s="804">
        <f t="shared" si="86"/>
        <v>0</v>
      </c>
      <c r="R445" s="810"/>
      <c r="S445" s="810"/>
      <c r="T445" s="810"/>
      <c r="U445" s="747"/>
      <c r="V445" s="747">
        <f t="shared" si="90"/>
        <v>0</v>
      </c>
      <c r="W445" s="747">
        <f t="shared" si="91"/>
        <v>0</v>
      </c>
      <c r="X445" s="747">
        <f t="shared" si="92"/>
        <v>0</v>
      </c>
      <c r="Y445" s="688"/>
    </row>
    <row r="446" spans="1:25" s="658" customFormat="1" ht="22.5">
      <c r="A446" s="812" t="s">
        <v>2043</v>
      </c>
      <c r="B446" s="814" t="s">
        <v>2044</v>
      </c>
      <c r="C446" s="769"/>
      <c r="D446" s="813">
        <v>7718498</v>
      </c>
      <c r="E446" s="810"/>
      <c r="F446" s="810"/>
      <c r="G446" s="810"/>
      <c r="H446" s="810"/>
      <c r="I446" s="810"/>
      <c r="J446" s="810"/>
      <c r="K446" s="804">
        <f t="shared" si="84"/>
        <v>0</v>
      </c>
      <c r="L446" s="810"/>
      <c r="M446" s="810"/>
      <c r="N446" s="810"/>
      <c r="O446" s="804">
        <f t="shared" si="85"/>
        <v>0</v>
      </c>
      <c r="P446" s="810">
        <v>500000000</v>
      </c>
      <c r="Q446" s="804">
        <f t="shared" si="86"/>
        <v>0</v>
      </c>
      <c r="R446" s="810"/>
      <c r="S446" s="810"/>
      <c r="T446" s="810"/>
      <c r="U446" s="747"/>
      <c r="V446" s="747">
        <f t="shared" si="90"/>
        <v>0</v>
      </c>
      <c r="W446" s="747">
        <f t="shared" si="91"/>
        <v>0</v>
      </c>
      <c r="X446" s="747">
        <f t="shared" si="92"/>
        <v>0</v>
      </c>
      <c r="Y446" s="688"/>
    </row>
    <row r="447" spans="1:25" s="658" customFormat="1" ht="22.5">
      <c r="A447" s="812" t="s">
        <v>2045</v>
      </c>
      <c r="B447" s="814" t="s">
        <v>2046</v>
      </c>
      <c r="C447" s="817"/>
      <c r="D447" s="813">
        <v>7727237</v>
      </c>
      <c r="E447" s="818"/>
      <c r="F447" s="818"/>
      <c r="G447" s="818"/>
      <c r="H447" s="818"/>
      <c r="I447" s="818"/>
      <c r="J447" s="818"/>
      <c r="K447" s="804">
        <f t="shared" si="84"/>
        <v>0</v>
      </c>
      <c r="L447" s="818"/>
      <c r="M447" s="818"/>
      <c r="N447" s="818"/>
      <c r="O447" s="804">
        <f t="shared" si="85"/>
        <v>0</v>
      </c>
      <c r="P447" s="810">
        <v>500000000</v>
      </c>
      <c r="Q447" s="804">
        <f t="shared" si="86"/>
        <v>0</v>
      </c>
      <c r="R447" s="818"/>
      <c r="S447" s="818"/>
      <c r="T447" s="818"/>
      <c r="U447" s="747"/>
      <c r="V447" s="747">
        <f t="shared" si="90"/>
        <v>0</v>
      </c>
      <c r="W447" s="747">
        <f t="shared" si="91"/>
        <v>0</v>
      </c>
      <c r="X447" s="747">
        <f t="shared" si="92"/>
        <v>0</v>
      </c>
      <c r="Y447" s="688"/>
    </row>
    <row r="448" spans="1:25" s="658" customFormat="1" ht="22.5">
      <c r="A448" s="812" t="s">
        <v>2047</v>
      </c>
      <c r="B448" s="816" t="s">
        <v>2048</v>
      </c>
      <c r="C448" s="769"/>
      <c r="D448" s="813">
        <v>7636129</v>
      </c>
      <c r="E448" s="810"/>
      <c r="F448" s="810"/>
      <c r="G448" s="810"/>
      <c r="H448" s="810"/>
      <c r="I448" s="810"/>
      <c r="J448" s="810"/>
      <c r="K448" s="804">
        <f t="shared" si="84"/>
        <v>0</v>
      </c>
      <c r="L448" s="810"/>
      <c r="M448" s="810"/>
      <c r="N448" s="810"/>
      <c r="O448" s="804">
        <f t="shared" si="85"/>
        <v>0</v>
      </c>
      <c r="P448" s="810">
        <v>1220000000</v>
      </c>
      <c r="Q448" s="804">
        <f t="shared" si="86"/>
        <v>0</v>
      </c>
      <c r="R448" s="810"/>
      <c r="S448" s="810"/>
      <c r="T448" s="810"/>
      <c r="U448" s="747"/>
      <c r="V448" s="747">
        <f t="shared" si="90"/>
        <v>0</v>
      </c>
      <c r="W448" s="747">
        <f t="shared" si="91"/>
        <v>0</v>
      </c>
      <c r="X448" s="747">
        <f t="shared" si="92"/>
        <v>0</v>
      </c>
      <c r="Y448" s="688"/>
    </row>
    <row r="449" spans="1:25" s="658" customFormat="1">
      <c r="A449" s="766" t="s">
        <v>121</v>
      </c>
      <c r="B449" s="760" t="s">
        <v>426</v>
      </c>
      <c r="C449" s="788"/>
      <c r="D449" s="800"/>
      <c r="E449" s="799">
        <f>E450+E453</f>
        <v>343895625576</v>
      </c>
      <c r="F449" s="799">
        <f>F450+F453</f>
        <v>30288515226</v>
      </c>
      <c r="G449" s="799">
        <f t="shared" ref="G449:X449" si="99">G450+G453</f>
        <v>5253852000</v>
      </c>
      <c r="H449" s="799">
        <f t="shared" si="99"/>
        <v>0</v>
      </c>
      <c r="I449" s="799">
        <f t="shared" si="99"/>
        <v>4204981000</v>
      </c>
      <c r="J449" s="799">
        <f t="shared" si="99"/>
        <v>0</v>
      </c>
      <c r="K449" s="799">
        <f t="shared" si="99"/>
        <v>0</v>
      </c>
      <c r="L449" s="799">
        <f t="shared" si="99"/>
        <v>0</v>
      </c>
      <c r="M449" s="799">
        <f t="shared" si="99"/>
        <v>0</v>
      </c>
      <c r="N449" s="799">
        <f t="shared" si="99"/>
        <v>0</v>
      </c>
      <c r="O449" s="799">
        <f t="shared" si="99"/>
        <v>0</v>
      </c>
      <c r="P449" s="799">
        <f t="shared" si="99"/>
        <v>77347000000</v>
      </c>
      <c r="Q449" s="799">
        <f t="shared" si="99"/>
        <v>48644197000</v>
      </c>
      <c r="R449" s="799">
        <f t="shared" si="99"/>
        <v>41072197000</v>
      </c>
      <c r="S449" s="799">
        <f t="shared" si="99"/>
        <v>7572000000</v>
      </c>
      <c r="T449" s="799">
        <f t="shared" si="99"/>
        <v>9272270000</v>
      </c>
      <c r="U449" s="799">
        <f t="shared" si="99"/>
        <v>9533000</v>
      </c>
      <c r="V449" s="799">
        <f t="shared" si="99"/>
        <v>45277178000</v>
      </c>
      <c r="W449" s="799">
        <f t="shared" si="99"/>
        <v>8620871000</v>
      </c>
      <c r="X449" s="799">
        <f t="shared" si="99"/>
        <v>78932712226</v>
      </c>
      <c r="Y449" s="688"/>
    </row>
    <row r="450" spans="1:25" s="658" customFormat="1" ht="21">
      <c r="A450" s="759" t="s">
        <v>254</v>
      </c>
      <c r="B450" s="760" t="s">
        <v>1950</v>
      </c>
      <c r="C450" s="779"/>
      <c r="D450" s="800"/>
      <c r="E450" s="799">
        <f>E451</f>
        <v>221250637000</v>
      </c>
      <c r="F450" s="799">
        <f>F451</f>
        <v>1458520226</v>
      </c>
      <c r="G450" s="799">
        <f t="shared" ref="G450:X451" si="100">G451</f>
        <v>732000000</v>
      </c>
      <c r="H450" s="799">
        <f t="shared" si="100"/>
        <v>0</v>
      </c>
      <c r="I450" s="799">
        <f t="shared" si="100"/>
        <v>0</v>
      </c>
      <c r="J450" s="799">
        <f t="shared" si="100"/>
        <v>0</v>
      </c>
      <c r="K450" s="799">
        <f t="shared" si="100"/>
        <v>0</v>
      </c>
      <c r="L450" s="799">
        <f t="shared" si="100"/>
        <v>0</v>
      </c>
      <c r="M450" s="799">
        <f t="shared" si="100"/>
        <v>0</v>
      </c>
      <c r="N450" s="799">
        <f t="shared" si="100"/>
        <v>0</v>
      </c>
      <c r="O450" s="799">
        <f t="shared" si="100"/>
        <v>0</v>
      </c>
      <c r="P450" s="799">
        <f t="shared" si="100"/>
        <v>0</v>
      </c>
      <c r="Q450" s="799">
        <f t="shared" si="100"/>
        <v>0</v>
      </c>
      <c r="R450" s="799">
        <f t="shared" si="100"/>
        <v>0</v>
      </c>
      <c r="S450" s="799">
        <f t="shared" si="100"/>
        <v>0</v>
      </c>
      <c r="T450" s="799">
        <f t="shared" si="100"/>
        <v>0</v>
      </c>
      <c r="U450" s="799">
        <f t="shared" si="100"/>
        <v>0</v>
      </c>
      <c r="V450" s="799">
        <f t="shared" si="100"/>
        <v>0</v>
      </c>
      <c r="W450" s="799">
        <f t="shared" si="100"/>
        <v>732000000</v>
      </c>
      <c r="X450" s="799">
        <f t="shared" si="100"/>
        <v>1458520226</v>
      </c>
    </row>
    <row r="451" spans="1:25" s="658" customFormat="1" ht="22.5">
      <c r="A451" s="761" t="s">
        <v>1393</v>
      </c>
      <c r="B451" s="762" t="s">
        <v>1951</v>
      </c>
      <c r="C451" s="779"/>
      <c r="D451" s="801"/>
      <c r="E451" s="802">
        <f>E452</f>
        <v>221250637000</v>
      </c>
      <c r="F451" s="802">
        <f>F452</f>
        <v>1458520226</v>
      </c>
      <c r="G451" s="802">
        <f t="shared" si="100"/>
        <v>732000000</v>
      </c>
      <c r="H451" s="802">
        <f t="shared" si="100"/>
        <v>0</v>
      </c>
      <c r="I451" s="802">
        <f t="shared" si="100"/>
        <v>0</v>
      </c>
      <c r="J451" s="802">
        <f t="shared" si="100"/>
        <v>0</v>
      </c>
      <c r="K451" s="802">
        <f t="shared" si="100"/>
        <v>0</v>
      </c>
      <c r="L451" s="802">
        <f t="shared" si="100"/>
        <v>0</v>
      </c>
      <c r="M451" s="802">
        <f t="shared" si="100"/>
        <v>0</v>
      </c>
      <c r="N451" s="802">
        <f t="shared" si="100"/>
        <v>0</v>
      </c>
      <c r="O451" s="802">
        <f t="shared" si="100"/>
        <v>0</v>
      </c>
      <c r="P451" s="802">
        <f t="shared" si="100"/>
        <v>0</v>
      </c>
      <c r="Q451" s="802">
        <f t="shared" si="100"/>
        <v>0</v>
      </c>
      <c r="R451" s="802">
        <f t="shared" si="100"/>
        <v>0</v>
      </c>
      <c r="S451" s="802">
        <f t="shared" si="100"/>
        <v>0</v>
      </c>
      <c r="T451" s="802">
        <f t="shared" si="100"/>
        <v>0</v>
      </c>
      <c r="U451" s="802">
        <f t="shared" si="100"/>
        <v>0</v>
      </c>
      <c r="V451" s="802">
        <f t="shared" si="100"/>
        <v>0</v>
      </c>
      <c r="W451" s="802">
        <f t="shared" si="100"/>
        <v>732000000</v>
      </c>
      <c r="X451" s="802">
        <f t="shared" si="100"/>
        <v>1458520226</v>
      </c>
    </row>
    <row r="452" spans="1:25" s="658" customFormat="1">
      <c r="A452" s="803" t="s">
        <v>1088</v>
      </c>
      <c r="B452" s="753" t="s">
        <v>427</v>
      </c>
      <c r="C452" s="779" t="s">
        <v>777</v>
      </c>
      <c r="D452" s="780" t="s">
        <v>2049</v>
      </c>
      <c r="E452" s="804">
        <v>221250637000</v>
      </c>
      <c r="F452" s="804">
        <v>1458520226</v>
      </c>
      <c r="G452" s="804">
        <v>732000000</v>
      </c>
      <c r="H452" s="804"/>
      <c r="I452" s="804"/>
      <c r="J452" s="804"/>
      <c r="K452" s="804">
        <f t="shared" ref="K452:K515" si="101">L452+M452</f>
        <v>0</v>
      </c>
      <c r="L452" s="804"/>
      <c r="M452" s="804"/>
      <c r="N452" s="804"/>
      <c r="O452" s="804">
        <f t="shared" ref="O452:O515" si="102">J452-K452-N452</f>
        <v>0</v>
      </c>
      <c r="P452" s="804"/>
      <c r="Q452" s="804">
        <f t="shared" ref="Q452:Q515" si="103">R452+S452</f>
        <v>0</v>
      </c>
      <c r="R452" s="804"/>
      <c r="S452" s="804"/>
      <c r="T452" s="804"/>
      <c r="U452" s="747">
        <f t="shared" ref="U452:U515" si="104">P452-Q452-T452</f>
        <v>0</v>
      </c>
      <c r="V452" s="747">
        <f t="shared" si="90"/>
        <v>0</v>
      </c>
      <c r="W452" s="747">
        <f t="shared" si="91"/>
        <v>732000000</v>
      </c>
      <c r="X452" s="747">
        <f t="shared" si="92"/>
        <v>1458520226</v>
      </c>
      <c r="Y452" s="688"/>
    </row>
    <row r="453" spans="1:25" s="658" customFormat="1">
      <c r="A453" s="759" t="s">
        <v>256</v>
      </c>
      <c r="B453" s="760" t="s">
        <v>1430</v>
      </c>
      <c r="C453" s="788"/>
      <c r="D453" s="800"/>
      <c r="E453" s="799">
        <f>E454</f>
        <v>122644988576</v>
      </c>
      <c r="F453" s="799">
        <f>F454</f>
        <v>28829995000</v>
      </c>
      <c r="G453" s="799">
        <f t="shared" ref="G453:X453" si="105">G454</f>
        <v>4521852000</v>
      </c>
      <c r="H453" s="799">
        <f t="shared" si="105"/>
        <v>0</v>
      </c>
      <c r="I453" s="799">
        <f t="shared" si="105"/>
        <v>4204981000</v>
      </c>
      <c r="J453" s="799">
        <f t="shared" si="105"/>
        <v>0</v>
      </c>
      <c r="K453" s="799">
        <f t="shared" si="105"/>
        <v>0</v>
      </c>
      <c r="L453" s="799">
        <f t="shared" si="105"/>
        <v>0</v>
      </c>
      <c r="M453" s="799">
        <f t="shared" si="105"/>
        <v>0</v>
      </c>
      <c r="N453" s="799">
        <f t="shared" si="105"/>
        <v>0</v>
      </c>
      <c r="O453" s="799">
        <f t="shared" si="105"/>
        <v>0</v>
      </c>
      <c r="P453" s="799">
        <f t="shared" si="105"/>
        <v>77347000000</v>
      </c>
      <c r="Q453" s="799">
        <f t="shared" si="105"/>
        <v>48644197000</v>
      </c>
      <c r="R453" s="799">
        <f t="shared" si="105"/>
        <v>41072197000</v>
      </c>
      <c r="S453" s="799">
        <f t="shared" si="105"/>
        <v>7572000000</v>
      </c>
      <c r="T453" s="799">
        <f t="shared" si="105"/>
        <v>9272270000</v>
      </c>
      <c r="U453" s="799">
        <f t="shared" si="105"/>
        <v>9533000</v>
      </c>
      <c r="V453" s="799">
        <f t="shared" si="105"/>
        <v>45277178000</v>
      </c>
      <c r="W453" s="799">
        <f t="shared" si="105"/>
        <v>7888871000</v>
      </c>
      <c r="X453" s="799">
        <f t="shared" si="105"/>
        <v>77474192000</v>
      </c>
    </row>
    <row r="454" spans="1:25" s="658" customFormat="1" ht="22.5">
      <c r="A454" s="761" t="s">
        <v>1393</v>
      </c>
      <c r="B454" s="762" t="s">
        <v>1951</v>
      </c>
      <c r="C454" s="806"/>
      <c r="D454" s="801"/>
      <c r="E454" s="802">
        <f>SUM(E455:E461)</f>
        <v>122644988576</v>
      </c>
      <c r="F454" s="802">
        <f>SUM(F455:F461)</f>
        <v>28829995000</v>
      </c>
      <c r="G454" s="802">
        <f t="shared" ref="G454:X454" si="106">SUM(G455:G461)</f>
        <v>4521852000</v>
      </c>
      <c r="H454" s="802">
        <f t="shared" si="106"/>
        <v>0</v>
      </c>
      <c r="I454" s="802">
        <f t="shared" si="106"/>
        <v>4204981000</v>
      </c>
      <c r="J454" s="802">
        <f t="shared" si="106"/>
        <v>0</v>
      </c>
      <c r="K454" s="802">
        <f t="shared" si="106"/>
        <v>0</v>
      </c>
      <c r="L454" s="802">
        <f t="shared" si="106"/>
        <v>0</v>
      </c>
      <c r="M454" s="802">
        <f t="shared" si="106"/>
        <v>0</v>
      </c>
      <c r="N454" s="802">
        <f t="shared" si="106"/>
        <v>0</v>
      </c>
      <c r="O454" s="802">
        <f t="shared" si="106"/>
        <v>0</v>
      </c>
      <c r="P454" s="802">
        <f t="shared" si="106"/>
        <v>77347000000</v>
      </c>
      <c r="Q454" s="802">
        <f t="shared" si="106"/>
        <v>48644197000</v>
      </c>
      <c r="R454" s="802">
        <f t="shared" si="106"/>
        <v>41072197000</v>
      </c>
      <c r="S454" s="802">
        <f t="shared" si="106"/>
        <v>7572000000</v>
      </c>
      <c r="T454" s="802">
        <f t="shared" si="106"/>
        <v>9272270000</v>
      </c>
      <c r="U454" s="802">
        <f t="shared" si="106"/>
        <v>9533000</v>
      </c>
      <c r="V454" s="802">
        <f t="shared" si="106"/>
        <v>45277178000</v>
      </c>
      <c r="W454" s="802">
        <f t="shared" si="106"/>
        <v>7888871000</v>
      </c>
      <c r="X454" s="802">
        <f t="shared" si="106"/>
        <v>77474192000</v>
      </c>
    </row>
    <row r="455" spans="1:25" s="658" customFormat="1">
      <c r="A455" s="803" t="s">
        <v>104</v>
      </c>
      <c r="B455" s="764" t="s">
        <v>2050</v>
      </c>
      <c r="C455" s="779" t="s">
        <v>777</v>
      </c>
      <c r="D455" s="780" t="s">
        <v>2051</v>
      </c>
      <c r="E455" s="804">
        <v>15692060000</v>
      </c>
      <c r="F455" s="804">
        <v>15330000000</v>
      </c>
      <c r="G455" s="804">
        <v>3128400000</v>
      </c>
      <c r="H455" s="804"/>
      <c r="I455" s="804">
        <v>3121529000</v>
      </c>
      <c r="J455" s="804"/>
      <c r="K455" s="804">
        <f t="shared" si="101"/>
        <v>0</v>
      </c>
      <c r="L455" s="804"/>
      <c r="M455" s="804"/>
      <c r="N455" s="804"/>
      <c r="O455" s="804">
        <f t="shared" si="102"/>
        <v>0</v>
      </c>
      <c r="P455" s="804">
        <v>14550000000</v>
      </c>
      <c r="Q455" s="804">
        <f t="shared" si="103"/>
        <v>14450785000</v>
      </c>
      <c r="R455" s="804">
        <v>14450785000</v>
      </c>
      <c r="S455" s="804"/>
      <c r="T455" s="804">
        <v>99215000</v>
      </c>
      <c r="U455" s="747">
        <f t="shared" si="104"/>
        <v>0</v>
      </c>
      <c r="V455" s="747">
        <f t="shared" si="90"/>
        <v>17572314000</v>
      </c>
      <c r="W455" s="747">
        <f t="shared" si="91"/>
        <v>6871000</v>
      </c>
      <c r="X455" s="747">
        <f t="shared" si="92"/>
        <v>29780785000</v>
      </c>
      <c r="Y455" s="688" t="s">
        <v>1953</v>
      </c>
    </row>
    <row r="456" spans="1:25" s="658" customFormat="1" ht="33.75">
      <c r="A456" s="819">
        <v>2</v>
      </c>
      <c r="B456" s="820" t="s">
        <v>2052</v>
      </c>
      <c r="C456" s="769"/>
      <c r="D456" s="815"/>
      <c r="E456" s="810"/>
      <c r="F456" s="810"/>
      <c r="G456" s="810"/>
      <c r="H456" s="810"/>
      <c r="I456" s="810"/>
      <c r="J456" s="810"/>
      <c r="K456" s="804">
        <f t="shared" si="101"/>
        <v>0</v>
      </c>
      <c r="L456" s="810"/>
      <c r="M456" s="810"/>
      <c r="N456" s="810"/>
      <c r="O456" s="804">
        <f t="shared" si="102"/>
        <v>0</v>
      </c>
      <c r="P456" s="810">
        <v>19421000000</v>
      </c>
      <c r="Q456" s="804">
        <f t="shared" si="103"/>
        <v>0</v>
      </c>
      <c r="R456" s="810"/>
      <c r="S456" s="810"/>
      <c r="T456" s="810"/>
      <c r="U456" s="747"/>
      <c r="V456" s="747">
        <f t="shared" si="90"/>
        <v>0</v>
      </c>
      <c r="W456" s="747">
        <f t="shared" si="91"/>
        <v>0</v>
      </c>
      <c r="X456" s="747">
        <f t="shared" si="92"/>
        <v>0</v>
      </c>
    </row>
    <row r="457" spans="1:25" s="658" customFormat="1" ht="31.5">
      <c r="A457" s="803" t="s">
        <v>106</v>
      </c>
      <c r="B457" s="764" t="s">
        <v>2053</v>
      </c>
      <c r="C457" s="779" t="s">
        <v>777</v>
      </c>
      <c r="D457" s="780" t="s">
        <v>2054</v>
      </c>
      <c r="E457" s="804">
        <v>35044984891</v>
      </c>
      <c r="F457" s="804"/>
      <c r="G457" s="804"/>
      <c r="H457" s="804"/>
      <c r="I457" s="804"/>
      <c r="J457" s="804"/>
      <c r="K457" s="804">
        <f t="shared" si="101"/>
        <v>0</v>
      </c>
      <c r="L457" s="804"/>
      <c r="M457" s="804"/>
      <c r="N457" s="804"/>
      <c r="O457" s="804">
        <f t="shared" si="102"/>
        <v>0</v>
      </c>
      <c r="P457" s="804">
        <v>15000000000</v>
      </c>
      <c r="Q457" s="804">
        <f t="shared" si="103"/>
        <v>15000000000</v>
      </c>
      <c r="R457" s="804">
        <v>15000000000</v>
      </c>
      <c r="S457" s="804"/>
      <c r="T457" s="804"/>
      <c r="U457" s="747">
        <f t="shared" si="104"/>
        <v>0</v>
      </c>
      <c r="V457" s="747">
        <f t="shared" si="90"/>
        <v>15000000000</v>
      </c>
      <c r="W457" s="747">
        <f t="shared" si="91"/>
        <v>0</v>
      </c>
      <c r="X457" s="747">
        <f t="shared" si="92"/>
        <v>15000000000</v>
      </c>
      <c r="Y457" s="690" t="s">
        <v>2055</v>
      </c>
    </row>
    <row r="458" spans="1:25" s="665" customFormat="1" ht="22.5">
      <c r="A458" s="803" t="s">
        <v>128</v>
      </c>
      <c r="B458" s="753" t="s">
        <v>2056</v>
      </c>
      <c r="C458" s="779" t="s">
        <v>777</v>
      </c>
      <c r="D458" s="780" t="s">
        <v>2057</v>
      </c>
      <c r="E458" s="804">
        <v>46868545685</v>
      </c>
      <c r="F458" s="804">
        <v>8499995000</v>
      </c>
      <c r="G458" s="804">
        <v>620000000</v>
      </c>
      <c r="H458" s="804"/>
      <c r="I458" s="804">
        <v>310000000</v>
      </c>
      <c r="J458" s="804"/>
      <c r="K458" s="804">
        <f t="shared" si="101"/>
        <v>0</v>
      </c>
      <c r="L458" s="804"/>
      <c r="M458" s="804"/>
      <c r="N458" s="804"/>
      <c r="O458" s="804">
        <f t="shared" si="102"/>
        <v>0</v>
      </c>
      <c r="P458" s="804">
        <v>20000000000</v>
      </c>
      <c r="Q458" s="804">
        <f t="shared" si="103"/>
        <v>10826945000</v>
      </c>
      <c r="R458" s="804">
        <v>3254945000</v>
      </c>
      <c r="S458" s="804">
        <v>7572000000</v>
      </c>
      <c r="T458" s="804">
        <v>9173055000</v>
      </c>
      <c r="U458" s="747">
        <f t="shared" si="104"/>
        <v>0</v>
      </c>
      <c r="V458" s="747">
        <f t="shared" si="90"/>
        <v>3564945000</v>
      </c>
      <c r="W458" s="747">
        <f t="shared" si="91"/>
        <v>7882000000</v>
      </c>
      <c r="X458" s="747">
        <f t="shared" si="92"/>
        <v>19326940000</v>
      </c>
      <c r="Y458" s="688" t="s">
        <v>1953</v>
      </c>
    </row>
    <row r="459" spans="1:25" s="665" customFormat="1" ht="22.5">
      <c r="A459" s="803" t="s">
        <v>359</v>
      </c>
      <c r="B459" s="745" t="s">
        <v>2058</v>
      </c>
      <c r="C459" s="779" t="s">
        <v>777</v>
      </c>
      <c r="D459" s="780" t="s">
        <v>2059</v>
      </c>
      <c r="E459" s="804">
        <v>2535700000</v>
      </c>
      <c r="F459" s="804"/>
      <c r="G459" s="804"/>
      <c r="H459" s="804"/>
      <c r="I459" s="804"/>
      <c r="J459" s="804"/>
      <c r="K459" s="804">
        <f t="shared" si="101"/>
        <v>0</v>
      </c>
      <c r="L459" s="804"/>
      <c r="M459" s="804"/>
      <c r="N459" s="804"/>
      <c r="O459" s="804">
        <f t="shared" si="102"/>
        <v>0</v>
      </c>
      <c r="P459" s="804">
        <v>2500000000</v>
      </c>
      <c r="Q459" s="804">
        <f t="shared" si="103"/>
        <v>2490467000</v>
      </c>
      <c r="R459" s="804">
        <v>2490467000</v>
      </c>
      <c r="S459" s="804"/>
      <c r="T459" s="804"/>
      <c r="U459" s="747">
        <f t="shared" si="104"/>
        <v>9533000</v>
      </c>
      <c r="V459" s="747">
        <f t="shared" si="90"/>
        <v>2490467000</v>
      </c>
      <c r="W459" s="747">
        <f t="shared" si="91"/>
        <v>0</v>
      </c>
      <c r="X459" s="747">
        <f t="shared" si="92"/>
        <v>2490467000</v>
      </c>
      <c r="Y459" s="688" t="s">
        <v>1953</v>
      </c>
    </row>
    <row r="460" spans="1:25" s="665" customFormat="1" ht="22.5">
      <c r="A460" s="803" t="s">
        <v>107</v>
      </c>
      <c r="B460" s="745" t="s">
        <v>2060</v>
      </c>
      <c r="C460" s="779" t="s">
        <v>777</v>
      </c>
      <c r="D460" s="780" t="s">
        <v>2061</v>
      </c>
      <c r="E460" s="804">
        <v>8534204000</v>
      </c>
      <c r="F460" s="804">
        <v>5000000000</v>
      </c>
      <c r="G460" s="804">
        <v>773452000</v>
      </c>
      <c r="H460" s="804"/>
      <c r="I460" s="804">
        <v>773452000</v>
      </c>
      <c r="J460" s="804"/>
      <c r="K460" s="804">
        <f t="shared" si="101"/>
        <v>0</v>
      </c>
      <c r="L460" s="804"/>
      <c r="M460" s="804"/>
      <c r="N460" s="804"/>
      <c r="O460" s="804">
        <f t="shared" si="102"/>
        <v>0</v>
      </c>
      <c r="P460" s="804">
        <v>2300000000</v>
      </c>
      <c r="Q460" s="804">
        <f t="shared" si="103"/>
        <v>2300000000</v>
      </c>
      <c r="R460" s="804">
        <v>2300000000</v>
      </c>
      <c r="S460" s="804"/>
      <c r="T460" s="804"/>
      <c r="U460" s="747">
        <f t="shared" si="104"/>
        <v>0</v>
      </c>
      <c r="V460" s="747">
        <f t="shared" si="90"/>
        <v>3073452000</v>
      </c>
      <c r="W460" s="747">
        <f t="shared" si="91"/>
        <v>0</v>
      </c>
      <c r="X460" s="747">
        <f t="shared" si="92"/>
        <v>7300000000</v>
      </c>
      <c r="Y460" s="688" t="s">
        <v>1953</v>
      </c>
    </row>
    <row r="461" spans="1:25" s="665" customFormat="1">
      <c r="A461" s="803" t="s">
        <v>433</v>
      </c>
      <c r="B461" s="753" t="s">
        <v>2062</v>
      </c>
      <c r="C461" s="779">
        <v>961</v>
      </c>
      <c r="D461" s="780" t="s">
        <v>2063</v>
      </c>
      <c r="E461" s="804">
        <v>13969494000</v>
      </c>
      <c r="F461" s="804"/>
      <c r="G461" s="804"/>
      <c r="H461" s="804"/>
      <c r="I461" s="804"/>
      <c r="J461" s="804"/>
      <c r="K461" s="804">
        <f t="shared" si="101"/>
        <v>0</v>
      </c>
      <c r="L461" s="804"/>
      <c r="M461" s="804"/>
      <c r="N461" s="804"/>
      <c r="O461" s="804">
        <f t="shared" si="102"/>
        <v>0</v>
      </c>
      <c r="P461" s="804">
        <v>3576000000</v>
      </c>
      <c r="Q461" s="804">
        <f t="shared" si="103"/>
        <v>3576000000</v>
      </c>
      <c r="R461" s="804">
        <v>3576000000</v>
      </c>
      <c r="S461" s="804"/>
      <c r="T461" s="804"/>
      <c r="U461" s="747">
        <f t="shared" si="104"/>
        <v>0</v>
      </c>
      <c r="V461" s="747">
        <f t="shared" si="90"/>
        <v>3576000000</v>
      </c>
      <c r="W461" s="747">
        <f t="shared" si="91"/>
        <v>0</v>
      </c>
      <c r="X461" s="747">
        <f t="shared" si="92"/>
        <v>3576000000</v>
      </c>
      <c r="Y461" s="688" t="s">
        <v>1957</v>
      </c>
    </row>
    <row r="462" spans="1:25" s="665" customFormat="1" ht="21">
      <c r="A462" s="730" t="s">
        <v>428</v>
      </c>
      <c r="B462" s="760" t="s">
        <v>2064</v>
      </c>
      <c r="C462" s="779"/>
      <c r="D462" s="800"/>
      <c r="E462" s="799">
        <f>E463+E485+E520</f>
        <v>2210274580964</v>
      </c>
      <c r="F462" s="799">
        <f>F463+F485+F520</f>
        <v>226494547709</v>
      </c>
      <c r="G462" s="799">
        <f t="shared" ref="G462:X462" si="107">G463+G485+G520</f>
        <v>36211253352</v>
      </c>
      <c r="H462" s="799">
        <f t="shared" si="107"/>
        <v>421285939</v>
      </c>
      <c r="I462" s="799">
        <f t="shared" si="107"/>
        <v>28738255305</v>
      </c>
      <c r="J462" s="799">
        <f t="shared" si="107"/>
        <v>965000000</v>
      </c>
      <c r="K462" s="799">
        <f t="shared" si="107"/>
        <v>965000000</v>
      </c>
      <c r="L462" s="799">
        <f t="shared" si="107"/>
        <v>965000000</v>
      </c>
      <c r="M462" s="799">
        <f t="shared" si="107"/>
        <v>0</v>
      </c>
      <c r="N462" s="799">
        <f t="shared" si="107"/>
        <v>0</v>
      </c>
      <c r="O462" s="799">
        <f t="shared" si="107"/>
        <v>0</v>
      </c>
      <c r="P462" s="799">
        <f t="shared" si="107"/>
        <v>352788000000</v>
      </c>
      <c r="Q462" s="799">
        <f t="shared" si="107"/>
        <v>314561730386</v>
      </c>
      <c r="R462" s="799">
        <f t="shared" si="107"/>
        <v>289977989320</v>
      </c>
      <c r="S462" s="799">
        <f t="shared" si="107"/>
        <v>24583741066</v>
      </c>
      <c r="T462" s="799">
        <f t="shared" si="107"/>
        <v>30474897671</v>
      </c>
      <c r="U462" s="799">
        <f t="shared" si="107"/>
        <v>2052229943</v>
      </c>
      <c r="V462" s="799">
        <f t="shared" si="107"/>
        <v>319681244625</v>
      </c>
      <c r="W462" s="799">
        <f t="shared" si="107"/>
        <v>31635453174</v>
      </c>
      <c r="X462" s="799">
        <f t="shared" si="107"/>
        <v>539920835156</v>
      </c>
      <c r="Y462" s="688"/>
    </row>
    <row r="463" spans="1:25" s="665" customFormat="1">
      <c r="A463" s="736" t="s">
        <v>108</v>
      </c>
      <c r="B463" s="737" t="s">
        <v>809</v>
      </c>
      <c r="C463" s="779"/>
      <c r="D463" s="801"/>
      <c r="E463" s="799">
        <f>E464+E473</f>
        <v>981417761864</v>
      </c>
      <c r="F463" s="799">
        <f>F464+F473</f>
        <v>115259749158</v>
      </c>
      <c r="G463" s="799">
        <f t="shared" ref="G463:X463" si="108">G464+G473</f>
        <v>24810447598</v>
      </c>
      <c r="H463" s="799">
        <f t="shared" si="108"/>
        <v>184074490</v>
      </c>
      <c r="I463" s="799">
        <f t="shared" si="108"/>
        <v>18685188000</v>
      </c>
      <c r="J463" s="799">
        <f t="shared" si="108"/>
        <v>0</v>
      </c>
      <c r="K463" s="799">
        <f t="shared" si="108"/>
        <v>0</v>
      </c>
      <c r="L463" s="799">
        <f t="shared" si="108"/>
        <v>0</v>
      </c>
      <c r="M463" s="799">
        <f t="shared" si="108"/>
        <v>0</v>
      </c>
      <c r="N463" s="799">
        <f t="shared" si="108"/>
        <v>0</v>
      </c>
      <c r="O463" s="799">
        <f t="shared" si="108"/>
        <v>0</v>
      </c>
      <c r="P463" s="799">
        <f t="shared" si="108"/>
        <v>222141000000</v>
      </c>
      <c r="Q463" s="799">
        <f t="shared" si="108"/>
        <v>208835550032</v>
      </c>
      <c r="R463" s="799">
        <f t="shared" si="108"/>
        <v>189469905162</v>
      </c>
      <c r="S463" s="799">
        <f t="shared" si="108"/>
        <v>19365644870</v>
      </c>
      <c r="T463" s="799">
        <f t="shared" si="108"/>
        <v>7203338768</v>
      </c>
      <c r="U463" s="799">
        <f t="shared" si="108"/>
        <v>403111200</v>
      </c>
      <c r="V463" s="799">
        <f t="shared" si="108"/>
        <v>208155093162</v>
      </c>
      <c r="W463" s="799">
        <f t="shared" si="108"/>
        <v>25306829978</v>
      </c>
      <c r="X463" s="799">
        <f t="shared" si="108"/>
        <v>323911224700</v>
      </c>
      <c r="Y463" s="688"/>
    </row>
    <row r="464" spans="1:25" s="665" customFormat="1" ht="21">
      <c r="A464" s="759" t="s">
        <v>254</v>
      </c>
      <c r="B464" s="760" t="s">
        <v>1950</v>
      </c>
      <c r="C464" s="779"/>
      <c r="D464" s="800"/>
      <c r="E464" s="799">
        <f>E465</f>
        <v>829006191000</v>
      </c>
      <c r="F464" s="799">
        <f>F465</f>
        <v>64372737359</v>
      </c>
      <c r="G464" s="799">
        <f t="shared" ref="G464:X464" si="109">G465</f>
        <v>16179848049</v>
      </c>
      <c r="H464" s="799">
        <f t="shared" si="109"/>
        <v>184074490</v>
      </c>
      <c r="I464" s="799">
        <f t="shared" si="109"/>
        <v>10312240000</v>
      </c>
      <c r="J464" s="799">
        <f t="shared" si="109"/>
        <v>0</v>
      </c>
      <c r="K464" s="799">
        <f t="shared" si="109"/>
        <v>0</v>
      </c>
      <c r="L464" s="799">
        <f t="shared" si="109"/>
        <v>0</v>
      </c>
      <c r="M464" s="799">
        <f t="shared" si="109"/>
        <v>0</v>
      </c>
      <c r="N464" s="799">
        <f t="shared" si="109"/>
        <v>0</v>
      </c>
      <c r="O464" s="799">
        <f t="shared" si="109"/>
        <v>0</v>
      </c>
      <c r="P464" s="799">
        <f t="shared" si="109"/>
        <v>133659000000</v>
      </c>
      <c r="Q464" s="799">
        <f t="shared" si="109"/>
        <v>129556518581</v>
      </c>
      <c r="R464" s="799">
        <f t="shared" si="109"/>
        <v>128773404081</v>
      </c>
      <c r="S464" s="799">
        <f t="shared" si="109"/>
        <v>783114500</v>
      </c>
      <c r="T464" s="799">
        <f t="shared" si="109"/>
        <v>3716180019</v>
      </c>
      <c r="U464" s="799">
        <f t="shared" si="109"/>
        <v>386301400</v>
      </c>
      <c r="V464" s="799">
        <f t="shared" si="109"/>
        <v>139085644081</v>
      </c>
      <c r="W464" s="799">
        <f t="shared" si="109"/>
        <v>6466648059</v>
      </c>
      <c r="X464" s="799">
        <f t="shared" si="109"/>
        <v>193745181450</v>
      </c>
      <c r="Y464" s="658"/>
    </row>
    <row r="465" spans="1:25" s="658" customFormat="1" ht="22.5">
      <c r="A465" s="761" t="s">
        <v>1393</v>
      </c>
      <c r="B465" s="762" t="s">
        <v>1951</v>
      </c>
      <c r="C465" s="779"/>
      <c r="D465" s="801"/>
      <c r="E465" s="802">
        <f>SUM(E466:E472)</f>
        <v>829006191000</v>
      </c>
      <c r="F465" s="802">
        <f>SUM(F466:F472)</f>
        <v>64372737359</v>
      </c>
      <c r="G465" s="802">
        <f t="shared" ref="G465:X465" si="110">SUM(G466:G472)</f>
        <v>16179848049</v>
      </c>
      <c r="H465" s="802">
        <f t="shared" si="110"/>
        <v>184074490</v>
      </c>
      <c r="I465" s="802">
        <f t="shared" si="110"/>
        <v>10312240000</v>
      </c>
      <c r="J465" s="802">
        <f t="shared" si="110"/>
        <v>0</v>
      </c>
      <c r="K465" s="802">
        <f t="shared" si="110"/>
        <v>0</v>
      </c>
      <c r="L465" s="802">
        <f t="shared" si="110"/>
        <v>0</v>
      </c>
      <c r="M465" s="802">
        <f t="shared" si="110"/>
        <v>0</v>
      </c>
      <c r="N465" s="802">
        <f t="shared" si="110"/>
        <v>0</v>
      </c>
      <c r="O465" s="802">
        <f t="shared" si="110"/>
        <v>0</v>
      </c>
      <c r="P465" s="802">
        <f t="shared" si="110"/>
        <v>133659000000</v>
      </c>
      <c r="Q465" s="802">
        <f t="shared" si="110"/>
        <v>129556518581</v>
      </c>
      <c r="R465" s="802">
        <f t="shared" si="110"/>
        <v>128773404081</v>
      </c>
      <c r="S465" s="802">
        <f t="shared" si="110"/>
        <v>783114500</v>
      </c>
      <c r="T465" s="802">
        <f t="shared" si="110"/>
        <v>3716180019</v>
      </c>
      <c r="U465" s="802">
        <f t="shared" si="110"/>
        <v>386301400</v>
      </c>
      <c r="V465" s="802">
        <f t="shared" si="110"/>
        <v>139085644081</v>
      </c>
      <c r="W465" s="802">
        <f t="shared" si="110"/>
        <v>6466648059</v>
      </c>
      <c r="X465" s="802">
        <f t="shared" si="110"/>
        <v>193745181450</v>
      </c>
      <c r="Y465" s="691"/>
    </row>
    <row r="466" spans="1:25" s="658" customFormat="1">
      <c r="A466" s="803" t="s">
        <v>104</v>
      </c>
      <c r="B466" s="745" t="s">
        <v>2065</v>
      </c>
      <c r="C466" s="779" t="s">
        <v>777</v>
      </c>
      <c r="D466" s="780" t="s">
        <v>429</v>
      </c>
      <c r="E466" s="804">
        <v>69113409000</v>
      </c>
      <c r="F466" s="804">
        <v>564717911</v>
      </c>
      <c r="G466" s="804">
        <v>564717911</v>
      </c>
      <c r="H466" s="804"/>
      <c r="I466" s="804"/>
      <c r="J466" s="804"/>
      <c r="K466" s="804">
        <f t="shared" si="101"/>
        <v>0</v>
      </c>
      <c r="L466" s="804"/>
      <c r="M466" s="804"/>
      <c r="N466" s="804"/>
      <c r="O466" s="804">
        <f t="shared" si="102"/>
        <v>0</v>
      </c>
      <c r="P466" s="804">
        <v>1400000000</v>
      </c>
      <c r="Q466" s="804">
        <f t="shared" si="103"/>
        <v>1400000000</v>
      </c>
      <c r="R466" s="804">
        <v>1154949500</v>
      </c>
      <c r="S466" s="804">
        <v>245050500</v>
      </c>
      <c r="T466" s="804"/>
      <c r="U466" s="747">
        <f t="shared" si="104"/>
        <v>0</v>
      </c>
      <c r="V466" s="747">
        <f t="shared" ref="V466:V529" si="111">I466+L466+R466</f>
        <v>1154949500</v>
      </c>
      <c r="W466" s="747">
        <f t="shared" ref="W466:W529" si="112">G466-H466-I466+M466+S466</f>
        <v>809768411</v>
      </c>
      <c r="X466" s="747">
        <f t="shared" ref="X466:X529" si="113">F466+K466+Q466</f>
        <v>1964717911</v>
      </c>
      <c r="Y466" s="688" t="s">
        <v>2066</v>
      </c>
    </row>
    <row r="467" spans="1:25" s="658" customFormat="1">
      <c r="A467" s="803" t="s">
        <v>105</v>
      </c>
      <c r="B467" s="753" t="s">
        <v>2067</v>
      </c>
      <c r="C467" s="779" t="s">
        <v>777</v>
      </c>
      <c r="D467" s="780" t="s">
        <v>431</v>
      </c>
      <c r="E467" s="804">
        <v>114749380000</v>
      </c>
      <c r="F467" s="804">
        <v>15904128164</v>
      </c>
      <c r="G467" s="804">
        <v>1883913914</v>
      </c>
      <c r="H467" s="804">
        <v>0</v>
      </c>
      <c r="I467" s="804">
        <v>171890000</v>
      </c>
      <c r="J467" s="804"/>
      <c r="K467" s="804">
        <f t="shared" si="101"/>
        <v>0</v>
      </c>
      <c r="L467" s="804"/>
      <c r="M467" s="804"/>
      <c r="N467" s="804"/>
      <c r="O467" s="804">
        <f t="shared" si="102"/>
        <v>0</v>
      </c>
      <c r="P467" s="804">
        <v>7610000000</v>
      </c>
      <c r="Q467" s="804">
        <f t="shared" si="103"/>
        <v>7104002566</v>
      </c>
      <c r="R467" s="804">
        <v>6765945566</v>
      </c>
      <c r="S467" s="804">
        <v>338057000</v>
      </c>
      <c r="T467" s="804">
        <v>505997434</v>
      </c>
      <c r="U467" s="747">
        <f t="shared" si="104"/>
        <v>0</v>
      </c>
      <c r="V467" s="747">
        <f t="shared" si="111"/>
        <v>6937835566</v>
      </c>
      <c r="W467" s="747">
        <f t="shared" si="112"/>
        <v>2050080914</v>
      </c>
      <c r="X467" s="747">
        <f t="shared" si="113"/>
        <v>23008130730</v>
      </c>
      <c r="Y467" s="688" t="s">
        <v>2068</v>
      </c>
    </row>
    <row r="468" spans="1:25" s="658" customFormat="1">
      <c r="A468" s="803" t="s">
        <v>106</v>
      </c>
      <c r="B468" s="753" t="s">
        <v>2069</v>
      </c>
      <c r="C468" s="779" t="s">
        <v>777</v>
      </c>
      <c r="D468" s="780" t="s">
        <v>432</v>
      </c>
      <c r="E468" s="804">
        <v>249113168000</v>
      </c>
      <c r="F468" s="804">
        <v>22860196550</v>
      </c>
      <c r="G468" s="804">
        <v>9550638490</v>
      </c>
      <c r="H468" s="804">
        <v>184074490</v>
      </c>
      <c r="I468" s="804">
        <v>8117416000</v>
      </c>
      <c r="J468" s="804"/>
      <c r="K468" s="804">
        <f t="shared" si="101"/>
        <v>0</v>
      </c>
      <c r="L468" s="804"/>
      <c r="M468" s="804"/>
      <c r="N468" s="804"/>
      <c r="O468" s="804">
        <f t="shared" si="102"/>
        <v>0</v>
      </c>
      <c r="P468" s="804">
        <v>60000000000</v>
      </c>
      <c r="Q468" s="804">
        <f t="shared" si="103"/>
        <v>57350343415</v>
      </c>
      <c r="R468" s="804">
        <v>57150336415</v>
      </c>
      <c r="S468" s="804">
        <v>200007000</v>
      </c>
      <c r="T468" s="804">
        <v>2649656585</v>
      </c>
      <c r="U468" s="747">
        <f t="shared" si="104"/>
        <v>0</v>
      </c>
      <c r="V468" s="747">
        <f t="shared" si="111"/>
        <v>65267752415</v>
      </c>
      <c r="W468" s="747">
        <f t="shared" si="112"/>
        <v>1449155000</v>
      </c>
      <c r="X468" s="747">
        <f>F468+K468+Q468-H468</f>
        <v>80026465475</v>
      </c>
      <c r="Y468" s="688" t="s">
        <v>2066</v>
      </c>
    </row>
    <row r="469" spans="1:25" s="658" customFormat="1">
      <c r="A469" s="803" t="s">
        <v>128</v>
      </c>
      <c r="B469" s="745" t="s">
        <v>2070</v>
      </c>
      <c r="C469" s="779" t="s">
        <v>777</v>
      </c>
      <c r="D469" s="780" t="s">
        <v>435</v>
      </c>
      <c r="E469" s="804">
        <v>93996717000</v>
      </c>
      <c r="F469" s="804">
        <v>16051915636</v>
      </c>
      <c r="G469" s="804">
        <v>585799636</v>
      </c>
      <c r="H469" s="804"/>
      <c r="I469" s="804">
        <v>115406000</v>
      </c>
      <c r="J469" s="804"/>
      <c r="K469" s="804">
        <f t="shared" si="101"/>
        <v>0</v>
      </c>
      <c r="L469" s="804"/>
      <c r="M469" s="804"/>
      <c r="N469" s="804"/>
      <c r="O469" s="804">
        <f t="shared" si="102"/>
        <v>0</v>
      </c>
      <c r="P469" s="804">
        <v>12460000000</v>
      </c>
      <c r="Q469" s="804">
        <f t="shared" si="103"/>
        <v>12073884600</v>
      </c>
      <c r="R469" s="804">
        <v>12073884600</v>
      </c>
      <c r="S469" s="804"/>
      <c r="T469" s="804">
        <v>0</v>
      </c>
      <c r="U469" s="747">
        <f t="shared" si="104"/>
        <v>386115400</v>
      </c>
      <c r="V469" s="747">
        <f t="shared" si="111"/>
        <v>12189290600</v>
      </c>
      <c r="W469" s="747">
        <f t="shared" si="112"/>
        <v>470393636</v>
      </c>
      <c r="X469" s="747">
        <f t="shared" si="113"/>
        <v>28125800236</v>
      </c>
      <c r="Y469" s="688" t="s">
        <v>2066</v>
      </c>
    </row>
    <row r="470" spans="1:25" s="658" customFormat="1" ht="22.5">
      <c r="A470" s="803" t="s">
        <v>359</v>
      </c>
      <c r="B470" s="745" t="s">
        <v>2071</v>
      </c>
      <c r="C470" s="779" t="s">
        <v>777</v>
      </c>
      <c r="D470" s="780" t="s">
        <v>411</v>
      </c>
      <c r="E470" s="804">
        <v>41421354000</v>
      </c>
      <c r="F470" s="804">
        <v>87749716</v>
      </c>
      <c r="G470" s="804">
        <v>46005716</v>
      </c>
      <c r="H470" s="804"/>
      <c r="I470" s="804"/>
      <c r="J470" s="804"/>
      <c r="K470" s="804">
        <f t="shared" si="101"/>
        <v>0</v>
      </c>
      <c r="L470" s="804"/>
      <c r="M470" s="804"/>
      <c r="N470" s="804"/>
      <c r="O470" s="804">
        <f t="shared" si="102"/>
        <v>0</v>
      </c>
      <c r="P470" s="804">
        <v>3751000000</v>
      </c>
      <c r="Q470" s="804">
        <f t="shared" si="103"/>
        <v>3750814000</v>
      </c>
      <c r="R470" s="804">
        <v>3750814000</v>
      </c>
      <c r="S470" s="804"/>
      <c r="T470" s="804">
        <v>0</v>
      </c>
      <c r="U470" s="747">
        <f t="shared" si="104"/>
        <v>186000</v>
      </c>
      <c r="V470" s="747">
        <f t="shared" si="111"/>
        <v>3750814000</v>
      </c>
      <c r="W470" s="747">
        <f t="shared" si="112"/>
        <v>46005716</v>
      </c>
      <c r="X470" s="747">
        <f t="shared" si="113"/>
        <v>3838563716</v>
      </c>
      <c r="Y470" s="688" t="s">
        <v>2066</v>
      </c>
    </row>
    <row r="471" spans="1:25" s="658" customFormat="1">
      <c r="A471" s="803" t="s">
        <v>107</v>
      </c>
      <c r="B471" s="745" t="s">
        <v>2072</v>
      </c>
      <c r="C471" s="779" t="s">
        <v>777</v>
      </c>
      <c r="D471" s="780" t="s">
        <v>842</v>
      </c>
      <c r="E471" s="804">
        <v>134249645000</v>
      </c>
      <c r="F471" s="804">
        <v>2056644382</v>
      </c>
      <c r="G471" s="804">
        <v>1641244382</v>
      </c>
      <c r="H471" s="804"/>
      <c r="I471" s="804"/>
      <c r="J471" s="804"/>
      <c r="K471" s="804">
        <f t="shared" si="101"/>
        <v>0</v>
      </c>
      <c r="L471" s="804"/>
      <c r="M471" s="804"/>
      <c r="N471" s="804"/>
      <c r="O471" s="804">
        <f t="shared" si="102"/>
        <v>0</v>
      </c>
      <c r="P471" s="804">
        <v>3448000000</v>
      </c>
      <c r="Q471" s="804">
        <f t="shared" si="103"/>
        <v>3448000000</v>
      </c>
      <c r="R471" s="804">
        <v>3448000000</v>
      </c>
      <c r="S471" s="804"/>
      <c r="T471" s="804"/>
      <c r="U471" s="747">
        <f t="shared" si="104"/>
        <v>0</v>
      </c>
      <c r="V471" s="747">
        <f t="shared" si="111"/>
        <v>3448000000</v>
      </c>
      <c r="W471" s="747">
        <f t="shared" si="112"/>
        <v>1641244382</v>
      </c>
      <c r="X471" s="747">
        <f t="shared" si="113"/>
        <v>5504644382</v>
      </c>
      <c r="Y471" s="688" t="s">
        <v>2066</v>
      </c>
    </row>
    <row r="472" spans="1:25" s="658" customFormat="1" ht="22.5">
      <c r="A472" s="803" t="s">
        <v>433</v>
      </c>
      <c r="B472" s="745" t="s">
        <v>2073</v>
      </c>
      <c r="C472" s="779" t="s">
        <v>777</v>
      </c>
      <c r="D472" s="780" t="s">
        <v>468</v>
      </c>
      <c r="E472" s="804">
        <v>126362518000</v>
      </c>
      <c r="F472" s="804">
        <v>6847385000</v>
      </c>
      <c r="G472" s="804">
        <v>1907528000</v>
      </c>
      <c r="H472" s="804">
        <v>0</v>
      </c>
      <c r="I472" s="804">
        <v>1907528000</v>
      </c>
      <c r="J472" s="804"/>
      <c r="K472" s="804">
        <f t="shared" si="101"/>
        <v>0</v>
      </c>
      <c r="L472" s="804"/>
      <c r="M472" s="804"/>
      <c r="N472" s="804"/>
      <c r="O472" s="804">
        <f t="shared" si="102"/>
        <v>0</v>
      </c>
      <c r="P472" s="804">
        <v>44990000000</v>
      </c>
      <c r="Q472" s="804">
        <f t="shared" si="103"/>
        <v>44429474000</v>
      </c>
      <c r="R472" s="804">
        <v>44429474000</v>
      </c>
      <c r="S472" s="804"/>
      <c r="T472" s="804">
        <v>560526000</v>
      </c>
      <c r="U472" s="747">
        <f t="shared" si="104"/>
        <v>0</v>
      </c>
      <c r="V472" s="747">
        <f t="shared" si="111"/>
        <v>46337002000</v>
      </c>
      <c r="W472" s="747">
        <f t="shared" si="112"/>
        <v>0</v>
      </c>
      <c r="X472" s="747">
        <f t="shared" si="113"/>
        <v>51276859000</v>
      </c>
      <c r="Y472" s="658" t="s">
        <v>2074</v>
      </c>
    </row>
    <row r="473" spans="1:25" s="658" customFormat="1">
      <c r="A473" s="759" t="s">
        <v>256</v>
      </c>
      <c r="B473" s="760" t="s">
        <v>1430</v>
      </c>
      <c r="C473" s="779"/>
      <c r="D473" s="800"/>
      <c r="E473" s="799">
        <f>E474</f>
        <v>152411570864</v>
      </c>
      <c r="F473" s="799">
        <f>F474</f>
        <v>50887011799</v>
      </c>
      <c r="G473" s="799">
        <f t="shared" ref="G473:X473" si="114">G474</f>
        <v>8630599549</v>
      </c>
      <c r="H473" s="799">
        <f t="shared" si="114"/>
        <v>0</v>
      </c>
      <c r="I473" s="799">
        <f t="shared" si="114"/>
        <v>8372948000</v>
      </c>
      <c r="J473" s="799">
        <f t="shared" si="114"/>
        <v>0</v>
      </c>
      <c r="K473" s="799">
        <f t="shared" si="114"/>
        <v>0</v>
      </c>
      <c r="L473" s="799">
        <f t="shared" si="114"/>
        <v>0</v>
      </c>
      <c r="M473" s="799">
        <f t="shared" si="114"/>
        <v>0</v>
      </c>
      <c r="N473" s="799">
        <f t="shared" si="114"/>
        <v>0</v>
      </c>
      <c r="O473" s="799">
        <f t="shared" si="114"/>
        <v>0</v>
      </c>
      <c r="P473" s="799">
        <f t="shared" si="114"/>
        <v>88482000000</v>
      </c>
      <c r="Q473" s="799">
        <f t="shared" si="114"/>
        <v>79279031451</v>
      </c>
      <c r="R473" s="799">
        <f t="shared" si="114"/>
        <v>60696501081</v>
      </c>
      <c r="S473" s="799">
        <f t="shared" si="114"/>
        <v>18582530370</v>
      </c>
      <c r="T473" s="799">
        <f t="shared" si="114"/>
        <v>3487158749</v>
      </c>
      <c r="U473" s="799">
        <f t="shared" si="114"/>
        <v>16809800</v>
      </c>
      <c r="V473" s="799">
        <f t="shared" si="114"/>
        <v>69069449081</v>
      </c>
      <c r="W473" s="799">
        <f t="shared" si="114"/>
        <v>18840181919</v>
      </c>
      <c r="X473" s="799">
        <f t="shared" si="114"/>
        <v>130166043250</v>
      </c>
    </row>
    <row r="474" spans="1:25" s="658" customFormat="1" ht="22.5">
      <c r="A474" s="761" t="s">
        <v>1393</v>
      </c>
      <c r="B474" s="762" t="s">
        <v>1951</v>
      </c>
      <c r="C474" s="779"/>
      <c r="D474" s="801"/>
      <c r="E474" s="802">
        <f>SUM(E475:E484)</f>
        <v>152411570864</v>
      </c>
      <c r="F474" s="802">
        <f>SUM(F475:F484)</f>
        <v>50887011799</v>
      </c>
      <c r="G474" s="802">
        <f t="shared" ref="G474:X474" si="115">SUM(G475:G484)</f>
        <v>8630599549</v>
      </c>
      <c r="H474" s="802">
        <f t="shared" si="115"/>
        <v>0</v>
      </c>
      <c r="I474" s="802">
        <f t="shared" si="115"/>
        <v>8372948000</v>
      </c>
      <c r="J474" s="802">
        <f t="shared" si="115"/>
        <v>0</v>
      </c>
      <c r="K474" s="802">
        <f t="shared" si="115"/>
        <v>0</v>
      </c>
      <c r="L474" s="802">
        <f t="shared" si="115"/>
        <v>0</v>
      </c>
      <c r="M474" s="802">
        <f t="shared" si="115"/>
        <v>0</v>
      </c>
      <c r="N474" s="802">
        <f t="shared" si="115"/>
        <v>0</v>
      </c>
      <c r="O474" s="802">
        <f t="shared" si="115"/>
        <v>0</v>
      </c>
      <c r="P474" s="802">
        <f t="shared" si="115"/>
        <v>88482000000</v>
      </c>
      <c r="Q474" s="802">
        <f t="shared" si="115"/>
        <v>79279031451</v>
      </c>
      <c r="R474" s="802">
        <f t="shared" si="115"/>
        <v>60696501081</v>
      </c>
      <c r="S474" s="802">
        <f t="shared" si="115"/>
        <v>18582530370</v>
      </c>
      <c r="T474" s="802">
        <f t="shared" si="115"/>
        <v>3487158749</v>
      </c>
      <c r="U474" s="802">
        <f>SUM(U475:U484)</f>
        <v>16809800</v>
      </c>
      <c r="V474" s="802">
        <f t="shared" si="115"/>
        <v>69069449081</v>
      </c>
      <c r="W474" s="802">
        <f t="shared" si="115"/>
        <v>18840181919</v>
      </c>
      <c r="X474" s="802">
        <f t="shared" si="115"/>
        <v>130166043250</v>
      </c>
    </row>
    <row r="475" spans="1:25" s="658" customFormat="1">
      <c r="A475" s="803" t="s">
        <v>104</v>
      </c>
      <c r="B475" s="745" t="s">
        <v>452</v>
      </c>
      <c r="C475" s="779" t="s">
        <v>777</v>
      </c>
      <c r="D475" s="780" t="s">
        <v>453</v>
      </c>
      <c r="E475" s="804">
        <v>36259150864</v>
      </c>
      <c r="F475" s="804">
        <v>22474341799</v>
      </c>
      <c r="G475" s="804">
        <v>116208220</v>
      </c>
      <c r="H475" s="804"/>
      <c r="I475" s="804">
        <v>40468000</v>
      </c>
      <c r="J475" s="804"/>
      <c r="K475" s="804">
        <f t="shared" si="101"/>
        <v>0</v>
      </c>
      <c r="L475" s="804"/>
      <c r="M475" s="804"/>
      <c r="N475" s="804"/>
      <c r="O475" s="804">
        <f t="shared" si="102"/>
        <v>0</v>
      </c>
      <c r="P475" s="804">
        <v>2000000000</v>
      </c>
      <c r="Q475" s="804">
        <f t="shared" si="103"/>
        <v>1750234939</v>
      </c>
      <c r="R475" s="804">
        <v>1750234939</v>
      </c>
      <c r="S475" s="804"/>
      <c r="T475" s="804">
        <v>249765061</v>
      </c>
      <c r="U475" s="747">
        <f t="shared" si="104"/>
        <v>0</v>
      </c>
      <c r="V475" s="747">
        <f t="shared" si="111"/>
        <v>1790702939</v>
      </c>
      <c r="W475" s="747">
        <f t="shared" si="112"/>
        <v>75740220</v>
      </c>
      <c r="X475" s="747">
        <f t="shared" si="113"/>
        <v>24224576738</v>
      </c>
      <c r="Y475" s="658" t="s">
        <v>1997</v>
      </c>
    </row>
    <row r="476" spans="1:25" s="658" customFormat="1" ht="22.5">
      <c r="A476" s="803" t="s">
        <v>105</v>
      </c>
      <c r="B476" s="745" t="s">
        <v>2075</v>
      </c>
      <c r="C476" s="779" t="s">
        <v>777</v>
      </c>
      <c r="D476" s="780" t="s">
        <v>810</v>
      </c>
      <c r="E476" s="804">
        <v>14861524000</v>
      </c>
      <c r="F476" s="804">
        <v>11812670000</v>
      </c>
      <c r="G476" s="804">
        <v>2433998000</v>
      </c>
      <c r="H476" s="804"/>
      <c r="I476" s="804">
        <v>2433998000</v>
      </c>
      <c r="J476" s="804"/>
      <c r="K476" s="804">
        <f t="shared" si="101"/>
        <v>0</v>
      </c>
      <c r="L476" s="804"/>
      <c r="M476" s="804"/>
      <c r="N476" s="804"/>
      <c r="O476" s="804">
        <f t="shared" si="102"/>
        <v>0</v>
      </c>
      <c r="P476" s="804">
        <v>3000000000</v>
      </c>
      <c r="Q476" s="804">
        <f t="shared" si="103"/>
        <v>2728264934</v>
      </c>
      <c r="R476" s="804">
        <v>2728264934</v>
      </c>
      <c r="S476" s="804"/>
      <c r="T476" s="804">
        <v>271735066</v>
      </c>
      <c r="U476" s="747">
        <f t="shared" si="104"/>
        <v>0</v>
      </c>
      <c r="V476" s="747">
        <f t="shared" si="111"/>
        <v>5162262934</v>
      </c>
      <c r="W476" s="747">
        <f t="shared" si="112"/>
        <v>0</v>
      </c>
      <c r="X476" s="747">
        <f t="shared" si="113"/>
        <v>14540934934</v>
      </c>
      <c r="Y476" s="658" t="s">
        <v>1997</v>
      </c>
    </row>
    <row r="477" spans="1:25" s="658" customFormat="1" ht="22.5">
      <c r="A477" s="803" t="s">
        <v>106</v>
      </c>
      <c r="B477" s="764" t="s">
        <v>2076</v>
      </c>
      <c r="C477" s="779" t="s">
        <v>777</v>
      </c>
      <c r="D477" s="780" t="s">
        <v>2077</v>
      </c>
      <c r="E477" s="804">
        <v>15000000000</v>
      </c>
      <c r="F477" s="804"/>
      <c r="G477" s="804"/>
      <c r="H477" s="804"/>
      <c r="I477" s="804"/>
      <c r="J477" s="804"/>
      <c r="K477" s="804">
        <f t="shared" si="101"/>
        <v>0</v>
      </c>
      <c r="L477" s="804"/>
      <c r="M477" s="804"/>
      <c r="N477" s="804"/>
      <c r="O477" s="804">
        <f t="shared" si="102"/>
        <v>0</v>
      </c>
      <c r="P477" s="804">
        <v>5500000000</v>
      </c>
      <c r="Q477" s="804">
        <f t="shared" si="103"/>
        <v>4510922000</v>
      </c>
      <c r="R477" s="804">
        <v>410922000</v>
      </c>
      <c r="S477" s="804">
        <v>4100000000</v>
      </c>
      <c r="T477" s="804">
        <v>989078000</v>
      </c>
      <c r="U477" s="747">
        <f t="shared" si="104"/>
        <v>0</v>
      </c>
      <c r="V477" s="747">
        <f t="shared" si="111"/>
        <v>410922000</v>
      </c>
      <c r="W477" s="747">
        <f t="shared" si="112"/>
        <v>4100000000</v>
      </c>
      <c r="X477" s="747">
        <f t="shared" si="113"/>
        <v>4510922000</v>
      </c>
      <c r="Y477" s="658" t="s">
        <v>1997</v>
      </c>
    </row>
    <row r="478" spans="1:25" s="658" customFormat="1" ht="31.5">
      <c r="A478" s="803" t="s">
        <v>128</v>
      </c>
      <c r="B478" s="764" t="s">
        <v>2078</v>
      </c>
      <c r="C478" s="779">
        <v>961</v>
      </c>
      <c r="D478" s="780" t="s">
        <v>811</v>
      </c>
      <c r="E478" s="804">
        <v>31585497000</v>
      </c>
      <c r="F478" s="804">
        <v>10000000000</v>
      </c>
      <c r="G478" s="804">
        <v>2745736000</v>
      </c>
      <c r="H478" s="804"/>
      <c r="I478" s="804">
        <v>2745736000</v>
      </c>
      <c r="J478" s="804"/>
      <c r="K478" s="804">
        <f t="shared" si="101"/>
        <v>0</v>
      </c>
      <c r="L478" s="804"/>
      <c r="M478" s="804"/>
      <c r="N478" s="804"/>
      <c r="O478" s="804">
        <f t="shared" si="102"/>
        <v>0</v>
      </c>
      <c r="P478" s="804">
        <v>31546000000</v>
      </c>
      <c r="Q478" s="804">
        <f t="shared" si="103"/>
        <v>29569419378</v>
      </c>
      <c r="R478" s="804">
        <v>22915923116</v>
      </c>
      <c r="S478" s="804">
        <v>6653496262</v>
      </c>
      <c r="T478" s="804">
        <v>1976580622</v>
      </c>
      <c r="U478" s="747">
        <f t="shared" si="104"/>
        <v>0</v>
      </c>
      <c r="V478" s="747">
        <f t="shared" si="111"/>
        <v>25661659116</v>
      </c>
      <c r="W478" s="747">
        <f t="shared" si="112"/>
        <v>6653496262</v>
      </c>
      <c r="X478" s="747">
        <f t="shared" si="113"/>
        <v>39569419378</v>
      </c>
      <c r="Y478" s="658" t="s">
        <v>2079</v>
      </c>
    </row>
    <row r="479" spans="1:25" s="658" customFormat="1" ht="33.75">
      <c r="A479" s="744">
        <v>5</v>
      </c>
      <c r="B479" s="745" t="s">
        <v>2080</v>
      </c>
      <c r="C479" s="779"/>
      <c r="D479" s="746" t="s">
        <v>2081</v>
      </c>
      <c r="E479" s="804"/>
      <c r="F479" s="804"/>
      <c r="G479" s="804"/>
      <c r="H479" s="804"/>
      <c r="I479" s="804"/>
      <c r="J479" s="804"/>
      <c r="K479" s="804">
        <f t="shared" si="101"/>
        <v>0</v>
      </c>
      <c r="L479" s="804"/>
      <c r="M479" s="804"/>
      <c r="N479" s="804"/>
      <c r="O479" s="804">
        <f t="shared" si="102"/>
        <v>0</v>
      </c>
      <c r="P479" s="804">
        <v>699000000</v>
      </c>
      <c r="Q479" s="804">
        <f t="shared" si="103"/>
        <v>0</v>
      </c>
      <c r="R479" s="804"/>
      <c r="S479" s="804"/>
      <c r="T479" s="804"/>
      <c r="U479" s="747"/>
      <c r="V479" s="747">
        <f t="shared" si="111"/>
        <v>0</v>
      </c>
      <c r="W479" s="747">
        <f t="shared" si="112"/>
        <v>0</v>
      </c>
      <c r="X479" s="747">
        <f t="shared" si="113"/>
        <v>0</v>
      </c>
      <c r="Y479" s="658" t="s">
        <v>805</v>
      </c>
    </row>
    <row r="480" spans="1:25" s="658" customFormat="1" ht="33.75">
      <c r="A480" s="744">
        <v>6</v>
      </c>
      <c r="B480" s="745" t="s">
        <v>2082</v>
      </c>
      <c r="C480" s="779"/>
      <c r="D480" s="821"/>
      <c r="E480" s="804"/>
      <c r="F480" s="804"/>
      <c r="G480" s="804"/>
      <c r="H480" s="804"/>
      <c r="I480" s="804"/>
      <c r="J480" s="804"/>
      <c r="K480" s="804">
        <f t="shared" si="101"/>
        <v>0</v>
      </c>
      <c r="L480" s="804"/>
      <c r="M480" s="804"/>
      <c r="N480" s="804"/>
      <c r="O480" s="804">
        <f t="shared" si="102"/>
        <v>0</v>
      </c>
      <c r="P480" s="804">
        <v>5000000000</v>
      </c>
      <c r="Q480" s="804">
        <f t="shared" si="103"/>
        <v>0</v>
      </c>
      <c r="R480" s="804"/>
      <c r="S480" s="804"/>
      <c r="T480" s="804"/>
      <c r="U480" s="747"/>
      <c r="V480" s="747">
        <f t="shared" si="111"/>
        <v>0</v>
      </c>
      <c r="W480" s="747">
        <f t="shared" si="112"/>
        <v>0</v>
      </c>
      <c r="X480" s="747">
        <f t="shared" si="113"/>
        <v>0</v>
      </c>
      <c r="Y480" s="658" t="s">
        <v>804</v>
      </c>
    </row>
    <row r="481" spans="1:25" s="658" customFormat="1" ht="22.5">
      <c r="A481" s="803" t="s">
        <v>433</v>
      </c>
      <c r="B481" s="745" t="s">
        <v>2083</v>
      </c>
      <c r="C481" s="779" t="s">
        <v>777</v>
      </c>
      <c r="D481" s="780" t="s">
        <v>2084</v>
      </c>
      <c r="E481" s="804">
        <v>10145477000</v>
      </c>
      <c r="F481" s="804"/>
      <c r="G481" s="804"/>
      <c r="H481" s="804"/>
      <c r="I481" s="804"/>
      <c r="J481" s="804"/>
      <c r="K481" s="804">
        <f t="shared" si="101"/>
        <v>0</v>
      </c>
      <c r="L481" s="804"/>
      <c r="M481" s="804"/>
      <c r="N481" s="804"/>
      <c r="O481" s="804">
        <f t="shared" si="102"/>
        <v>0</v>
      </c>
      <c r="P481" s="804">
        <v>4000000000</v>
      </c>
      <c r="Q481" s="804">
        <f t="shared" si="103"/>
        <v>4000000000</v>
      </c>
      <c r="R481" s="804">
        <v>2734242000</v>
      </c>
      <c r="S481" s="804">
        <v>1265758000</v>
      </c>
      <c r="T481" s="804"/>
      <c r="U481" s="747">
        <f t="shared" si="104"/>
        <v>0</v>
      </c>
      <c r="V481" s="747">
        <f t="shared" si="111"/>
        <v>2734242000</v>
      </c>
      <c r="W481" s="747">
        <f t="shared" si="112"/>
        <v>1265758000</v>
      </c>
      <c r="X481" s="747">
        <f t="shared" si="113"/>
        <v>4000000000</v>
      </c>
      <c r="Y481" s="658" t="s">
        <v>1989</v>
      </c>
    </row>
    <row r="482" spans="1:25" s="658" customFormat="1" ht="22.5">
      <c r="A482" s="803" t="s">
        <v>434</v>
      </c>
      <c r="B482" s="745" t="s">
        <v>2085</v>
      </c>
      <c r="C482" s="779" t="s">
        <v>777</v>
      </c>
      <c r="D482" s="780" t="s">
        <v>2086</v>
      </c>
      <c r="E482" s="804">
        <v>14958872000</v>
      </c>
      <c r="F482" s="804">
        <v>600000000</v>
      </c>
      <c r="G482" s="804">
        <v>557746000</v>
      </c>
      <c r="H482" s="804"/>
      <c r="I482" s="804">
        <v>557746000</v>
      </c>
      <c r="J482" s="804"/>
      <c r="K482" s="804">
        <f t="shared" si="101"/>
        <v>0</v>
      </c>
      <c r="L482" s="804"/>
      <c r="M482" s="804"/>
      <c r="N482" s="804"/>
      <c r="O482" s="804">
        <f t="shared" si="102"/>
        <v>0</v>
      </c>
      <c r="P482" s="804">
        <v>4000000000</v>
      </c>
      <c r="Q482" s="804">
        <f t="shared" si="103"/>
        <v>4000000000</v>
      </c>
      <c r="R482" s="804">
        <v>2284488000</v>
      </c>
      <c r="S482" s="804">
        <v>1715512000</v>
      </c>
      <c r="T482" s="804"/>
      <c r="U482" s="747">
        <f t="shared" si="104"/>
        <v>0</v>
      </c>
      <c r="V482" s="747">
        <f t="shared" si="111"/>
        <v>2842234000</v>
      </c>
      <c r="W482" s="747">
        <f t="shared" si="112"/>
        <v>1715512000</v>
      </c>
      <c r="X482" s="747">
        <f t="shared" si="113"/>
        <v>4600000000</v>
      </c>
      <c r="Y482" s="658" t="s">
        <v>1989</v>
      </c>
    </row>
    <row r="483" spans="1:25" s="658" customFormat="1" ht="31.5">
      <c r="A483" s="803" t="s">
        <v>436</v>
      </c>
      <c r="B483" s="745" t="s">
        <v>2085</v>
      </c>
      <c r="C483" s="779" t="s">
        <v>777</v>
      </c>
      <c r="D483" s="780" t="s">
        <v>2087</v>
      </c>
      <c r="E483" s="804">
        <v>15000000000</v>
      </c>
      <c r="F483" s="804"/>
      <c r="G483" s="804"/>
      <c r="H483" s="804"/>
      <c r="I483" s="804"/>
      <c r="J483" s="804"/>
      <c r="K483" s="804">
        <f t="shared" si="101"/>
        <v>0</v>
      </c>
      <c r="L483" s="804"/>
      <c r="M483" s="804"/>
      <c r="N483" s="804"/>
      <c r="O483" s="804">
        <f t="shared" si="102"/>
        <v>0</v>
      </c>
      <c r="P483" s="804">
        <v>27000000000</v>
      </c>
      <c r="Q483" s="804">
        <f t="shared" si="103"/>
        <v>27000000000</v>
      </c>
      <c r="R483" s="804">
        <v>22152235892</v>
      </c>
      <c r="S483" s="804">
        <v>4847764108</v>
      </c>
      <c r="T483" s="804"/>
      <c r="U483" s="747">
        <f t="shared" si="104"/>
        <v>0</v>
      </c>
      <c r="V483" s="747">
        <f t="shared" si="111"/>
        <v>22152235892</v>
      </c>
      <c r="W483" s="747">
        <f t="shared" si="112"/>
        <v>4847764108</v>
      </c>
      <c r="X483" s="747">
        <f t="shared" si="113"/>
        <v>27000000000</v>
      </c>
      <c r="Y483" s="658" t="s">
        <v>2079</v>
      </c>
    </row>
    <row r="484" spans="1:25" s="658" customFormat="1" ht="33.75">
      <c r="A484" s="803" t="s">
        <v>440</v>
      </c>
      <c r="B484" s="745" t="s">
        <v>2088</v>
      </c>
      <c r="C484" s="779" t="s">
        <v>777</v>
      </c>
      <c r="D484" s="780" t="s">
        <v>2089</v>
      </c>
      <c r="E484" s="804">
        <v>14601050000</v>
      </c>
      <c r="F484" s="804">
        <v>6000000000</v>
      </c>
      <c r="G484" s="804">
        <v>2776911329</v>
      </c>
      <c r="H484" s="804"/>
      <c r="I484" s="804">
        <v>2595000000</v>
      </c>
      <c r="J484" s="804"/>
      <c r="K484" s="804">
        <f t="shared" si="101"/>
        <v>0</v>
      </c>
      <c r="L484" s="804"/>
      <c r="M484" s="804"/>
      <c r="N484" s="804"/>
      <c r="O484" s="804">
        <f t="shared" si="102"/>
        <v>0</v>
      </c>
      <c r="P484" s="804">
        <v>5737000000</v>
      </c>
      <c r="Q484" s="804">
        <f t="shared" si="103"/>
        <v>5720190200</v>
      </c>
      <c r="R484" s="804">
        <v>5720190200</v>
      </c>
      <c r="S484" s="804"/>
      <c r="T484" s="804">
        <v>0</v>
      </c>
      <c r="U484" s="747">
        <f t="shared" si="104"/>
        <v>16809800</v>
      </c>
      <c r="V484" s="747">
        <f t="shared" si="111"/>
        <v>8315190200</v>
      </c>
      <c r="W484" s="747">
        <f t="shared" si="112"/>
        <v>181911329</v>
      </c>
      <c r="X484" s="747">
        <f t="shared" si="113"/>
        <v>11720190200</v>
      </c>
      <c r="Y484" s="688" t="s">
        <v>2066</v>
      </c>
    </row>
    <row r="485" spans="1:25" s="658" customFormat="1">
      <c r="A485" s="759" t="s">
        <v>109</v>
      </c>
      <c r="B485" s="760" t="s">
        <v>2090</v>
      </c>
      <c r="C485" s="779"/>
      <c r="D485" s="805"/>
      <c r="E485" s="799">
        <f>E486+E500</f>
        <v>1087635588000</v>
      </c>
      <c r="F485" s="799">
        <f>F486+F500</f>
        <v>48109807853</v>
      </c>
      <c r="G485" s="799">
        <f t="shared" ref="G485:X485" si="116">G486+G500</f>
        <v>4949939504</v>
      </c>
      <c r="H485" s="799">
        <f t="shared" si="116"/>
        <v>237211449</v>
      </c>
      <c r="I485" s="799">
        <f t="shared" si="116"/>
        <v>3960262055</v>
      </c>
      <c r="J485" s="799">
        <f t="shared" si="116"/>
        <v>965000000</v>
      </c>
      <c r="K485" s="799">
        <f t="shared" si="116"/>
        <v>965000000</v>
      </c>
      <c r="L485" s="799">
        <f t="shared" si="116"/>
        <v>965000000</v>
      </c>
      <c r="M485" s="799">
        <f t="shared" si="116"/>
        <v>0</v>
      </c>
      <c r="N485" s="799">
        <f t="shared" si="116"/>
        <v>0</v>
      </c>
      <c r="O485" s="799">
        <f t="shared" si="116"/>
        <v>0</v>
      </c>
      <c r="P485" s="799">
        <f t="shared" si="116"/>
        <v>73714000000</v>
      </c>
      <c r="Q485" s="799">
        <f t="shared" si="116"/>
        <v>53608412350</v>
      </c>
      <c r="R485" s="799">
        <f t="shared" si="116"/>
        <v>49374462154</v>
      </c>
      <c r="S485" s="799">
        <f t="shared" si="116"/>
        <v>4233950196</v>
      </c>
      <c r="T485" s="799">
        <f t="shared" si="116"/>
        <v>18670271887</v>
      </c>
      <c r="U485" s="799">
        <f>U486+U500</f>
        <v>1435173763</v>
      </c>
      <c r="V485" s="799">
        <f t="shared" si="116"/>
        <v>54299724209</v>
      </c>
      <c r="W485" s="799">
        <f t="shared" si="116"/>
        <v>4986416196</v>
      </c>
      <c r="X485" s="799">
        <f t="shared" si="116"/>
        <v>100766851754</v>
      </c>
    </row>
    <row r="486" spans="1:25" s="658" customFormat="1" ht="21">
      <c r="A486" s="759" t="s">
        <v>254</v>
      </c>
      <c r="B486" s="760" t="s">
        <v>1950</v>
      </c>
      <c r="C486" s="779"/>
      <c r="D486" s="800"/>
      <c r="E486" s="799">
        <f>E487</f>
        <v>294752000000</v>
      </c>
      <c r="F486" s="799">
        <f>F487</f>
        <v>39749509553</v>
      </c>
      <c r="G486" s="799">
        <f t="shared" ref="G486:X486" si="117">G487</f>
        <v>4757044704</v>
      </c>
      <c r="H486" s="799">
        <f t="shared" si="117"/>
        <v>237211449</v>
      </c>
      <c r="I486" s="799">
        <f t="shared" si="117"/>
        <v>3871367255</v>
      </c>
      <c r="J486" s="799">
        <f t="shared" si="117"/>
        <v>0</v>
      </c>
      <c r="K486" s="799">
        <f t="shared" si="117"/>
        <v>0</v>
      </c>
      <c r="L486" s="799">
        <f t="shared" si="117"/>
        <v>0</v>
      </c>
      <c r="M486" s="799">
        <f t="shared" si="117"/>
        <v>0</v>
      </c>
      <c r="N486" s="799">
        <f t="shared" si="117"/>
        <v>0</v>
      </c>
      <c r="O486" s="799">
        <f t="shared" si="117"/>
        <v>0</v>
      </c>
      <c r="P486" s="799">
        <f t="shared" si="117"/>
        <v>52114000000</v>
      </c>
      <c r="Q486" s="799">
        <f t="shared" si="117"/>
        <v>45629615619</v>
      </c>
      <c r="R486" s="799">
        <f t="shared" si="117"/>
        <v>41395665423</v>
      </c>
      <c r="S486" s="799">
        <f>S487</f>
        <v>4233950196</v>
      </c>
      <c r="T486" s="799">
        <f>T487</f>
        <v>6362031887</v>
      </c>
      <c r="U486" s="799">
        <f>U487</f>
        <v>122210494</v>
      </c>
      <c r="V486" s="799">
        <f t="shared" si="117"/>
        <v>45267032678</v>
      </c>
      <c r="W486" s="799">
        <f t="shared" si="117"/>
        <v>4882416196</v>
      </c>
      <c r="X486" s="799">
        <f t="shared" si="117"/>
        <v>85141913723</v>
      </c>
      <c r="Y486" s="691"/>
    </row>
    <row r="487" spans="1:25" s="658" customFormat="1" ht="22.5">
      <c r="A487" s="761" t="s">
        <v>1393</v>
      </c>
      <c r="B487" s="762" t="s">
        <v>1951</v>
      </c>
      <c r="C487" s="779"/>
      <c r="D487" s="801"/>
      <c r="E487" s="802">
        <f>SUM(E488:E490)+E494</f>
        <v>294752000000</v>
      </c>
      <c r="F487" s="802">
        <f>SUM(F488:F490)+F494</f>
        <v>39749509553</v>
      </c>
      <c r="G487" s="802">
        <f t="shared" ref="G487:X487" si="118">SUM(G488:G490)+G494</f>
        <v>4757044704</v>
      </c>
      <c r="H487" s="802">
        <f t="shared" si="118"/>
        <v>237211449</v>
      </c>
      <c r="I487" s="802">
        <f t="shared" si="118"/>
        <v>3871367255</v>
      </c>
      <c r="J487" s="802">
        <f t="shared" si="118"/>
        <v>0</v>
      </c>
      <c r="K487" s="802">
        <f t="shared" si="118"/>
        <v>0</v>
      </c>
      <c r="L487" s="802">
        <f t="shared" si="118"/>
        <v>0</v>
      </c>
      <c r="M487" s="802">
        <f t="shared" si="118"/>
        <v>0</v>
      </c>
      <c r="N487" s="802">
        <f t="shared" si="118"/>
        <v>0</v>
      </c>
      <c r="O487" s="802">
        <f t="shared" si="118"/>
        <v>0</v>
      </c>
      <c r="P487" s="802">
        <f t="shared" si="118"/>
        <v>52114000000</v>
      </c>
      <c r="Q487" s="802">
        <f t="shared" si="118"/>
        <v>45629615619</v>
      </c>
      <c r="R487" s="802">
        <f t="shared" si="118"/>
        <v>41395665423</v>
      </c>
      <c r="S487" s="802">
        <f t="shared" si="118"/>
        <v>4233950196</v>
      </c>
      <c r="T487" s="802">
        <f>SUM(T488:T490)+T494</f>
        <v>6362031887</v>
      </c>
      <c r="U487" s="802">
        <f>SUM(U488:U490)+U494</f>
        <v>122210494</v>
      </c>
      <c r="V487" s="802">
        <f t="shared" si="118"/>
        <v>45267032678</v>
      </c>
      <c r="W487" s="802">
        <f t="shared" si="118"/>
        <v>4882416196</v>
      </c>
      <c r="X487" s="802">
        <f t="shared" si="118"/>
        <v>85141913723</v>
      </c>
      <c r="Y487" s="691"/>
    </row>
    <row r="488" spans="1:25" s="658" customFormat="1" ht="22.5">
      <c r="A488" s="744">
        <v>1</v>
      </c>
      <c r="B488" s="745" t="s">
        <v>2091</v>
      </c>
      <c r="C488" s="779">
        <v>961</v>
      </c>
      <c r="D488" s="746">
        <v>7148575</v>
      </c>
      <c r="E488" s="804"/>
      <c r="F488" s="804">
        <v>20361375283</v>
      </c>
      <c r="G488" s="804">
        <v>1557549444</v>
      </c>
      <c r="H488" s="804">
        <v>237211449</v>
      </c>
      <c r="I488" s="804">
        <v>1320337995</v>
      </c>
      <c r="J488" s="804"/>
      <c r="K488" s="804">
        <f t="shared" si="101"/>
        <v>0</v>
      </c>
      <c r="L488" s="804"/>
      <c r="M488" s="804"/>
      <c r="N488" s="804"/>
      <c r="O488" s="804">
        <f t="shared" si="102"/>
        <v>0</v>
      </c>
      <c r="P488" s="804">
        <v>21500000000</v>
      </c>
      <c r="Q488" s="804">
        <f t="shared" si="103"/>
        <v>15249801113</v>
      </c>
      <c r="R488" s="804">
        <v>15249801113</v>
      </c>
      <c r="S488" s="804"/>
      <c r="T488" s="804">
        <v>6250198887</v>
      </c>
      <c r="U488" s="747">
        <f t="shared" si="104"/>
        <v>0</v>
      </c>
      <c r="V488" s="747">
        <f t="shared" si="111"/>
        <v>16570139108</v>
      </c>
      <c r="W488" s="747">
        <f t="shared" si="112"/>
        <v>0</v>
      </c>
      <c r="X488" s="747">
        <f>F488+K488+Q488-H488</f>
        <v>35373964947</v>
      </c>
      <c r="Y488" s="658" t="s">
        <v>2092</v>
      </c>
    </row>
    <row r="489" spans="1:25" s="658" customFormat="1" ht="22.5">
      <c r="A489" s="803" t="s">
        <v>105</v>
      </c>
      <c r="B489" s="745" t="s">
        <v>2093</v>
      </c>
      <c r="C489" s="779" t="s">
        <v>777</v>
      </c>
      <c r="D489" s="780" t="s">
        <v>28</v>
      </c>
      <c r="E489" s="804">
        <v>294752000000</v>
      </c>
      <c r="F489" s="804">
        <v>3888134270</v>
      </c>
      <c r="G489" s="804">
        <v>300950260</v>
      </c>
      <c r="H489" s="804">
        <v>0</v>
      </c>
      <c r="I489" s="804">
        <v>300950260</v>
      </c>
      <c r="J489" s="804"/>
      <c r="K489" s="804">
        <f t="shared" si="101"/>
        <v>0</v>
      </c>
      <c r="L489" s="804"/>
      <c r="M489" s="804"/>
      <c r="N489" s="804"/>
      <c r="O489" s="804">
        <f t="shared" si="102"/>
        <v>0</v>
      </c>
      <c r="P489" s="804">
        <v>4300000000</v>
      </c>
      <c r="Q489" s="804">
        <f t="shared" si="103"/>
        <v>4181789506</v>
      </c>
      <c r="R489" s="804">
        <v>2425637310</v>
      </c>
      <c r="S489" s="804">
        <v>1756152196</v>
      </c>
      <c r="T489" s="804">
        <v>0</v>
      </c>
      <c r="U489" s="747">
        <f t="shared" si="104"/>
        <v>118210494</v>
      </c>
      <c r="V489" s="747">
        <f t="shared" si="111"/>
        <v>2726587570</v>
      </c>
      <c r="W489" s="747">
        <f t="shared" si="112"/>
        <v>1756152196</v>
      </c>
      <c r="X489" s="747">
        <f t="shared" si="113"/>
        <v>8069923776</v>
      </c>
      <c r="Y489" s="658" t="s">
        <v>2092</v>
      </c>
    </row>
    <row r="490" spans="1:25" s="658" customFormat="1" ht="56.25">
      <c r="A490" s="744">
        <v>3</v>
      </c>
      <c r="B490" s="795" t="s">
        <v>2094</v>
      </c>
      <c r="C490" s="779"/>
      <c r="D490" s="746" t="s">
        <v>2095</v>
      </c>
      <c r="E490" s="804"/>
      <c r="F490" s="804">
        <f>SUM(F491:F493)</f>
        <v>500000000</v>
      </c>
      <c r="G490" s="804">
        <f t="shared" ref="G490:N490" si="119">SUM(G491:G493)</f>
        <v>500000000</v>
      </c>
      <c r="H490" s="804">
        <f t="shared" si="119"/>
        <v>0</v>
      </c>
      <c r="I490" s="804">
        <f t="shared" si="119"/>
        <v>0</v>
      </c>
      <c r="J490" s="804">
        <f t="shared" si="119"/>
        <v>0</v>
      </c>
      <c r="K490" s="804">
        <f t="shared" si="101"/>
        <v>0</v>
      </c>
      <c r="L490" s="804">
        <f t="shared" si="119"/>
        <v>0</v>
      </c>
      <c r="M490" s="804">
        <f t="shared" si="119"/>
        <v>0</v>
      </c>
      <c r="N490" s="804">
        <f t="shared" si="119"/>
        <v>0</v>
      </c>
      <c r="O490" s="804">
        <f t="shared" si="102"/>
        <v>0</v>
      </c>
      <c r="P490" s="804">
        <f>SUM(P491:P493)</f>
        <v>11314000000</v>
      </c>
      <c r="Q490" s="804">
        <f>SUM(Q491:Q493)</f>
        <v>11313858000</v>
      </c>
      <c r="R490" s="804">
        <f>SUM(R491:R493)</f>
        <v>11313858000</v>
      </c>
      <c r="S490" s="804">
        <f>SUM(S491:S493)</f>
        <v>0</v>
      </c>
      <c r="T490" s="804">
        <f>SUM(T491:T493)</f>
        <v>0</v>
      </c>
      <c r="U490" s="804"/>
      <c r="V490" s="747">
        <f t="shared" si="111"/>
        <v>11313858000</v>
      </c>
      <c r="W490" s="747">
        <f t="shared" si="112"/>
        <v>500000000</v>
      </c>
      <c r="X490" s="747">
        <f t="shared" si="113"/>
        <v>11813858000</v>
      </c>
      <c r="Y490" s="658" t="s">
        <v>2092</v>
      </c>
    </row>
    <row r="491" spans="1:25" s="658" customFormat="1">
      <c r="A491" s="809" t="s">
        <v>1088</v>
      </c>
      <c r="B491" s="822" t="s">
        <v>2096</v>
      </c>
      <c r="C491" s="769" t="s">
        <v>777</v>
      </c>
      <c r="D491" s="770" t="s">
        <v>2097</v>
      </c>
      <c r="E491" s="810">
        <v>12969439000</v>
      </c>
      <c r="F491" s="810">
        <v>500000000</v>
      </c>
      <c r="G491" s="810">
        <v>500000000</v>
      </c>
      <c r="H491" s="810"/>
      <c r="I491" s="810"/>
      <c r="J491" s="810"/>
      <c r="K491" s="804">
        <f t="shared" si="101"/>
        <v>0</v>
      </c>
      <c r="L491" s="810"/>
      <c r="M491" s="810"/>
      <c r="N491" s="810"/>
      <c r="O491" s="804">
        <f t="shared" si="102"/>
        <v>0</v>
      </c>
      <c r="P491" s="810">
        <v>937201000</v>
      </c>
      <c r="Q491" s="804">
        <f t="shared" si="103"/>
        <v>937059000</v>
      </c>
      <c r="R491" s="810">
        <v>937059000</v>
      </c>
      <c r="S491" s="810"/>
      <c r="T491" s="810">
        <v>0</v>
      </c>
      <c r="U491" s="747">
        <f>P491-Q491-T491</f>
        <v>142000</v>
      </c>
      <c r="V491" s="747">
        <f t="shared" si="111"/>
        <v>937059000</v>
      </c>
      <c r="W491" s="747">
        <f t="shared" si="112"/>
        <v>500000000</v>
      </c>
      <c r="X491" s="747">
        <f t="shared" si="113"/>
        <v>1437059000</v>
      </c>
    </row>
    <row r="492" spans="1:25" s="658" customFormat="1">
      <c r="A492" s="809" t="s">
        <v>1088</v>
      </c>
      <c r="B492" s="822" t="s">
        <v>2098</v>
      </c>
      <c r="C492" s="769" t="s">
        <v>777</v>
      </c>
      <c r="D492" s="770" t="s">
        <v>2099</v>
      </c>
      <c r="E492" s="810">
        <v>11422030808</v>
      </c>
      <c r="F492" s="810"/>
      <c r="G492" s="810"/>
      <c r="H492" s="810"/>
      <c r="I492" s="810"/>
      <c r="J492" s="810"/>
      <c r="K492" s="804">
        <f t="shared" si="101"/>
        <v>0</v>
      </c>
      <c r="L492" s="810"/>
      <c r="M492" s="810"/>
      <c r="N492" s="810"/>
      <c r="O492" s="804">
        <f t="shared" si="102"/>
        <v>0</v>
      </c>
      <c r="P492" s="810">
        <v>6000000000</v>
      </c>
      <c r="Q492" s="804">
        <f t="shared" si="103"/>
        <v>6000000000</v>
      </c>
      <c r="R492" s="810">
        <v>6000000000</v>
      </c>
      <c r="S492" s="810"/>
      <c r="T492" s="810"/>
      <c r="U492" s="747">
        <f>P492-Q492-T492</f>
        <v>0</v>
      </c>
      <c r="V492" s="747">
        <f t="shared" si="111"/>
        <v>6000000000</v>
      </c>
      <c r="W492" s="747">
        <f t="shared" si="112"/>
        <v>0</v>
      </c>
      <c r="X492" s="747">
        <f t="shared" si="113"/>
        <v>6000000000</v>
      </c>
    </row>
    <row r="493" spans="1:25" s="658" customFormat="1" ht="33.75">
      <c r="A493" s="809" t="s">
        <v>1088</v>
      </c>
      <c r="B493" s="822" t="s">
        <v>2100</v>
      </c>
      <c r="C493" s="769" t="s">
        <v>777</v>
      </c>
      <c r="D493" s="770" t="s">
        <v>2101</v>
      </c>
      <c r="E493" s="810">
        <v>4998443027</v>
      </c>
      <c r="F493" s="810"/>
      <c r="G493" s="810"/>
      <c r="H493" s="810"/>
      <c r="I493" s="810"/>
      <c r="J493" s="810"/>
      <c r="K493" s="804">
        <f t="shared" si="101"/>
        <v>0</v>
      </c>
      <c r="L493" s="810"/>
      <c r="M493" s="810"/>
      <c r="N493" s="810"/>
      <c r="O493" s="804">
        <f t="shared" si="102"/>
        <v>0</v>
      </c>
      <c r="P493" s="810">
        <v>4376799000</v>
      </c>
      <c r="Q493" s="804">
        <f t="shared" si="103"/>
        <v>4376799000</v>
      </c>
      <c r="R493" s="810">
        <v>4376799000</v>
      </c>
      <c r="S493" s="810"/>
      <c r="T493" s="810"/>
      <c r="U493" s="747">
        <f>P493-Q493-T493</f>
        <v>0</v>
      </c>
      <c r="V493" s="747">
        <f t="shared" si="111"/>
        <v>4376799000</v>
      </c>
      <c r="W493" s="747">
        <f t="shared" si="112"/>
        <v>0</v>
      </c>
      <c r="X493" s="747">
        <f t="shared" si="113"/>
        <v>4376799000</v>
      </c>
    </row>
    <row r="494" spans="1:25" s="658" customFormat="1" ht="22.5">
      <c r="A494" s="744">
        <v>4</v>
      </c>
      <c r="B494" s="745" t="s">
        <v>2102</v>
      </c>
      <c r="C494" s="779"/>
      <c r="D494" s="746"/>
      <c r="E494" s="804"/>
      <c r="F494" s="804">
        <f>SUM(F496:F499)</f>
        <v>15000000000</v>
      </c>
      <c r="G494" s="804">
        <f t="shared" ref="G494:N494" si="120">SUM(G496:G499)</f>
        <v>2398545000</v>
      </c>
      <c r="H494" s="804">
        <f t="shared" si="120"/>
        <v>0</v>
      </c>
      <c r="I494" s="804">
        <f t="shared" si="120"/>
        <v>2250079000</v>
      </c>
      <c r="J494" s="804">
        <f t="shared" si="120"/>
        <v>0</v>
      </c>
      <c r="K494" s="804">
        <f t="shared" si="101"/>
        <v>0</v>
      </c>
      <c r="L494" s="804">
        <f t="shared" si="120"/>
        <v>0</v>
      </c>
      <c r="M494" s="804">
        <f t="shared" si="120"/>
        <v>0</v>
      </c>
      <c r="N494" s="804">
        <f t="shared" si="120"/>
        <v>0</v>
      </c>
      <c r="O494" s="804">
        <f t="shared" si="102"/>
        <v>0</v>
      </c>
      <c r="P494" s="804">
        <f t="shared" ref="P494:U494" si="121">SUM(P496:P499)</f>
        <v>15000000000</v>
      </c>
      <c r="Q494" s="804">
        <f t="shared" si="121"/>
        <v>14884167000</v>
      </c>
      <c r="R494" s="804">
        <f t="shared" si="121"/>
        <v>12406369000</v>
      </c>
      <c r="S494" s="804">
        <f t="shared" si="121"/>
        <v>2477798000</v>
      </c>
      <c r="T494" s="804">
        <f t="shared" si="121"/>
        <v>111833000</v>
      </c>
      <c r="U494" s="804">
        <f t="shared" si="121"/>
        <v>4000000</v>
      </c>
      <c r="V494" s="747">
        <f t="shared" si="111"/>
        <v>14656448000</v>
      </c>
      <c r="W494" s="747">
        <f t="shared" si="112"/>
        <v>2626264000</v>
      </c>
      <c r="X494" s="747">
        <f t="shared" si="113"/>
        <v>29884167000</v>
      </c>
    </row>
    <row r="495" spans="1:25" s="658" customFormat="1" ht="31.5">
      <c r="A495" s="767"/>
      <c r="B495" s="814" t="s">
        <v>78</v>
      </c>
      <c r="C495" s="779"/>
      <c r="D495" s="813"/>
      <c r="E495" s="804"/>
      <c r="F495" s="804"/>
      <c r="G495" s="804"/>
      <c r="H495" s="804"/>
      <c r="I495" s="804"/>
      <c r="J495" s="804"/>
      <c r="K495" s="804">
        <f t="shared" si="101"/>
        <v>0</v>
      </c>
      <c r="L495" s="804"/>
      <c r="M495" s="804"/>
      <c r="N495" s="804"/>
      <c r="O495" s="804">
        <f t="shared" si="102"/>
        <v>0</v>
      </c>
      <c r="P495" s="804">
        <v>0</v>
      </c>
      <c r="Q495" s="804">
        <f t="shared" si="103"/>
        <v>0</v>
      </c>
      <c r="R495" s="804"/>
      <c r="S495" s="804"/>
      <c r="T495" s="804"/>
      <c r="U495" s="747">
        <f t="shared" si="104"/>
        <v>0</v>
      </c>
      <c r="V495" s="747">
        <f t="shared" si="111"/>
        <v>0</v>
      </c>
      <c r="W495" s="747">
        <f t="shared" si="112"/>
        <v>0</v>
      </c>
      <c r="X495" s="747">
        <f t="shared" si="113"/>
        <v>0</v>
      </c>
      <c r="Y495" s="688" t="s">
        <v>2103</v>
      </c>
    </row>
    <row r="496" spans="1:25" s="658" customFormat="1" ht="22.5">
      <c r="A496" s="809" t="s">
        <v>1088</v>
      </c>
      <c r="B496" s="822" t="s">
        <v>2104</v>
      </c>
      <c r="C496" s="769" t="s">
        <v>777</v>
      </c>
      <c r="D496" s="770" t="s">
        <v>2105</v>
      </c>
      <c r="E496" s="810">
        <v>41563654154</v>
      </c>
      <c r="F496" s="810">
        <v>7250000000</v>
      </c>
      <c r="G496" s="810">
        <v>2286763000</v>
      </c>
      <c r="H496" s="810"/>
      <c r="I496" s="810">
        <v>2159819000</v>
      </c>
      <c r="J496" s="810"/>
      <c r="K496" s="804">
        <f t="shared" si="101"/>
        <v>0</v>
      </c>
      <c r="L496" s="810"/>
      <c r="M496" s="810"/>
      <c r="N496" s="810"/>
      <c r="O496" s="804">
        <f t="shared" si="102"/>
        <v>0</v>
      </c>
      <c r="P496" s="810">
        <v>8000000000</v>
      </c>
      <c r="Q496" s="804">
        <f t="shared" si="103"/>
        <v>8000000000</v>
      </c>
      <c r="R496" s="810">
        <v>6986254000</v>
      </c>
      <c r="S496" s="810">
        <v>1013746000</v>
      </c>
      <c r="T496" s="810"/>
      <c r="U496" s="747">
        <f t="shared" si="104"/>
        <v>0</v>
      </c>
      <c r="V496" s="747">
        <f t="shared" si="111"/>
        <v>9146073000</v>
      </c>
      <c r="W496" s="747">
        <f t="shared" si="112"/>
        <v>1140690000</v>
      </c>
      <c r="X496" s="747">
        <f t="shared" si="113"/>
        <v>15250000000</v>
      </c>
      <c r="Y496" s="691"/>
    </row>
    <row r="497" spans="1:25" s="658" customFormat="1" ht="22.5">
      <c r="A497" s="809" t="s">
        <v>1088</v>
      </c>
      <c r="B497" s="822" t="s">
        <v>2106</v>
      </c>
      <c r="C497" s="769" t="s">
        <v>777</v>
      </c>
      <c r="D497" s="770" t="s">
        <v>2107</v>
      </c>
      <c r="E497" s="810">
        <v>31882475000</v>
      </c>
      <c r="F497" s="810">
        <v>7750000000</v>
      </c>
      <c r="G497" s="810">
        <v>111782000</v>
      </c>
      <c r="H497" s="810"/>
      <c r="I497" s="810">
        <v>90260000</v>
      </c>
      <c r="J497" s="810"/>
      <c r="K497" s="804">
        <f t="shared" si="101"/>
        <v>0</v>
      </c>
      <c r="L497" s="810"/>
      <c r="M497" s="810"/>
      <c r="N497" s="810"/>
      <c r="O497" s="804">
        <f t="shared" si="102"/>
        <v>0</v>
      </c>
      <c r="P497" s="810">
        <v>3000000000</v>
      </c>
      <c r="Q497" s="804">
        <f t="shared" si="103"/>
        <v>3000000000</v>
      </c>
      <c r="R497" s="810">
        <v>2761482000</v>
      </c>
      <c r="S497" s="810">
        <v>238518000</v>
      </c>
      <c r="T497" s="810"/>
      <c r="U497" s="747">
        <f t="shared" si="104"/>
        <v>0</v>
      </c>
      <c r="V497" s="747">
        <f t="shared" si="111"/>
        <v>2851742000</v>
      </c>
      <c r="W497" s="747">
        <f t="shared" si="112"/>
        <v>260040000</v>
      </c>
      <c r="X497" s="747">
        <f t="shared" si="113"/>
        <v>10750000000</v>
      </c>
      <c r="Y497" s="691"/>
    </row>
    <row r="498" spans="1:25" s="658" customFormat="1" ht="22.5">
      <c r="A498" s="809" t="s">
        <v>1088</v>
      </c>
      <c r="B498" s="822" t="s">
        <v>2108</v>
      </c>
      <c r="C498" s="769" t="s">
        <v>777</v>
      </c>
      <c r="D498" s="770" t="s">
        <v>2109</v>
      </c>
      <c r="E498" s="810">
        <v>25084642869</v>
      </c>
      <c r="F498" s="810"/>
      <c r="G498" s="810"/>
      <c r="H498" s="810"/>
      <c r="I498" s="810"/>
      <c r="J498" s="810"/>
      <c r="K498" s="804">
        <f t="shared" si="101"/>
        <v>0</v>
      </c>
      <c r="L498" s="810"/>
      <c r="M498" s="810"/>
      <c r="N498" s="810"/>
      <c r="O498" s="804">
        <f t="shared" si="102"/>
        <v>0</v>
      </c>
      <c r="P498" s="810">
        <v>850000000</v>
      </c>
      <c r="Q498" s="804">
        <f t="shared" si="103"/>
        <v>846000000</v>
      </c>
      <c r="R498" s="810">
        <v>846000000</v>
      </c>
      <c r="S498" s="810"/>
      <c r="T498" s="810">
        <v>0</v>
      </c>
      <c r="U498" s="754">
        <f>P498-Q498-T498</f>
        <v>4000000</v>
      </c>
      <c r="V498" s="747">
        <f t="shared" si="111"/>
        <v>846000000</v>
      </c>
      <c r="W498" s="747">
        <f t="shared" si="112"/>
        <v>0</v>
      </c>
      <c r="X498" s="747">
        <f t="shared" si="113"/>
        <v>846000000</v>
      </c>
      <c r="Y498" s="691"/>
    </row>
    <row r="499" spans="1:25" s="658" customFormat="1" ht="22.5">
      <c r="A499" s="809" t="s">
        <v>1088</v>
      </c>
      <c r="B499" s="823" t="s">
        <v>2110</v>
      </c>
      <c r="C499" s="769" t="s">
        <v>777</v>
      </c>
      <c r="D499" s="770" t="s">
        <v>2111</v>
      </c>
      <c r="E499" s="810">
        <v>19464300000</v>
      </c>
      <c r="F499" s="810"/>
      <c r="G499" s="810"/>
      <c r="H499" s="810"/>
      <c r="I499" s="810"/>
      <c r="J499" s="810"/>
      <c r="K499" s="804">
        <f t="shared" si="101"/>
        <v>0</v>
      </c>
      <c r="L499" s="810"/>
      <c r="M499" s="810"/>
      <c r="N499" s="810"/>
      <c r="O499" s="804">
        <f t="shared" si="102"/>
        <v>0</v>
      </c>
      <c r="P499" s="810">
        <v>3150000000</v>
      </c>
      <c r="Q499" s="804">
        <f t="shared" si="103"/>
        <v>3038167000</v>
      </c>
      <c r="R499" s="810">
        <v>1812633000</v>
      </c>
      <c r="S499" s="810">
        <v>1225534000</v>
      </c>
      <c r="T499" s="810">
        <v>111833000</v>
      </c>
      <c r="U499" s="747">
        <f t="shared" si="104"/>
        <v>0</v>
      </c>
      <c r="V499" s="747">
        <f t="shared" si="111"/>
        <v>1812633000</v>
      </c>
      <c r="W499" s="747">
        <f t="shared" si="112"/>
        <v>1225534000</v>
      </c>
      <c r="X499" s="747">
        <f t="shared" si="113"/>
        <v>3038167000</v>
      </c>
      <c r="Y499" s="691"/>
    </row>
    <row r="500" spans="1:25" s="658" customFormat="1">
      <c r="A500" s="759" t="s">
        <v>256</v>
      </c>
      <c r="B500" s="760" t="s">
        <v>1430</v>
      </c>
      <c r="C500" s="788"/>
      <c r="D500" s="800"/>
      <c r="E500" s="799">
        <f>E501+E518</f>
        <v>792883588000</v>
      </c>
      <c r="F500" s="799">
        <f>F501+F518</f>
        <v>8360298300</v>
      </c>
      <c r="G500" s="799">
        <f t="shared" ref="G500:X500" si="122">G501+G518</f>
        <v>192894800</v>
      </c>
      <c r="H500" s="799">
        <f t="shared" si="122"/>
        <v>0</v>
      </c>
      <c r="I500" s="799">
        <f t="shared" si="122"/>
        <v>88894800</v>
      </c>
      <c r="J500" s="799">
        <f t="shared" si="122"/>
        <v>965000000</v>
      </c>
      <c r="K500" s="799">
        <f t="shared" si="122"/>
        <v>965000000</v>
      </c>
      <c r="L500" s="799">
        <f t="shared" si="122"/>
        <v>965000000</v>
      </c>
      <c r="M500" s="799">
        <f t="shared" si="122"/>
        <v>0</v>
      </c>
      <c r="N500" s="799">
        <f t="shared" si="122"/>
        <v>0</v>
      </c>
      <c r="O500" s="799">
        <f t="shared" si="122"/>
        <v>0</v>
      </c>
      <c r="P500" s="799">
        <f t="shared" si="122"/>
        <v>21600000000</v>
      </c>
      <c r="Q500" s="799">
        <f t="shared" si="122"/>
        <v>7978796731</v>
      </c>
      <c r="R500" s="799">
        <f t="shared" si="122"/>
        <v>7978796731</v>
      </c>
      <c r="S500" s="799">
        <f t="shared" si="122"/>
        <v>0</v>
      </c>
      <c r="T500" s="799">
        <f t="shared" si="122"/>
        <v>12308240000</v>
      </c>
      <c r="U500" s="799">
        <f t="shared" si="122"/>
        <v>1312963269</v>
      </c>
      <c r="V500" s="799">
        <f t="shared" si="122"/>
        <v>9032691531</v>
      </c>
      <c r="W500" s="799">
        <f t="shared" si="122"/>
        <v>104000000</v>
      </c>
      <c r="X500" s="799">
        <f t="shared" si="122"/>
        <v>15624938031</v>
      </c>
      <c r="Y500" s="691"/>
    </row>
    <row r="501" spans="1:25" s="658" customFormat="1" ht="22.5">
      <c r="A501" s="761" t="s">
        <v>1393</v>
      </c>
      <c r="B501" s="762" t="s">
        <v>1951</v>
      </c>
      <c r="C501" s="806"/>
      <c r="D501" s="801"/>
      <c r="E501" s="802">
        <f>E502</f>
        <v>0</v>
      </c>
      <c r="F501" s="802">
        <f>F502</f>
        <v>4325726300</v>
      </c>
      <c r="G501" s="802">
        <f t="shared" ref="G501:O501" si="123">G502</f>
        <v>88894800</v>
      </c>
      <c r="H501" s="802">
        <f t="shared" si="123"/>
        <v>0</v>
      </c>
      <c r="I501" s="802">
        <f t="shared" si="123"/>
        <v>88894800</v>
      </c>
      <c r="J501" s="802">
        <f t="shared" si="123"/>
        <v>0</v>
      </c>
      <c r="K501" s="802">
        <f t="shared" si="123"/>
        <v>0</v>
      </c>
      <c r="L501" s="802">
        <f t="shared" si="123"/>
        <v>0</v>
      </c>
      <c r="M501" s="802">
        <f t="shared" si="123"/>
        <v>0</v>
      </c>
      <c r="N501" s="802">
        <f t="shared" si="123"/>
        <v>0</v>
      </c>
      <c r="O501" s="802">
        <f t="shared" si="123"/>
        <v>0</v>
      </c>
      <c r="P501" s="802">
        <f>P502</f>
        <v>7300000000</v>
      </c>
      <c r="Q501" s="802">
        <f t="shared" ref="Q501:X501" si="124">Q502</f>
        <v>5835415731</v>
      </c>
      <c r="R501" s="802">
        <f t="shared" si="124"/>
        <v>5835415731</v>
      </c>
      <c r="S501" s="802">
        <f t="shared" si="124"/>
        <v>0</v>
      </c>
      <c r="T501" s="802">
        <f t="shared" si="124"/>
        <v>151621000</v>
      </c>
      <c r="U501" s="802">
        <f t="shared" si="124"/>
        <v>1312963269</v>
      </c>
      <c r="V501" s="802">
        <f t="shared" si="124"/>
        <v>5924310531</v>
      </c>
      <c r="W501" s="802">
        <f t="shared" si="124"/>
        <v>0</v>
      </c>
      <c r="X501" s="802">
        <f t="shared" si="124"/>
        <v>8481985031</v>
      </c>
    </row>
    <row r="502" spans="1:25" s="658" customFormat="1" ht="33.75">
      <c r="A502" s="744">
        <v>1</v>
      </c>
      <c r="B502" s="745" t="s">
        <v>2112</v>
      </c>
      <c r="C502" s="779"/>
      <c r="D502" s="746" t="s">
        <v>806</v>
      </c>
      <c r="E502" s="804"/>
      <c r="F502" s="804">
        <f>SUM(F504:F517)</f>
        <v>4325726300</v>
      </c>
      <c r="G502" s="804">
        <f t="shared" ref="G502:N502" si="125">SUM(G504:G517)</f>
        <v>88894800</v>
      </c>
      <c r="H502" s="804">
        <f t="shared" si="125"/>
        <v>0</v>
      </c>
      <c r="I502" s="804">
        <f t="shared" si="125"/>
        <v>88894800</v>
      </c>
      <c r="J502" s="804">
        <f t="shared" si="125"/>
        <v>0</v>
      </c>
      <c r="K502" s="804">
        <f t="shared" si="101"/>
        <v>0</v>
      </c>
      <c r="L502" s="804">
        <f t="shared" si="125"/>
        <v>0</v>
      </c>
      <c r="M502" s="804">
        <f t="shared" si="125"/>
        <v>0</v>
      </c>
      <c r="N502" s="804">
        <f t="shared" si="125"/>
        <v>0</v>
      </c>
      <c r="O502" s="804">
        <f t="shared" si="102"/>
        <v>0</v>
      </c>
      <c r="P502" s="804">
        <f>SUM(P504:P517)</f>
        <v>7300000000</v>
      </c>
      <c r="Q502" s="804">
        <f t="shared" ref="Q502:X502" si="126">SUM(Q504:Q517)</f>
        <v>5835415731</v>
      </c>
      <c r="R502" s="804">
        <f t="shared" si="126"/>
        <v>5835415731</v>
      </c>
      <c r="S502" s="804">
        <f t="shared" si="126"/>
        <v>0</v>
      </c>
      <c r="T502" s="804">
        <f t="shared" si="126"/>
        <v>151621000</v>
      </c>
      <c r="U502" s="804">
        <f t="shared" si="126"/>
        <v>1312963269</v>
      </c>
      <c r="V502" s="804">
        <f t="shared" si="126"/>
        <v>5924310531</v>
      </c>
      <c r="W502" s="804">
        <f t="shared" si="126"/>
        <v>0</v>
      </c>
      <c r="X502" s="804">
        <f t="shared" si="126"/>
        <v>8481985031</v>
      </c>
    </row>
    <row r="503" spans="1:25" s="658" customFormat="1">
      <c r="A503" s="744"/>
      <c r="B503" s="762" t="s">
        <v>2113</v>
      </c>
      <c r="C503" s="779"/>
      <c r="D503" s="746"/>
      <c r="E503" s="804"/>
      <c r="F503" s="804"/>
      <c r="G503" s="804"/>
      <c r="H503" s="804"/>
      <c r="I503" s="804"/>
      <c r="J503" s="804"/>
      <c r="K503" s="804">
        <f t="shared" si="101"/>
        <v>0</v>
      </c>
      <c r="L503" s="804"/>
      <c r="M503" s="804"/>
      <c r="N503" s="804"/>
      <c r="O503" s="804">
        <f t="shared" si="102"/>
        <v>0</v>
      </c>
      <c r="P503" s="804"/>
      <c r="Q503" s="804">
        <f t="shared" si="103"/>
        <v>0</v>
      </c>
      <c r="R503" s="804"/>
      <c r="S503" s="804"/>
      <c r="T503" s="804"/>
      <c r="U503" s="747">
        <f t="shared" si="104"/>
        <v>0</v>
      </c>
      <c r="V503" s="747">
        <f t="shared" si="111"/>
        <v>0</v>
      </c>
      <c r="W503" s="747">
        <f t="shared" si="112"/>
        <v>0</v>
      </c>
      <c r="X503" s="747">
        <f t="shared" si="113"/>
        <v>0</v>
      </c>
      <c r="Y503" s="658" t="s">
        <v>2092</v>
      </c>
    </row>
    <row r="504" spans="1:25" s="658" customFormat="1">
      <c r="A504" s="803" t="s">
        <v>1088</v>
      </c>
      <c r="B504" s="785" t="s">
        <v>2114</v>
      </c>
      <c r="C504" s="779" t="s">
        <v>777</v>
      </c>
      <c r="D504" s="780" t="s">
        <v>2115</v>
      </c>
      <c r="E504" s="804">
        <v>1500000000</v>
      </c>
      <c r="F504" s="804">
        <v>91961000</v>
      </c>
      <c r="G504" s="804"/>
      <c r="H504" s="804"/>
      <c r="I504" s="804"/>
      <c r="J504" s="804"/>
      <c r="K504" s="804">
        <f t="shared" si="101"/>
        <v>0</v>
      </c>
      <c r="L504" s="804"/>
      <c r="M504" s="804"/>
      <c r="N504" s="804"/>
      <c r="O504" s="804">
        <f t="shared" si="102"/>
        <v>0</v>
      </c>
      <c r="P504" s="804">
        <v>450000000</v>
      </c>
      <c r="Q504" s="804">
        <f t="shared" si="103"/>
        <v>423098000</v>
      </c>
      <c r="R504" s="804">
        <v>423098000</v>
      </c>
      <c r="S504" s="804"/>
      <c r="T504" s="804">
        <v>26902000</v>
      </c>
      <c r="U504" s="747">
        <f t="shared" si="104"/>
        <v>0</v>
      </c>
      <c r="V504" s="747">
        <f t="shared" si="111"/>
        <v>423098000</v>
      </c>
      <c r="W504" s="747">
        <f t="shared" si="112"/>
        <v>0</v>
      </c>
      <c r="X504" s="747">
        <f t="shared" si="113"/>
        <v>515059000</v>
      </c>
    </row>
    <row r="505" spans="1:25" s="658" customFormat="1">
      <c r="A505" s="803" t="s">
        <v>1088</v>
      </c>
      <c r="B505" s="785" t="s">
        <v>2116</v>
      </c>
      <c r="C505" s="779" t="s">
        <v>777</v>
      </c>
      <c r="D505" s="780" t="s">
        <v>2117</v>
      </c>
      <c r="E505" s="804">
        <v>3500000000</v>
      </c>
      <c r="F505" s="804">
        <v>214785000</v>
      </c>
      <c r="G505" s="804"/>
      <c r="H505" s="804"/>
      <c r="I505" s="804"/>
      <c r="J505" s="804"/>
      <c r="K505" s="804">
        <f t="shared" si="101"/>
        <v>0</v>
      </c>
      <c r="L505" s="804"/>
      <c r="M505" s="804"/>
      <c r="N505" s="804"/>
      <c r="O505" s="804">
        <f t="shared" si="102"/>
        <v>0</v>
      </c>
      <c r="P505" s="804">
        <v>674000000</v>
      </c>
      <c r="Q505" s="804">
        <f t="shared" si="103"/>
        <v>647340000</v>
      </c>
      <c r="R505" s="804">
        <v>647340000</v>
      </c>
      <c r="S505" s="804"/>
      <c r="T505" s="804">
        <v>26660000</v>
      </c>
      <c r="U505" s="747">
        <f t="shared" si="104"/>
        <v>0</v>
      </c>
      <c r="V505" s="747">
        <f t="shared" si="111"/>
        <v>647340000</v>
      </c>
      <c r="W505" s="747">
        <f t="shared" si="112"/>
        <v>0</v>
      </c>
      <c r="X505" s="747">
        <f t="shared" si="113"/>
        <v>862125000</v>
      </c>
      <c r="Y505" s="658" t="s">
        <v>2092</v>
      </c>
    </row>
    <row r="506" spans="1:25" s="658" customFormat="1" ht="22.5">
      <c r="A506" s="803" t="s">
        <v>1088</v>
      </c>
      <c r="B506" s="785" t="s">
        <v>2118</v>
      </c>
      <c r="C506" s="779" t="s">
        <v>777</v>
      </c>
      <c r="D506" s="780" t="s">
        <v>2119</v>
      </c>
      <c r="E506" s="804">
        <v>4500000000</v>
      </c>
      <c r="F506" s="804">
        <v>213300000</v>
      </c>
      <c r="G506" s="804"/>
      <c r="H506" s="804"/>
      <c r="I506" s="804"/>
      <c r="J506" s="804"/>
      <c r="K506" s="804">
        <f t="shared" si="101"/>
        <v>0</v>
      </c>
      <c r="L506" s="804"/>
      <c r="M506" s="804"/>
      <c r="N506" s="804"/>
      <c r="O506" s="804">
        <f t="shared" si="102"/>
        <v>0</v>
      </c>
      <c r="P506" s="804">
        <v>918070000</v>
      </c>
      <c r="Q506" s="804">
        <f t="shared" si="103"/>
        <v>896942000</v>
      </c>
      <c r="R506" s="804">
        <v>896942000</v>
      </c>
      <c r="S506" s="804"/>
      <c r="T506" s="804">
        <v>21128000</v>
      </c>
      <c r="U506" s="747">
        <f t="shared" si="104"/>
        <v>0</v>
      </c>
      <c r="V506" s="747">
        <f t="shared" si="111"/>
        <v>896942000</v>
      </c>
      <c r="W506" s="747">
        <f t="shared" si="112"/>
        <v>0</v>
      </c>
      <c r="X506" s="747">
        <f t="shared" si="113"/>
        <v>1110242000</v>
      </c>
    </row>
    <row r="507" spans="1:25" s="658" customFormat="1">
      <c r="A507" s="803" t="s">
        <v>1088</v>
      </c>
      <c r="B507" s="785" t="s">
        <v>2120</v>
      </c>
      <c r="C507" s="779" t="s">
        <v>777</v>
      </c>
      <c r="D507" s="780" t="s">
        <v>2121</v>
      </c>
      <c r="E507" s="804">
        <v>3500000000</v>
      </c>
      <c r="F507" s="804">
        <v>207684000</v>
      </c>
      <c r="G507" s="804"/>
      <c r="H507" s="804"/>
      <c r="I507" s="804"/>
      <c r="J507" s="804"/>
      <c r="K507" s="804">
        <f t="shared" si="101"/>
        <v>0</v>
      </c>
      <c r="L507" s="804"/>
      <c r="M507" s="804"/>
      <c r="N507" s="804"/>
      <c r="O507" s="804">
        <f t="shared" si="102"/>
        <v>0</v>
      </c>
      <c r="P507" s="804">
        <v>650000000</v>
      </c>
      <c r="Q507" s="804">
        <f t="shared" si="103"/>
        <v>620397000</v>
      </c>
      <c r="R507" s="804">
        <v>620397000</v>
      </c>
      <c r="S507" s="804"/>
      <c r="T507" s="804">
        <v>29603000</v>
      </c>
      <c r="U507" s="747">
        <f t="shared" si="104"/>
        <v>0</v>
      </c>
      <c r="V507" s="747">
        <f t="shared" si="111"/>
        <v>620397000</v>
      </c>
      <c r="W507" s="747">
        <f t="shared" si="112"/>
        <v>0</v>
      </c>
      <c r="X507" s="747">
        <f t="shared" si="113"/>
        <v>828081000</v>
      </c>
    </row>
    <row r="508" spans="1:25" s="658" customFormat="1">
      <c r="A508" s="803" t="s">
        <v>1088</v>
      </c>
      <c r="B508" s="785" t="s">
        <v>2122</v>
      </c>
      <c r="C508" s="779" t="s">
        <v>777</v>
      </c>
      <c r="D508" s="780" t="s">
        <v>2123</v>
      </c>
      <c r="E508" s="804">
        <v>3500000000</v>
      </c>
      <c r="F508" s="804">
        <v>216000000</v>
      </c>
      <c r="G508" s="804"/>
      <c r="H508" s="804"/>
      <c r="I508" s="804"/>
      <c r="J508" s="804"/>
      <c r="K508" s="804">
        <f t="shared" si="101"/>
        <v>0</v>
      </c>
      <c r="L508" s="804"/>
      <c r="M508" s="804"/>
      <c r="N508" s="804"/>
      <c r="O508" s="804">
        <f t="shared" si="102"/>
        <v>0</v>
      </c>
      <c r="P508" s="804">
        <v>450000000</v>
      </c>
      <c r="Q508" s="804">
        <f t="shared" si="103"/>
        <v>423733000</v>
      </c>
      <c r="R508" s="804">
        <v>423733000</v>
      </c>
      <c r="S508" s="804"/>
      <c r="T508" s="804">
        <v>26267000</v>
      </c>
      <c r="U508" s="747">
        <f t="shared" si="104"/>
        <v>0</v>
      </c>
      <c r="V508" s="747">
        <f t="shared" si="111"/>
        <v>423733000</v>
      </c>
      <c r="W508" s="747">
        <f t="shared" si="112"/>
        <v>0</v>
      </c>
      <c r="X508" s="747">
        <f t="shared" si="113"/>
        <v>639733000</v>
      </c>
    </row>
    <row r="509" spans="1:25" s="658" customFormat="1">
      <c r="A509" s="803" t="s">
        <v>1088</v>
      </c>
      <c r="B509" s="785" t="s">
        <v>2124</v>
      </c>
      <c r="C509" s="779" t="s">
        <v>777</v>
      </c>
      <c r="D509" s="780" t="s">
        <v>2125</v>
      </c>
      <c r="E509" s="804">
        <v>3500000000</v>
      </c>
      <c r="F509" s="804">
        <v>212517000</v>
      </c>
      <c r="G509" s="804"/>
      <c r="H509" s="804"/>
      <c r="I509" s="804"/>
      <c r="J509" s="804"/>
      <c r="K509" s="804">
        <f t="shared" si="101"/>
        <v>0</v>
      </c>
      <c r="L509" s="804"/>
      <c r="M509" s="804"/>
      <c r="N509" s="804"/>
      <c r="O509" s="804">
        <f t="shared" si="102"/>
        <v>0</v>
      </c>
      <c r="P509" s="804">
        <v>450000000</v>
      </c>
      <c r="Q509" s="804">
        <f t="shared" si="103"/>
        <v>428677000</v>
      </c>
      <c r="R509" s="804">
        <v>428677000</v>
      </c>
      <c r="S509" s="804"/>
      <c r="T509" s="804">
        <v>0</v>
      </c>
      <c r="U509" s="747">
        <f t="shared" si="104"/>
        <v>21323000</v>
      </c>
      <c r="V509" s="747">
        <f t="shared" si="111"/>
        <v>428677000</v>
      </c>
      <c r="W509" s="747">
        <f t="shared" si="112"/>
        <v>0</v>
      </c>
      <c r="X509" s="747">
        <f t="shared" si="113"/>
        <v>641194000</v>
      </c>
    </row>
    <row r="510" spans="1:25" s="658" customFormat="1" ht="22.5">
      <c r="A510" s="803" t="s">
        <v>1088</v>
      </c>
      <c r="B510" s="785" t="s">
        <v>2126</v>
      </c>
      <c r="C510" s="779" t="s">
        <v>777</v>
      </c>
      <c r="D510" s="780" t="s">
        <v>2127</v>
      </c>
      <c r="E510" s="804">
        <v>3500000000</v>
      </c>
      <c r="F510" s="804">
        <v>214867500</v>
      </c>
      <c r="G510" s="804"/>
      <c r="H510" s="804"/>
      <c r="I510" s="804"/>
      <c r="J510" s="804"/>
      <c r="K510" s="804">
        <f t="shared" si="101"/>
        <v>0</v>
      </c>
      <c r="L510" s="804"/>
      <c r="M510" s="804"/>
      <c r="N510" s="804"/>
      <c r="O510" s="804">
        <f t="shared" si="102"/>
        <v>0</v>
      </c>
      <c r="P510" s="804">
        <v>450000000</v>
      </c>
      <c r="Q510" s="804">
        <f t="shared" si="103"/>
        <v>428939000</v>
      </c>
      <c r="R510" s="804">
        <v>428939000</v>
      </c>
      <c r="S510" s="804"/>
      <c r="T510" s="804">
        <v>21061000</v>
      </c>
      <c r="U510" s="747">
        <f t="shared" si="104"/>
        <v>0</v>
      </c>
      <c r="V510" s="747">
        <f t="shared" si="111"/>
        <v>428939000</v>
      </c>
      <c r="W510" s="747">
        <f t="shared" si="112"/>
        <v>0</v>
      </c>
      <c r="X510" s="747">
        <f t="shared" si="113"/>
        <v>643806500</v>
      </c>
    </row>
    <row r="511" spans="1:25" s="658" customFormat="1">
      <c r="A511" s="803" t="s">
        <v>1088</v>
      </c>
      <c r="B511" s="785" t="s">
        <v>2128</v>
      </c>
      <c r="C511" s="779" t="s">
        <v>777</v>
      </c>
      <c r="D511" s="780" t="s">
        <v>1641</v>
      </c>
      <c r="E511" s="804">
        <v>5000000000</v>
      </c>
      <c r="F511" s="804">
        <v>1762231800</v>
      </c>
      <c r="G511" s="804">
        <v>88894800</v>
      </c>
      <c r="H511" s="804"/>
      <c r="I511" s="804">
        <v>88894800</v>
      </c>
      <c r="J511" s="804"/>
      <c r="K511" s="804">
        <f t="shared" si="101"/>
        <v>0</v>
      </c>
      <c r="L511" s="804"/>
      <c r="M511" s="804"/>
      <c r="N511" s="804"/>
      <c r="O511" s="804">
        <f t="shared" si="102"/>
        <v>0</v>
      </c>
      <c r="P511" s="804">
        <v>1519883250</v>
      </c>
      <c r="Q511" s="804">
        <f t="shared" si="103"/>
        <v>1263845091</v>
      </c>
      <c r="R511" s="804">
        <v>1263845091</v>
      </c>
      <c r="S511" s="804"/>
      <c r="T511" s="804">
        <v>0</v>
      </c>
      <c r="U511" s="747">
        <f t="shared" si="104"/>
        <v>256038159</v>
      </c>
      <c r="V511" s="747">
        <f t="shared" si="111"/>
        <v>1352739891</v>
      </c>
      <c r="W511" s="747">
        <f t="shared" si="112"/>
        <v>0</v>
      </c>
      <c r="X511" s="747">
        <v>1352739891</v>
      </c>
    </row>
    <row r="512" spans="1:25" s="658" customFormat="1">
      <c r="A512" s="803" t="s">
        <v>1088</v>
      </c>
      <c r="B512" s="785" t="s">
        <v>2129</v>
      </c>
      <c r="C512" s="779" t="s">
        <v>777</v>
      </c>
      <c r="D512" s="780" t="s">
        <v>2130</v>
      </c>
      <c r="E512" s="804">
        <v>400000000</v>
      </c>
      <c r="F512" s="804">
        <v>64800000</v>
      </c>
      <c r="G512" s="804"/>
      <c r="H512" s="804"/>
      <c r="I512" s="804"/>
      <c r="J512" s="804"/>
      <c r="K512" s="804">
        <f t="shared" si="101"/>
        <v>0</v>
      </c>
      <c r="L512" s="804"/>
      <c r="M512" s="804"/>
      <c r="N512" s="804"/>
      <c r="O512" s="804">
        <f t="shared" si="102"/>
        <v>0</v>
      </c>
      <c r="P512" s="804">
        <v>106724000</v>
      </c>
      <c r="Q512" s="804">
        <f t="shared" si="103"/>
        <v>106724000</v>
      </c>
      <c r="R512" s="804">
        <v>106724000</v>
      </c>
      <c r="S512" s="804"/>
      <c r="T512" s="804"/>
      <c r="U512" s="747">
        <f t="shared" si="104"/>
        <v>0</v>
      </c>
      <c r="V512" s="747">
        <f t="shared" si="111"/>
        <v>106724000</v>
      </c>
      <c r="W512" s="747">
        <f t="shared" si="112"/>
        <v>0</v>
      </c>
      <c r="X512" s="747">
        <f t="shared" si="113"/>
        <v>171524000</v>
      </c>
    </row>
    <row r="513" spans="1:25" s="658" customFormat="1">
      <c r="A513" s="803" t="s">
        <v>1088</v>
      </c>
      <c r="B513" s="785" t="s">
        <v>2131</v>
      </c>
      <c r="C513" s="779" t="s">
        <v>777</v>
      </c>
      <c r="D513" s="780" t="s">
        <v>2132</v>
      </c>
      <c r="E513" s="804">
        <v>650000000</v>
      </c>
      <c r="F513" s="804"/>
      <c r="G513" s="804"/>
      <c r="H513" s="804"/>
      <c r="I513" s="804"/>
      <c r="J513" s="804"/>
      <c r="K513" s="804">
        <f t="shared" si="101"/>
        <v>0</v>
      </c>
      <c r="L513" s="804"/>
      <c r="M513" s="804"/>
      <c r="N513" s="804"/>
      <c r="O513" s="804">
        <f t="shared" si="102"/>
        <v>0</v>
      </c>
      <c r="P513" s="804">
        <v>146282000</v>
      </c>
      <c r="Q513" s="804">
        <f t="shared" si="103"/>
        <v>146167200</v>
      </c>
      <c r="R513" s="804">
        <v>146167200</v>
      </c>
      <c r="S513" s="804"/>
      <c r="T513" s="804">
        <v>0</v>
      </c>
      <c r="U513" s="747">
        <f t="shared" si="104"/>
        <v>114800</v>
      </c>
      <c r="V513" s="747">
        <f t="shared" si="111"/>
        <v>146167200</v>
      </c>
      <c r="W513" s="747">
        <f t="shared" si="112"/>
        <v>0</v>
      </c>
      <c r="X513" s="747">
        <f t="shared" si="113"/>
        <v>146167200</v>
      </c>
    </row>
    <row r="514" spans="1:25" s="658" customFormat="1">
      <c r="A514" s="803" t="s">
        <v>1088</v>
      </c>
      <c r="B514" s="785" t="s">
        <v>2133</v>
      </c>
      <c r="C514" s="779" t="s">
        <v>777</v>
      </c>
      <c r="D514" s="780" t="s">
        <v>2134</v>
      </c>
      <c r="E514" s="804">
        <v>1500000000</v>
      </c>
      <c r="F514" s="804">
        <v>168210000</v>
      </c>
      <c r="G514" s="804"/>
      <c r="H514" s="804"/>
      <c r="I514" s="804"/>
      <c r="J514" s="804"/>
      <c r="K514" s="804">
        <f t="shared" si="101"/>
        <v>0</v>
      </c>
      <c r="L514" s="804"/>
      <c r="M514" s="804"/>
      <c r="N514" s="804"/>
      <c r="O514" s="804">
        <f t="shared" si="102"/>
        <v>0</v>
      </c>
      <c r="P514" s="804">
        <v>161240000</v>
      </c>
      <c r="Q514" s="804">
        <f t="shared" si="103"/>
        <v>161238000</v>
      </c>
      <c r="R514" s="804">
        <v>161238000</v>
      </c>
      <c r="S514" s="804"/>
      <c r="T514" s="804"/>
      <c r="U514" s="747">
        <f t="shared" si="104"/>
        <v>2000</v>
      </c>
      <c r="V514" s="747">
        <f t="shared" si="111"/>
        <v>161238000</v>
      </c>
      <c r="W514" s="747">
        <f t="shared" si="112"/>
        <v>0</v>
      </c>
      <c r="X514" s="747">
        <f t="shared" si="113"/>
        <v>329448000</v>
      </c>
    </row>
    <row r="515" spans="1:25" s="658" customFormat="1">
      <c r="A515" s="803" t="s">
        <v>1088</v>
      </c>
      <c r="B515" s="785" t="s">
        <v>2135</v>
      </c>
      <c r="C515" s="779" t="s">
        <v>777</v>
      </c>
      <c r="D515" s="780" t="s">
        <v>2136</v>
      </c>
      <c r="E515" s="804">
        <v>21039209</v>
      </c>
      <c r="F515" s="804"/>
      <c r="G515" s="804"/>
      <c r="H515" s="804"/>
      <c r="I515" s="804"/>
      <c r="J515" s="804"/>
      <c r="K515" s="804">
        <f t="shared" si="101"/>
        <v>0</v>
      </c>
      <c r="L515" s="804"/>
      <c r="M515" s="804"/>
      <c r="N515" s="804"/>
      <c r="O515" s="804">
        <f t="shared" si="102"/>
        <v>0</v>
      </c>
      <c r="P515" s="804">
        <v>11020000</v>
      </c>
      <c r="Q515" s="804">
        <f t="shared" si="103"/>
        <v>11020000</v>
      </c>
      <c r="R515" s="804">
        <v>11020000</v>
      </c>
      <c r="S515" s="804"/>
      <c r="T515" s="804"/>
      <c r="U515" s="747">
        <f t="shared" si="104"/>
        <v>0</v>
      </c>
      <c r="V515" s="747">
        <f t="shared" si="111"/>
        <v>11020000</v>
      </c>
      <c r="W515" s="747">
        <f t="shared" si="112"/>
        <v>0</v>
      </c>
      <c r="X515" s="747">
        <v>5200000</v>
      </c>
    </row>
    <row r="516" spans="1:25" s="658" customFormat="1">
      <c r="A516" s="803" t="s">
        <v>1088</v>
      </c>
      <c r="B516" s="785" t="s">
        <v>2137</v>
      </c>
      <c r="C516" s="779" t="s">
        <v>777</v>
      </c>
      <c r="D516" s="780" t="s">
        <v>2138</v>
      </c>
      <c r="E516" s="804">
        <v>5000000000</v>
      </c>
      <c r="F516" s="804">
        <v>959370000</v>
      </c>
      <c r="G516" s="804"/>
      <c r="H516" s="804"/>
      <c r="I516" s="804"/>
      <c r="J516" s="804"/>
      <c r="K516" s="804">
        <f t="shared" ref="K516:K534" si="127">L516+M516</f>
        <v>0</v>
      </c>
      <c r="L516" s="804"/>
      <c r="M516" s="804"/>
      <c r="N516" s="804"/>
      <c r="O516" s="804">
        <f t="shared" ref="O516:O534" si="128">J516-K516-N516</f>
        <v>0</v>
      </c>
      <c r="P516" s="804">
        <v>279000000</v>
      </c>
      <c r="Q516" s="804">
        <f t="shared" ref="Q516:Q579" si="129">R516+S516</f>
        <v>277295440</v>
      </c>
      <c r="R516" s="804">
        <v>277295440</v>
      </c>
      <c r="S516" s="804"/>
      <c r="T516" s="804">
        <v>0</v>
      </c>
      <c r="U516" s="747">
        <f t="shared" ref="U516:U576" si="130">P516-Q516-T516</f>
        <v>1704560</v>
      </c>
      <c r="V516" s="747">
        <f t="shared" si="111"/>
        <v>277295440</v>
      </c>
      <c r="W516" s="747">
        <f t="shared" si="112"/>
        <v>0</v>
      </c>
      <c r="X516" s="747">
        <f t="shared" si="113"/>
        <v>1236665440</v>
      </c>
    </row>
    <row r="517" spans="1:25" s="658" customFormat="1">
      <c r="A517" s="744"/>
      <c r="B517" s="745" t="s">
        <v>1946</v>
      </c>
      <c r="C517" s="779"/>
      <c r="D517" s="746"/>
      <c r="E517" s="804"/>
      <c r="F517" s="804"/>
      <c r="G517" s="804"/>
      <c r="H517" s="804"/>
      <c r="I517" s="804"/>
      <c r="J517" s="804"/>
      <c r="K517" s="804">
        <f t="shared" si="127"/>
        <v>0</v>
      </c>
      <c r="L517" s="804"/>
      <c r="M517" s="804"/>
      <c r="N517" s="804"/>
      <c r="O517" s="804">
        <f t="shared" si="128"/>
        <v>0</v>
      </c>
      <c r="P517" s="804">
        <v>1033780750</v>
      </c>
      <c r="Q517" s="804">
        <f t="shared" si="129"/>
        <v>0</v>
      </c>
      <c r="R517" s="804"/>
      <c r="S517" s="804"/>
      <c r="T517" s="804"/>
      <c r="U517" s="747">
        <f>P517-Q517-T517</f>
        <v>1033780750</v>
      </c>
      <c r="V517" s="747">
        <f t="shared" si="111"/>
        <v>0</v>
      </c>
      <c r="W517" s="747">
        <f t="shared" si="112"/>
        <v>0</v>
      </c>
      <c r="X517" s="747">
        <f t="shared" si="113"/>
        <v>0</v>
      </c>
    </row>
    <row r="518" spans="1:25" s="658" customFormat="1">
      <c r="A518" s="761" t="s">
        <v>1415</v>
      </c>
      <c r="B518" s="762" t="s">
        <v>2139</v>
      </c>
      <c r="C518" s="806"/>
      <c r="D518" s="824"/>
      <c r="E518" s="802">
        <f>E519</f>
        <v>792883588000</v>
      </c>
      <c r="F518" s="802">
        <f>F519</f>
        <v>4034572000</v>
      </c>
      <c r="G518" s="802">
        <f t="shared" ref="G518:X518" si="131">G519</f>
        <v>104000000</v>
      </c>
      <c r="H518" s="802">
        <f t="shared" si="131"/>
        <v>0</v>
      </c>
      <c r="I518" s="802">
        <f t="shared" si="131"/>
        <v>0</v>
      </c>
      <c r="J518" s="802">
        <f t="shared" si="131"/>
        <v>965000000</v>
      </c>
      <c r="K518" s="802">
        <f t="shared" si="131"/>
        <v>965000000</v>
      </c>
      <c r="L518" s="802">
        <f t="shared" si="131"/>
        <v>965000000</v>
      </c>
      <c r="M518" s="802">
        <f t="shared" si="131"/>
        <v>0</v>
      </c>
      <c r="N518" s="802">
        <f t="shared" si="131"/>
        <v>0</v>
      </c>
      <c r="O518" s="802">
        <f t="shared" si="131"/>
        <v>0</v>
      </c>
      <c r="P518" s="802">
        <f t="shared" si="131"/>
        <v>14300000000</v>
      </c>
      <c r="Q518" s="802">
        <f t="shared" si="131"/>
        <v>2143381000</v>
      </c>
      <c r="R518" s="802">
        <f t="shared" si="131"/>
        <v>2143381000</v>
      </c>
      <c r="S518" s="802">
        <f t="shared" si="131"/>
        <v>0</v>
      </c>
      <c r="T518" s="802">
        <f t="shared" si="131"/>
        <v>12156619000</v>
      </c>
      <c r="U518" s="802">
        <f t="shared" si="131"/>
        <v>0</v>
      </c>
      <c r="V518" s="802">
        <f t="shared" si="131"/>
        <v>3108381000</v>
      </c>
      <c r="W518" s="802">
        <f t="shared" si="131"/>
        <v>104000000</v>
      </c>
      <c r="X518" s="802">
        <f t="shared" si="131"/>
        <v>7142953000</v>
      </c>
    </row>
    <row r="519" spans="1:25" s="658" customFormat="1" ht="22.5">
      <c r="A519" s="803"/>
      <c r="B519" s="764" t="s">
        <v>818</v>
      </c>
      <c r="C519" s="779" t="s">
        <v>777</v>
      </c>
      <c r="D519" s="780">
        <v>7605935</v>
      </c>
      <c r="E519" s="804">
        <v>792883588000</v>
      </c>
      <c r="F519" s="804">
        <v>4034572000</v>
      </c>
      <c r="G519" s="804">
        <v>104000000</v>
      </c>
      <c r="H519" s="804"/>
      <c r="I519" s="804"/>
      <c r="J519" s="804">
        <v>965000000</v>
      </c>
      <c r="K519" s="804">
        <f t="shared" si="127"/>
        <v>965000000</v>
      </c>
      <c r="L519" s="804">
        <v>965000000</v>
      </c>
      <c r="M519" s="804"/>
      <c r="N519" s="804"/>
      <c r="O519" s="804">
        <f t="shared" si="128"/>
        <v>0</v>
      </c>
      <c r="P519" s="804">
        <v>14300000000</v>
      </c>
      <c r="Q519" s="804">
        <f t="shared" si="129"/>
        <v>2143381000</v>
      </c>
      <c r="R519" s="804">
        <v>2143381000</v>
      </c>
      <c r="S519" s="804"/>
      <c r="T519" s="804">
        <v>12156619000</v>
      </c>
      <c r="U519" s="747">
        <f t="shared" si="130"/>
        <v>0</v>
      </c>
      <c r="V519" s="747">
        <f t="shared" si="111"/>
        <v>3108381000</v>
      </c>
      <c r="W519" s="747">
        <f t="shared" si="112"/>
        <v>104000000</v>
      </c>
      <c r="X519" s="747">
        <f t="shared" si="113"/>
        <v>7142953000</v>
      </c>
    </row>
    <row r="520" spans="1:25" s="658" customFormat="1">
      <c r="A520" s="730" t="s">
        <v>118</v>
      </c>
      <c r="B520" s="760" t="s">
        <v>812</v>
      </c>
      <c r="C520" s="779"/>
      <c r="D520" s="800"/>
      <c r="E520" s="799">
        <f>E521</f>
        <v>141221231100</v>
      </c>
      <c r="F520" s="799">
        <f>F521</f>
        <v>63124990698</v>
      </c>
      <c r="G520" s="799">
        <f t="shared" ref="G520:X521" si="132">G521</f>
        <v>6450866250</v>
      </c>
      <c r="H520" s="799">
        <f t="shared" si="132"/>
        <v>0</v>
      </c>
      <c r="I520" s="799">
        <f t="shared" si="132"/>
        <v>6092805250</v>
      </c>
      <c r="J520" s="799">
        <f t="shared" si="132"/>
        <v>0</v>
      </c>
      <c r="K520" s="799">
        <f t="shared" si="132"/>
        <v>0</v>
      </c>
      <c r="L520" s="799">
        <f t="shared" si="132"/>
        <v>0</v>
      </c>
      <c r="M520" s="799">
        <f t="shared" si="132"/>
        <v>0</v>
      </c>
      <c r="N520" s="799">
        <f t="shared" si="132"/>
        <v>0</v>
      </c>
      <c r="O520" s="799">
        <f t="shared" si="132"/>
        <v>0</v>
      </c>
      <c r="P520" s="799">
        <f t="shared" si="132"/>
        <v>56933000000</v>
      </c>
      <c r="Q520" s="799">
        <f t="shared" si="132"/>
        <v>52117768004</v>
      </c>
      <c r="R520" s="799">
        <f t="shared" si="132"/>
        <v>51133622004</v>
      </c>
      <c r="S520" s="799">
        <f t="shared" si="132"/>
        <v>984146000</v>
      </c>
      <c r="T520" s="799">
        <f t="shared" si="132"/>
        <v>4601287016</v>
      </c>
      <c r="U520" s="799">
        <f t="shared" si="132"/>
        <v>213944980</v>
      </c>
      <c r="V520" s="799">
        <f t="shared" si="132"/>
        <v>57226427254</v>
      </c>
      <c r="W520" s="799">
        <f t="shared" si="132"/>
        <v>1342207000</v>
      </c>
      <c r="X520" s="799">
        <f t="shared" si="132"/>
        <v>115242758702</v>
      </c>
    </row>
    <row r="521" spans="1:25" s="658" customFormat="1">
      <c r="A521" s="759" t="s">
        <v>254</v>
      </c>
      <c r="B521" s="760" t="s">
        <v>1430</v>
      </c>
      <c r="C521" s="779"/>
      <c r="D521" s="800"/>
      <c r="E521" s="799">
        <f>E522</f>
        <v>141221231100</v>
      </c>
      <c r="F521" s="799">
        <f>F522</f>
        <v>63124990698</v>
      </c>
      <c r="G521" s="799">
        <f t="shared" si="132"/>
        <v>6450866250</v>
      </c>
      <c r="H521" s="799">
        <f t="shared" si="132"/>
        <v>0</v>
      </c>
      <c r="I521" s="799">
        <f t="shared" si="132"/>
        <v>6092805250</v>
      </c>
      <c r="J521" s="799">
        <f t="shared" si="132"/>
        <v>0</v>
      </c>
      <c r="K521" s="799">
        <f t="shared" si="132"/>
        <v>0</v>
      </c>
      <c r="L521" s="799">
        <f t="shared" si="132"/>
        <v>0</v>
      </c>
      <c r="M521" s="799">
        <f t="shared" si="132"/>
        <v>0</v>
      </c>
      <c r="N521" s="799">
        <f t="shared" si="132"/>
        <v>0</v>
      </c>
      <c r="O521" s="799">
        <f t="shared" si="132"/>
        <v>0</v>
      </c>
      <c r="P521" s="799">
        <f t="shared" si="132"/>
        <v>56933000000</v>
      </c>
      <c r="Q521" s="799">
        <f t="shared" si="132"/>
        <v>52117768004</v>
      </c>
      <c r="R521" s="799">
        <f t="shared" si="132"/>
        <v>51133622004</v>
      </c>
      <c r="S521" s="799">
        <f t="shared" si="132"/>
        <v>984146000</v>
      </c>
      <c r="T521" s="799">
        <f t="shared" si="132"/>
        <v>4601287016</v>
      </c>
      <c r="U521" s="799">
        <f t="shared" si="132"/>
        <v>213944980</v>
      </c>
      <c r="V521" s="799">
        <f t="shared" si="132"/>
        <v>57226427254</v>
      </c>
      <c r="W521" s="799">
        <f t="shared" si="132"/>
        <v>1342207000</v>
      </c>
      <c r="X521" s="799">
        <f t="shared" si="132"/>
        <v>115242758702</v>
      </c>
    </row>
    <row r="522" spans="1:25" s="658" customFormat="1" ht="22.5">
      <c r="A522" s="761" t="s">
        <v>1393</v>
      </c>
      <c r="B522" s="762" t="s">
        <v>1951</v>
      </c>
      <c r="C522" s="779"/>
      <c r="D522" s="801"/>
      <c r="E522" s="802">
        <f>SUM(E523:E534)</f>
        <v>141221231100</v>
      </c>
      <c r="F522" s="802">
        <f>SUM(F523:F534)</f>
        <v>63124990698</v>
      </c>
      <c r="G522" s="802">
        <f t="shared" ref="G522:X522" si="133">SUM(G523:G534)</f>
        <v>6450866250</v>
      </c>
      <c r="H522" s="802">
        <f t="shared" si="133"/>
        <v>0</v>
      </c>
      <c r="I522" s="802">
        <f t="shared" si="133"/>
        <v>6092805250</v>
      </c>
      <c r="J522" s="802">
        <f t="shared" si="133"/>
        <v>0</v>
      </c>
      <c r="K522" s="802">
        <f t="shared" si="133"/>
        <v>0</v>
      </c>
      <c r="L522" s="802">
        <f t="shared" si="133"/>
        <v>0</v>
      </c>
      <c r="M522" s="802">
        <f t="shared" si="133"/>
        <v>0</v>
      </c>
      <c r="N522" s="802">
        <f t="shared" si="133"/>
        <v>0</v>
      </c>
      <c r="O522" s="802">
        <f t="shared" si="133"/>
        <v>0</v>
      </c>
      <c r="P522" s="802">
        <f t="shared" si="133"/>
        <v>56933000000</v>
      </c>
      <c r="Q522" s="802">
        <f t="shared" si="133"/>
        <v>52117768004</v>
      </c>
      <c r="R522" s="802">
        <f t="shared" si="133"/>
        <v>51133622004</v>
      </c>
      <c r="S522" s="802">
        <f t="shared" si="133"/>
        <v>984146000</v>
      </c>
      <c r="T522" s="802">
        <f t="shared" si="133"/>
        <v>4601287016</v>
      </c>
      <c r="U522" s="802">
        <f t="shared" si="133"/>
        <v>213944980</v>
      </c>
      <c r="V522" s="802">
        <f t="shared" si="133"/>
        <v>57226427254</v>
      </c>
      <c r="W522" s="802">
        <f t="shared" si="133"/>
        <v>1342207000</v>
      </c>
      <c r="X522" s="802">
        <f t="shared" si="133"/>
        <v>115242758702</v>
      </c>
    </row>
    <row r="523" spans="1:25" s="658" customFormat="1">
      <c r="A523" s="803" t="s">
        <v>104</v>
      </c>
      <c r="B523" s="745" t="s">
        <v>457</v>
      </c>
      <c r="C523" s="779" t="s">
        <v>777</v>
      </c>
      <c r="D523" s="780" t="s">
        <v>2140</v>
      </c>
      <c r="E523" s="804">
        <v>11846628000</v>
      </c>
      <c r="F523" s="804">
        <v>8579000000</v>
      </c>
      <c r="G523" s="804"/>
      <c r="H523" s="804"/>
      <c r="I523" s="804"/>
      <c r="J523" s="804"/>
      <c r="K523" s="804">
        <f t="shared" si="127"/>
        <v>0</v>
      </c>
      <c r="L523" s="804"/>
      <c r="M523" s="804"/>
      <c r="N523" s="804"/>
      <c r="O523" s="804">
        <f t="shared" si="128"/>
        <v>0</v>
      </c>
      <c r="P523" s="804">
        <v>2270000000</v>
      </c>
      <c r="Q523" s="804">
        <f t="shared" si="129"/>
        <v>2270000000</v>
      </c>
      <c r="R523" s="804">
        <v>2270000000</v>
      </c>
      <c r="S523" s="804"/>
      <c r="T523" s="804"/>
      <c r="U523" s="747">
        <f t="shared" si="130"/>
        <v>0</v>
      </c>
      <c r="V523" s="747">
        <f t="shared" si="111"/>
        <v>2270000000</v>
      </c>
      <c r="W523" s="747">
        <f t="shared" si="112"/>
        <v>0</v>
      </c>
      <c r="X523" s="747">
        <f t="shared" si="113"/>
        <v>10849000000</v>
      </c>
      <c r="Y523" s="658" t="s">
        <v>1957</v>
      </c>
    </row>
    <row r="524" spans="1:25" s="658" customFormat="1">
      <c r="A524" s="803" t="s">
        <v>105</v>
      </c>
      <c r="B524" s="745" t="s">
        <v>458</v>
      </c>
      <c r="C524" s="779" t="s">
        <v>777</v>
      </c>
      <c r="D524" s="780" t="s">
        <v>2141</v>
      </c>
      <c r="E524" s="804">
        <v>9471643000</v>
      </c>
      <c r="F524" s="804">
        <v>5300000000</v>
      </c>
      <c r="G524" s="804"/>
      <c r="H524" s="804"/>
      <c r="I524" s="804"/>
      <c r="J524" s="804"/>
      <c r="K524" s="804">
        <f t="shared" si="127"/>
        <v>0</v>
      </c>
      <c r="L524" s="804"/>
      <c r="M524" s="804"/>
      <c r="N524" s="804"/>
      <c r="O524" s="804">
        <f t="shared" si="128"/>
        <v>0</v>
      </c>
      <c r="P524" s="804">
        <v>1761000000</v>
      </c>
      <c r="Q524" s="804">
        <f t="shared" si="129"/>
        <v>1760735000</v>
      </c>
      <c r="R524" s="804">
        <v>1760735000</v>
      </c>
      <c r="S524" s="804"/>
      <c r="T524" s="804">
        <v>0</v>
      </c>
      <c r="U524" s="747">
        <f t="shared" si="130"/>
        <v>265000</v>
      </c>
      <c r="V524" s="747">
        <f t="shared" si="111"/>
        <v>1760735000</v>
      </c>
      <c r="W524" s="747">
        <f t="shared" si="112"/>
        <v>0</v>
      </c>
      <c r="X524" s="747">
        <f t="shared" si="113"/>
        <v>7060735000</v>
      </c>
      <c r="Y524" s="658" t="s">
        <v>1957</v>
      </c>
    </row>
    <row r="525" spans="1:25" s="658" customFormat="1" ht="22.5">
      <c r="A525" s="803" t="s">
        <v>106</v>
      </c>
      <c r="B525" s="764" t="s">
        <v>817</v>
      </c>
      <c r="C525" s="779" t="s">
        <v>777</v>
      </c>
      <c r="D525" s="780" t="s">
        <v>2142</v>
      </c>
      <c r="E525" s="804">
        <v>14720169000</v>
      </c>
      <c r="F525" s="804">
        <v>6000000000</v>
      </c>
      <c r="G525" s="804">
        <v>20000000</v>
      </c>
      <c r="H525" s="804"/>
      <c r="I525" s="804">
        <v>20000000</v>
      </c>
      <c r="J525" s="804"/>
      <c r="K525" s="804">
        <f t="shared" si="127"/>
        <v>0</v>
      </c>
      <c r="L525" s="804"/>
      <c r="M525" s="804"/>
      <c r="N525" s="804"/>
      <c r="O525" s="804">
        <f t="shared" si="128"/>
        <v>0</v>
      </c>
      <c r="P525" s="804">
        <v>8000000000</v>
      </c>
      <c r="Q525" s="804">
        <f t="shared" si="129"/>
        <v>6586088000</v>
      </c>
      <c r="R525" s="804">
        <v>6586088000</v>
      </c>
      <c r="S525" s="804"/>
      <c r="T525" s="804">
        <v>1413912000</v>
      </c>
      <c r="U525" s="747">
        <f t="shared" si="130"/>
        <v>0</v>
      </c>
      <c r="V525" s="747">
        <f t="shared" si="111"/>
        <v>6606088000</v>
      </c>
      <c r="W525" s="747">
        <f t="shared" si="112"/>
        <v>0</v>
      </c>
      <c r="X525" s="747">
        <f t="shared" si="113"/>
        <v>12586088000</v>
      </c>
      <c r="Y525" s="688" t="s">
        <v>2066</v>
      </c>
    </row>
    <row r="526" spans="1:25" s="658" customFormat="1" ht="22.5">
      <c r="A526" s="803" t="s">
        <v>128</v>
      </c>
      <c r="B526" s="745" t="s">
        <v>816</v>
      </c>
      <c r="C526" s="779" t="s">
        <v>777</v>
      </c>
      <c r="D526" s="780" t="s">
        <v>2143</v>
      </c>
      <c r="E526" s="804">
        <v>11605876000</v>
      </c>
      <c r="F526" s="804"/>
      <c r="G526" s="804"/>
      <c r="H526" s="804"/>
      <c r="I526" s="804"/>
      <c r="J526" s="804"/>
      <c r="K526" s="804">
        <f t="shared" si="127"/>
        <v>0</v>
      </c>
      <c r="L526" s="804"/>
      <c r="M526" s="804"/>
      <c r="N526" s="804"/>
      <c r="O526" s="804">
        <f t="shared" si="128"/>
        <v>0</v>
      </c>
      <c r="P526" s="804">
        <v>6000000000</v>
      </c>
      <c r="Q526" s="804">
        <f t="shared" si="129"/>
        <v>5818339020</v>
      </c>
      <c r="R526" s="804">
        <v>5818339020</v>
      </c>
      <c r="S526" s="804"/>
      <c r="T526" s="804">
        <v>0</v>
      </c>
      <c r="U526" s="747">
        <f t="shared" si="130"/>
        <v>181660980</v>
      </c>
      <c r="V526" s="747">
        <f t="shared" si="111"/>
        <v>5818339020</v>
      </c>
      <c r="W526" s="747">
        <f t="shared" si="112"/>
        <v>0</v>
      </c>
      <c r="X526" s="747">
        <f t="shared" si="113"/>
        <v>5818339020</v>
      </c>
      <c r="Y526" s="688" t="s">
        <v>2066</v>
      </c>
    </row>
    <row r="527" spans="1:25" s="658" customFormat="1">
      <c r="A527" s="803" t="s">
        <v>359</v>
      </c>
      <c r="B527" s="745" t="s">
        <v>813</v>
      </c>
      <c r="C527" s="779" t="s">
        <v>777</v>
      </c>
      <c r="D527" s="780" t="s">
        <v>2144</v>
      </c>
      <c r="E527" s="804">
        <v>14559792000</v>
      </c>
      <c r="F527" s="804">
        <v>5856649000</v>
      </c>
      <c r="G527" s="804">
        <v>828915250</v>
      </c>
      <c r="H527" s="804"/>
      <c r="I527" s="804">
        <v>828915250</v>
      </c>
      <c r="J527" s="804"/>
      <c r="K527" s="804">
        <f t="shared" si="127"/>
        <v>0</v>
      </c>
      <c r="L527" s="804"/>
      <c r="M527" s="804"/>
      <c r="N527" s="804"/>
      <c r="O527" s="804">
        <f t="shared" si="128"/>
        <v>0</v>
      </c>
      <c r="P527" s="804">
        <v>8454000000</v>
      </c>
      <c r="Q527" s="804">
        <f t="shared" si="129"/>
        <v>7835626250</v>
      </c>
      <c r="R527" s="804">
        <v>7787833250</v>
      </c>
      <c r="S527" s="804">
        <v>47793000</v>
      </c>
      <c r="T527" s="804">
        <v>618373750</v>
      </c>
      <c r="U527" s="747">
        <f t="shared" si="130"/>
        <v>0</v>
      </c>
      <c r="V527" s="747">
        <f t="shared" si="111"/>
        <v>8616748500</v>
      </c>
      <c r="W527" s="747">
        <f t="shared" si="112"/>
        <v>47793000</v>
      </c>
      <c r="X527" s="747">
        <f t="shared" si="113"/>
        <v>13692275250</v>
      </c>
      <c r="Y527" s="658" t="s">
        <v>1977</v>
      </c>
    </row>
    <row r="528" spans="1:25" s="658" customFormat="1">
      <c r="A528" s="803" t="s">
        <v>107</v>
      </c>
      <c r="B528" s="745" t="s">
        <v>459</v>
      </c>
      <c r="C528" s="779" t="s">
        <v>777</v>
      </c>
      <c r="D528" s="780" t="s">
        <v>2145</v>
      </c>
      <c r="E528" s="804">
        <v>12448569924</v>
      </c>
      <c r="F528" s="804">
        <v>6617065000</v>
      </c>
      <c r="G528" s="804">
        <v>1109342000</v>
      </c>
      <c r="H528" s="804"/>
      <c r="I528" s="804">
        <v>1109342000</v>
      </c>
      <c r="J528" s="804"/>
      <c r="K528" s="804">
        <f t="shared" si="127"/>
        <v>0</v>
      </c>
      <c r="L528" s="804"/>
      <c r="M528" s="804"/>
      <c r="N528" s="804"/>
      <c r="O528" s="804">
        <f t="shared" si="128"/>
        <v>0</v>
      </c>
      <c r="P528" s="804">
        <v>4957000000</v>
      </c>
      <c r="Q528" s="804">
        <f t="shared" si="129"/>
        <v>4935524000</v>
      </c>
      <c r="R528" s="804">
        <v>4935524000</v>
      </c>
      <c r="S528" s="804"/>
      <c r="T528" s="804">
        <v>0</v>
      </c>
      <c r="U528" s="747">
        <f t="shared" si="130"/>
        <v>21476000</v>
      </c>
      <c r="V528" s="747">
        <f t="shared" si="111"/>
        <v>6044866000</v>
      </c>
      <c r="W528" s="747">
        <f t="shared" si="112"/>
        <v>0</v>
      </c>
      <c r="X528" s="747">
        <f t="shared" si="113"/>
        <v>11552589000</v>
      </c>
      <c r="Y528" s="658" t="s">
        <v>1989</v>
      </c>
    </row>
    <row r="529" spans="1:25" s="658" customFormat="1">
      <c r="A529" s="803" t="s">
        <v>433</v>
      </c>
      <c r="B529" s="745" t="s">
        <v>814</v>
      </c>
      <c r="C529" s="779" t="s">
        <v>777</v>
      </c>
      <c r="D529" s="780" t="s">
        <v>2146</v>
      </c>
      <c r="E529" s="804">
        <v>8906656000</v>
      </c>
      <c r="F529" s="804">
        <v>5175288000</v>
      </c>
      <c r="G529" s="804"/>
      <c r="H529" s="804"/>
      <c r="I529" s="804"/>
      <c r="J529" s="804"/>
      <c r="K529" s="804">
        <f t="shared" si="127"/>
        <v>0</v>
      </c>
      <c r="L529" s="804"/>
      <c r="M529" s="804"/>
      <c r="N529" s="804"/>
      <c r="O529" s="804">
        <f t="shared" si="128"/>
        <v>0</v>
      </c>
      <c r="P529" s="804">
        <v>3371000000</v>
      </c>
      <c r="Q529" s="804">
        <f t="shared" si="129"/>
        <v>3371000000</v>
      </c>
      <c r="R529" s="804">
        <v>3371000000</v>
      </c>
      <c r="S529" s="804"/>
      <c r="T529" s="804"/>
      <c r="U529" s="747">
        <f t="shared" si="130"/>
        <v>0</v>
      </c>
      <c r="V529" s="747">
        <f t="shared" si="111"/>
        <v>3371000000</v>
      </c>
      <c r="W529" s="747">
        <f t="shared" si="112"/>
        <v>0</v>
      </c>
      <c r="X529" s="747">
        <f t="shared" si="113"/>
        <v>8546288000</v>
      </c>
      <c r="Y529" s="658" t="s">
        <v>1989</v>
      </c>
    </row>
    <row r="530" spans="1:25" s="658" customFormat="1" ht="22.5">
      <c r="A530" s="803" t="s">
        <v>434</v>
      </c>
      <c r="B530" s="745" t="s">
        <v>2147</v>
      </c>
      <c r="C530" s="779" t="s">
        <v>777</v>
      </c>
      <c r="D530" s="780" t="s">
        <v>2148</v>
      </c>
      <c r="E530" s="804">
        <v>8444457759</v>
      </c>
      <c r="F530" s="804">
        <v>6016380352</v>
      </c>
      <c r="G530" s="804">
        <v>100000000</v>
      </c>
      <c r="H530" s="804"/>
      <c r="I530" s="804">
        <v>100000000</v>
      </c>
      <c r="J530" s="804"/>
      <c r="K530" s="804">
        <f t="shared" si="127"/>
        <v>0</v>
      </c>
      <c r="L530" s="804"/>
      <c r="M530" s="804"/>
      <c r="N530" s="804"/>
      <c r="O530" s="804">
        <f t="shared" si="128"/>
        <v>0</v>
      </c>
      <c r="P530" s="804">
        <v>770000000</v>
      </c>
      <c r="Q530" s="804">
        <f t="shared" si="129"/>
        <v>571959171</v>
      </c>
      <c r="R530" s="804">
        <v>571959171</v>
      </c>
      <c r="S530" s="804"/>
      <c r="T530" s="804">
        <v>198040829</v>
      </c>
      <c r="U530" s="747">
        <f t="shared" si="130"/>
        <v>0</v>
      </c>
      <c r="V530" s="747">
        <f t="shared" ref="V530:V589" si="134">I530+L530+R530</f>
        <v>671959171</v>
      </c>
      <c r="W530" s="747">
        <f t="shared" ref="W530:W534" si="135">G530-H530-I530+M530+S530</f>
        <v>0</v>
      </c>
      <c r="X530" s="747">
        <f t="shared" ref="X530:X589" si="136">F530+K530+Q530</f>
        <v>6588339523</v>
      </c>
      <c r="Y530" s="658" t="s">
        <v>1997</v>
      </c>
    </row>
    <row r="531" spans="1:25" s="658" customFormat="1">
      <c r="A531" s="803" t="s">
        <v>436</v>
      </c>
      <c r="B531" s="764" t="s">
        <v>461</v>
      </c>
      <c r="C531" s="779" t="s">
        <v>777</v>
      </c>
      <c r="D531" s="780" t="s">
        <v>2149</v>
      </c>
      <c r="E531" s="804">
        <v>13195066417</v>
      </c>
      <c r="F531" s="804">
        <v>4999999346</v>
      </c>
      <c r="G531" s="804">
        <v>1580000000</v>
      </c>
      <c r="H531" s="804"/>
      <c r="I531" s="804">
        <v>1580000000</v>
      </c>
      <c r="J531" s="804"/>
      <c r="K531" s="804">
        <f t="shared" si="127"/>
        <v>0</v>
      </c>
      <c r="L531" s="804"/>
      <c r="M531" s="804"/>
      <c r="N531" s="804"/>
      <c r="O531" s="804">
        <f t="shared" si="128"/>
        <v>0</v>
      </c>
      <c r="P531" s="804">
        <v>5800000000</v>
      </c>
      <c r="Q531" s="804">
        <f t="shared" si="129"/>
        <v>3429039563</v>
      </c>
      <c r="R531" s="804">
        <v>3064065563</v>
      </c>
      <c r="S531" s="804">
        <v>364974000</v>
      </c>
      <c r="T531" s="804">
        <v>2370960437</v>
      </c>
      <c r="U531" s="747">
        <f t="shared" si="130"/>
        <v>0</v>
      </c>
      <c r="V531" s="747">
        <f t="shared" si="134"/>
        <v>4644065563</v>
      </c>
      <c r="W531" s="747">
        <f t="shared" si="135"/>
        <v>364974000</v>
      </c>
      <c r="X531" s="747">
        <f t="shared" si="136"/>
        <v>8429038909</v>
      </c>
      <c r="Y531" s="658" t="s">
        <v>1997</v>
      </c>
    </row>
    <row r="532" spans="1:25" s="658" customFormat="1">
      <c r="A532" s="803" t="s">
        <v>438</v>
      </c>
      <c r="B532" s="764" t="s">
        <v>815</v>
      </c>
      <c r="C532" s="779" t="s">
        <v>777</v>
      </c>
      <c r="D532" s="780" t="s">
        <v>2150</v>
      </c>
      <c r="E532" s="804">
        <v>8054660000</v>
      </c>
      <c r="F532" s="804">
        <v>4510609000</v>
      </c>
      <c r="G532" s="804"/>
      <c r="H532" s="804"/>
      <c r="I532" s="804"/>
      <c r="J532" s="804"/>
      <c r="K532" s="804">
        <f t="shared" si="127"/>
        <v>0</v>
      </c>
      <c r="L532" s="804"/>
      <c r="M532" s="804"/>
      <c r="N532" s="804"/>
      <c r="O532" s="804">
        <f t="shared" si="128"/>
        <v>0</v>
      </c>
      <c r="P532" s="804">
        <v>2200000000</v>
      </c>
      <c r="Q532" s="804">
        <f t="shared" si="129"/>
        <v>2189457000</v>
      </c>
      <c r="R532" s="804">
        <v>2189457000</v>
      </c>
      <c r="S532" s="804"/>
      <c r="T532" s="804">
        <v>0</v>
      </c>
      <c r="U532" s="747">
        <f t="shared" si="130"/>
        <v>10543000</v>
      </c>
      <c r="V532" s="747">
        <f t="shared" si="134"/>
        <v>2189457000</v>
      </c>
      <c r="W532" s="747">
        <f t="shared" si="135"/>
        <v>0</v>
      </c>
      <c r="X532" s="747">
        <f t="shared" si="136"/>
        <v>6700066000</v>
      </c>
      <c r="Y532" s="658" t="s">
        <v>2151</v>
      </c>
    </row>
    <row r="533" spans="1:25" s="658" customFormat="1">
      <c r="A533" s="803" t="s">
        <v>440</v>
      </c>
      <c r="B533" s="764" t="s">
        <v>462</v>
      </c>
      <c r="C533" s="779" t="s">
        <v>777</v>
      </c>
      <c r="D533" s="780" t="s">
        <v>2152</v>
      </c>
      <c r="E533" s="804">
        <v>12985775000</v>
      </c>
      <c r="F533" s="804">
        <v>4000000000</v>
      </c>
      <c r="G533" s="804">
        <v>127000000</v>
      </c>
      <c r="H533" s="804"/>
      <c r="I533" s="804">
        <v>127000000</v>
      </c>
      <c r="J533" s="804"/>
      <c r="K533" s="804">
        <f t="shared" si="127"/>
        <v>0</v>
      </c>
      <c r="L533" s="804"/>
      <c r="M533" s="804"/>
      <c r="N533" s="804"/>
      <c r="O533" s="804">
        <f t="shared" si="128"/>
        <v>0</v>
      </c>
      <c r="P533" s="804">
        <v>8700000000</v>
      </c>
      <c r="Q533" s="804">
        <f t="shared" si="129"/>
        <v>8700000000</v>
      </c>
      <c r="R533" s="804">
        <v>8700000000</v>
      </c>
      <c r="S533" s="804"/>
      <c r="T533" s="804"/>
      <c r="U533" s="747">
        <f t="shared" si="130"/>
        <v>0</v>
      </c>
      <c r="V533" s="747">
        <f t="shared" si="134"/>
        <v>8827000000</v>
      </c>
      <c r="W533" s="747">
        <f t="shared" si="135"/>
        <v>0</v>
      </c>
      <c r="X533" s="747">
        <f t="shared" si="136"/>
        <v>12700000000</v>
      </c>
      <c r="Y533" s="658" t="s">
        <v>2151</v>
      </c>
    </row>
    <row r="534" spans="1:25" s="658" customFormat="1">
      <c r="A534" s="803" t="s">
        <v>441</v>
      </c>
      <c r="B534" s="764" t="s">
        <v>460</v>
      </c>
      <c r="C534" s="779" t="s">
        <v>777</v>
      </c>
      <c r="D534" s="780" t="s">
        <v>2153</v>
      </c>
      <c r="E534" s="804">
        <v>14981938000</v>
      </c>
      <c r="F534" s="804">
        <v>6070000000</v>
      </c>
      <c r="G534" s="804">
        <v>2685609000</v>
      </c>
      <c r="H534" s="804"/>
      <c r="I534" s="804">
        <v>2327548000</v>
      </c>
      <c r="J534" s="804"/>
      <c r="K534" s="804">
        <f t="shared" si="127"/>
        <v>0</v>
      </c>
      <c r="L534" s="804"/>
      <c r="M534" s="804"/>
      <c r="N534" s="804"/>
      <c r="O534" s="804">
        <f t="shared" si="128"/>
        <v>0</v>
      </c>
      <c r="P534" s="804">
        <v>4650000000</v>
      </c>
      <c r="Q534" s="804">
        <f t="shared" si="129"/>
        <v>4650000000</v>
      </c>
      <c r="R534" s="804">
        <v>4078621000</v>
      </c>
      <c r="S534" s="804">
        <v>571379000</v>
      </c>
      <c r="T534" s="804"/>
      <c r="U534" s="747">
        <f t="shared" si="130"/>
        <v>0</v>
      </c>
      <c r="V534" s="747">
        <f t="shared" si="134"/>
        <v>6406169000</v>
      </c>
      <c r="W534" s="747">
        <f t="shared" si="135"/>
        <v>929440000</v>
      </c>
      <c r="X534" s="747">
        <f t="shared" si="136"/>
        <v>10720000000</v>
      </c>
      <c r="Y534" s="658" t="s">
        <v>1986</v>
      </c>
    </row>
    <row r="535" spans="1:25" s="658" customFormat="1">
      <c r="A535" s="759" t="s">
        <v>454</v>
      </c>
      <c r="B535" s="760" t="s">
        <v>800</v>
      </c>
      <c r="C535" s="779"/>
      <c r="D535" s="800"/>
      <c r="E535" s="799">
        <f>E536</f>
        <v>32641705000</v>
      </c>
      <c r="F535" s="799">
        <f>F536</f>
        <v>679017000</v>
      </c>
      <c r="G535" s="799">
        <f t="shared" ref="G535:X535" si="137">G536</f>
        <v>45666000</v>
      </c>
      <c r="H535" s="799">
        <f t="shared" si="137"/>
        <v>0</v>
      </c>
      <c r="I535" s="799">
        <f t="shared" si="137"/>
        <v>0</v>
      </c>
      <c r="J535" s="799">
        <f t="shared" si="137"/>
        <v>0</v>
      </c>
      <c r="K535" s="799">
        <f t="shared" si="137"/>
        <v>0</v>
      </c>
      <c r="L535" s="799">
        <f t="shared" si="137"/>
        <v>0</v>
      </c>
      <c r="M535" s="799">
        <f t="shared" si="137"/>
        <v>0</v>
      </c>
      <c r="N535" s="799">
        <f t="shared" si="137"/>
        <v>0</v>
      </c>
      <c r="O535" s="799">
        <f t="shared" si="137"/>
        <v>0</v>
      </c>
      <c r="P535" s="799">
        <f t="shared" si="137"/>
        <v>3283000000</v>
      </c>
      <c r="Q535" s="799">
        <f t="shared" si="137"/>
        <v>2026530000</v>
      </c>
      <c r="R535" s="799">
        <f t="shared" si="137"/>
        <v>1454530000</v>
      </c>
      <c r="S535" s="799">
        <f t="shared" si="137"/>
        <v>572000000</v>
      </c>
      <c r="T535" s="799">
        <f t="shared" si="137"/>
        <v>0</v>
      </c>
      <c r="U535" s="799">
        <f t="shared" si="137"/>
        <v>1256470000</v>
      </c>
      <c r="V535" s="799">
        <f t="shared" si="137"/>
        <v>1454530000</v>
      </c>
      <c r="W535" s="799">
        <f t="shared" si="137"/>
        <v>617666000</v>
      </c>
      <c r="X535" s="799">
        <f t="shared" si="137"/>
        <v>2705547000</v>
      </c>
    </row>
    <row r="536" spans="1:25" s="658" customFormat="1">
      <c r="A536" s="825" t="s">
        <v>108</v>
      </c>
      <c r="B536" s="826" t="s">
        <v>2154</v>
      </c>
      <c r="C536" s="779"/>
      <c r="D536" s="801"/>
      <c r="E536" s="802">
        <f>SUM(E537:E544)</f>
        <v>32641705000</v>
      </c>
      <c r="F536" s="802">
        <f>SUM(F537:F544)</f>
        <v>679017000</v>
      </c>
      <c r="G536" s="802">
        <f t="shared" ref="G536:X536" si="138">SUM(G537:G544)</f>
        <v>45666000</v>
      </c>
      <c r="H536" s="802">
        <f t="shared" si="138"/>
        <v>0</v>
      </c>
      <c r="I536" s="802">
        <f t="shared" si="138"/>
        <v>0</v>
      </c>
      <c r="J536" s="802">
        <f t="shared" si="138"/>
        <v>0</v>
      </c>
      <c r="K536" s="802">
        <f t="shared" si="138"/>
        <v>0</v>
      </c>
      <c r="L536" s="802">
        <f t="shared" si="138"/>
        <v>0</v>
      </c>
      <c r="M536" s="802">
        <f t="shared" si="138"/>
        <v>0</v>
      </c>
      <c r="N536" s="802">
        <f t="shared" si="138"/>
        <v>0</v>
      </c>
      <c r="O536" s="802">
        <f t="shared" si="138"/>
        <v>0</v>
      </c>
      <c r="P536" s="802">
        <f t="shared" si="138"/>
        <v>3283000000</v>
      </c>
      <c r="Q536" s="802">
        <f t="shared" si="138"/>
        <v>2026530000</v>
      </c>
      <c r="R536" s="802">
        <f t="shared" si="138"/>
        <v>1454530000</v>
      </c>
      <c r="S536" s="802">
        <f t="shared" si="138"/>
        <v>572000000</v>
      </c>
      <c r="T536" s="802">
        <f t="shared" si="138"/>
        <v>0</v>
      </c>
      <c r="U536" s="802">
        <f t="shared" si="138"/>
        <v>1256470000</v>
      </c>
      <c r="V536" s="802">
        <f t="shared" si="138"/>
        <v>1454530000</v>
      </c>
      <c r="W536" s="802">
        <f t="shared" si="138"/>
        <v>617666000</v>
      </c>
      <c r="X536" s="802">
        <f t="shared" si="138"/>
        <v>2705547000</v>
      </c>
    </row>
    <row r="537" spans="1:25" s="658" customFormat="1">
      <c r="A537" s="803" t="s">
        <v>104</v>
      </c>
      <c r="B537" s="764" t="s">
        <v>2155</v>
      </c>
      <c r="C537" s="779" t="s">
        <v>777</v>
      </c>
      <c r="D537" s="780" t="s">
        <v>2156</v>
      </c>
      <c r="E537" s="804">
        <v>855802000</v>
      </c>
      <c r="F537" s="804">
        <v>479017000</v>
      </c>
      <c r="G537" s="804">
        <v>45666000</v>
      </c>
      <c r="H537" s="804"/>
      <c r="I537" s="804"/>
      <c r="J537" s="804"/>
      <c r="K537" s="804"/>
      <c r="L537" s="804"/>
      <c r="M537" s="804"/>
      <c r="N537" s="804"/>
      <c r="O537" s="804"/>
      <c r="P537" s="804">
        <v>428000000</v>
      </c>
      <c r="Q537" s="804">
        <f t="shared" si="129"/>
        <v>427006000</v>
      </c>
      <c r="R537" s="804">
        <v>427006000</v>
      </c>
      <c r="S537" s="804"/>
      <c r="T537" s="804">
        <v>0</v>
      </c>
      <c r="U537" s="747">
        <f t="shared" si="130"/>
        <v>994000</v>
      </c>
      <c r="V537" s="747">
        <f t="shared" si="134"/>
        <v>427006000</v>
      </c>
      <c r="W537" s="747">
        <f t="shared" ref="W537:W544" si="139">G537-H537-I537+M537+S537</f>
        <v>45666000</v>
      </c>
      <c r="X537" s="747">
        <f t="shared" si="136"/>
        <v>906023000</v>
      </c>
      <c r="Y537" s="658" t="s">
        <v>1953</v>
      </c>
    </row>
    <row r="538" spans="1:25" s="658" customFormat="1" ht="22.5">
      <c r="A538" s="803" t="s">
        <v>105</v>
      </c>
      <c r="B538" s="764" t="s">
        <v>2157</v>
      </c>
      <c r="C538" s="779" t="s">
        <v>777</v>
      </c>
      <c r="D538" s="780" t="s">
        <v>2158</v>
      </c>
      <c r="E538" s="804">
        <v>18210338000</v>
      </c>
      <c r="F538" s="804"/>
      <c r="G538" s="804"/>
      <c r="H538" s="804"/>
      <c r="I538" s="804"/>
      <c r="J538" s="804"/>
      <c r="K538" s="804"/>
      <c r="L538" s="804"/>
      <c r="M538" s="804"/>
      <c r="N538" s="804"/>
      <c r="O538" s="804"/>
      <c r="P538" s="804">
        <v>500000000</v>
      </c>
      <c r="Q538" s="804">
        <f t="shared" si="129"/>
        <v>449241000</v>
      </c>
      <c r="R538" s="804">
        <v>449241000</v>
      </c>
      <c r="S538" s="804"/>
      <c r="T538" s="804">
        <v>0</v>
      </c>
      <c r="U538" s="747">
        <f t="shared" si="130"/>
        <v>50759000</v>
      </c>
      <c r="V538" s="747">
        <f t="shared" si="134"/>
        <v>449241000</v>
      </c>
      <c r="W538" s="747">
        <f t="shared" si="139"/>
        <v>0</v>
      </c>
      <c r="X538" s="747">
        <f t="shared" si="136"/>
        <v>449241000</v>
      </c>
      <c r="Y538" s="658" t="s">
        <v>1953</v>
      </c>
    </row>
    <row r="539" spans="1:25" s="658" customFormat="1">
      <c r="A539" s="803" t="s">
        <v>106</v>
      </c>
      <c r="B539" s="764" t="s">
        <v>455</v>
      </c>
      <c r="C539" s="779" t="s">
        <v>777</v>
      </c>
      <c r="D539" s="780" t="s">
        <v>2159</v>
      </c>
      <c r="E539" s="804">
        <v>2618755000</v>
      </c>
      <c r="F539" s="804">
        <v>200000000</v>
      </c>
      <c r="G539" s="804"/>
      <c r="H539" s="804"/>
      <c r="I539" s="804"/>
      <c r="J539" s="804"/>
      <c r="K539" s="804"/>
      <c r="L539" s="804"/>
      <c r="M539" s="804"/>
      <c r="N539" s="804"/>
      <c r="O539" s="804"/>
      <c r="P539" s="804">
        <v>1000000000</v>
      </c>
      <c r="Q539" s="804">
        <f t="shared" si="129"/>
        <v>1000000000</v>
      </c>
      <c r="R539" s="804">
        <v>428000000</v>
      </c>
      <c r="S539" s="804">
        <v>572000000</v>
      </c>
      <c r="T539" s="804"/>
      <c r="U539" s="747">
        <f t="shared" si="130"/>
        <v>0</v>
      </c>
      <c r="V539" s="747">
        <f t="shared" si="134"/>
        <v>428000000</v>
      </c>
      <c r="W539" s="747">
        <f t="shared" si="139"/>
        <v>572000000</v>
      </c>
      <c r="X539" s="747">
        <f t="shared" si="136"/>
        <v>1200000000</v>
      </c>
      <c r="Y539" s="658" t="s">
        <v>1953</v>
      </c>
    </row>
    <row r="540" spans="1:25" s="658" customFormat="1" ht="22.5">
      <c r="A540" s="803" t="s">
        <v>128</v>
      </c>
      <c r="B540" s="764" t="s">
        <v>2160</v>
      </c>
      <c r="C540" s="779" t="s">
        <v>777</v>
      </c>
      <c r="D540" s="780" t="s">
        <v>2161</v>
      </c>
      <c r="E540" s="804">
        <v>1511478000</v>
      </c>
      <c r="F540" s="804"/>
      <c r="G540" s="804"/>
      <c r="H540" s="804"/>
      <c r="I540" s="804"/>
      <c r="J540" s="804"/>
      <c r="K540" s="804"/>
      <c r="L540" s="804"/>
      <c r="M540" s="804"/>
      <c r="N540" s="804"/>
      <c r="O540" s="804"/>
      <c r="P540" s="804">
        <v>80000000</v>
      </c>
      <c r="Q540" s="804">
        <f t="shared" si="129"/>
        <v>78365000</v>
      </c>
      <c r="R540" s="804">
        <v>78365000</v>
      </c>
      <c r="S540" s="804"/>
      <c r="T540" s="804">
        <v>0</v>
      </c>
      <c r="U540" s="747">
        <f t="shared" si="130"/>
        <v>1635000</v>
      </c>
      <c r="V540" s="747">
        <f t="shared" si="134"/>
        <v>78365000</v>
      </c>
      <c r="W540" s="747">
        <f t="shared" si="139"/>
        <v>0</v>
      </c>
      <c r="X540" s="747">
        <f t="shared" si="136"/>
        <v>78365000</v>
      </c>
      <c r="Y540" s="658" t="s">
        <v>2162</v>
      </c>
    </row>
    <row r="541" spans="1:25" s="658" customFormat="1" ht="22.5">
      <c r="A541" s="803" t="s">
        <v>359</v>
      </c>
      <c r="B541" s="764" t="s">
        <v>2163</v>
      </c>
      <c r="C541" s="779"/>
      <c r="D541" s="746"/>
      <c r="E541" s="804"/>
      <c r="F541" s="804"/>
      <c r="G541" s="804"/>
      <c r="H541" s="804"/>
      <c r="I541" s="804"/>
      <c r="J541" s="804"/>
      <c r="K541" s="804"/>
      <c r="L541" s="804"/>
      <c r="M541" s="804"/>
      <c r="N541" s="804"/>
      <c r="O541" s="804"/>
      <c r="P541" s="804">
        <v>1000000000</v>
      </c>
      <c r="Q541" s="804">
        <f t="shared" si="129"/>
        <v>0</v>
      </c>
      <c r="R541" s="804"/>
      <c r="S541" s="804"/>
      <c r="T541" s="804"/>
      <c r="U541" s="804">
        <v>1000000000</v>
      </c>
      <c r="V541" s="747">
        <f t="shared" si="134"/>
        <v>0</v>
      </c>
      <c r="W541" s="747">
        <f t="shared" si="139"/>
        <v>0</v>
      </c>
      <c r="X541" s="747">
        <f t="shared" si="136"/>
        <v>0</v>
      </c>
      <c r="Y541" s="658" t="s">
        <v>1957</v>
      </c>
    </row>
    <row r="542" spans="1:25" s="658" customFormat="1" ht="22.5">
      <c r="A542" s="803" t="s">
        <v>107</v>
      </c>
      <c r="B542" s="764" t="s">
        <v>2164</v>
      </c>
      <c r="C542" s="779" t="s">
        <v>777</v>
      </c>
      <c r="D542" s="780" t="s">
        <v>2165</v>
      </c>
      <c r="E542" s="804">
        <v>9445332000</v>
      </c>
      <c r="F542" s="804"/>
      <c r="G542" s="804"/>
      <c r="H542" s="804"/>
      <c r="I542" s="804"/>
      <c r="J542" s="804"/>
      <c r="K542" s="804"/>
      <c r="L542" s="804"/>
      <c r="M542" s="804"/>
      <c r="N542" s="804"/>
      <c r="O542" s="804"/>
      <c r="P542" s="804">
        <v>75000000</v>
      </c>
      <c r="Q542" s="804">
        <f t="shared" si="129"/>
        <v>71918000</v>
      </c>
      <c r="R542" s="804">
        <v>71918000</v>
      </c>
      <c r="S542" s="804"/>
      <c r="T542" s="804">
        <v>0</v>
      </c>
      <c r="U542" s="747">
        <f t="shared" si="130"/>
        <v>3082000</v>
      </c>
      <c r="V542" s="747">
        <f t="shared" si="134"/>
        <v>71918000</v>
      </c>
      <c r="W542" s="747">
        <f t="shared" si="139"/>
        <v>0</v>
      </c>
      <c r="X542" s="747">
        <f t="shared" si="136"/>
        <v>71918000</v>
      </c>
      <c r="Y542" s="658" t="s">
        <v>13</v>
      </c>
    </row>
    <row r="543" spans="1:25" s="658" customFormat="1" ht="22.5">
      <c r="A543" s="803" t="s">
        <v>433</v>
      </c>
      <c r="B543" s="764" t="s">
        <v>2166</v>
      </c>
      <c r="C543" s="779"/>
      <c r="D543" s="746">
        <v>7684304</v>
      </c>
      <c r="E543" s="804"/>
      <c r="F543" s="804"/>
      <c r="G543" s="804"/>
      <c r="H543" s="804"/>
      <c r="I543" s="804"/>
      <c r="J543" s="804"/>
      <c r="K543" s="804"/>
      <c r="L543" s="804"/>
      <c r="M543" s="804"/>
      <c r="N543" s="804"/>
      <c r="O543" s="804"/>
      <c r="P543" s="804">
        <v>0</v>
      </c>
      <c r="Q543" s="804">
        <f t="shared" si="129"/>
        <v>0</v>
      </c>
      <c r="R543" s="804"/>
      <c r="S543" s="804"/>
      <c r="T543" s="804"/>
      <c r="U543" s="747">
        <f t="shared" si="130"/>
        <v>0</v>
      </c>
      <c r="V543" s="747">
        <f t="shared" si="134"/>
        <v>0</v>
      </c>
      <c r="W543" s="747">
        <f t="shared" si="139"/>
        <v>0</v>
      </c>
      <c r="X543" s="747">
        <f t="shared" si="136"/>
        <v>0</v>
      </c>
      <c r="Y543" s="658" t="s">
        <v>1963</v>
      </c>
    </row>
    <row r="544" spans="1:25" s="658" customFormat="1" ht="22.5">
      <c r="A544" s="803" t="s">
        <v>434</v>
      </c>
      <c r="B544" s="764" t="s">
        <v>2167</v>
      </c>
      <c r="C544" s="779"/>
      <c r="D544" s="746">
        <v>7684305</v>
      </c>
      <c r="E544" s="804"/>
      <c r="F544" s="804"/>
      <c r="G544" s="804"/>
      <c r="H544" s="804"/>
      <c r="I544" s="804"/>
      <c r="J544" s="804"/>
      <c r="K544" s="804"/>
      <c r="L544" s="804"/>
      <c r="M544" s="804"/>
      <c r="N544" s="804"/>
      <c r="O544" s="804"/>
      <c r="P544" s="804">
        <v>200000000</v>
      </c>
      <c r="Q544" s="804">
        <f t="shared" si="129"/>
        <v>0</v>
      </c>
      <c r="R544" s="804"/>
      <c r="S544" s="804"/>
      <c r="T544" s="804"/>
      <c r="U544" s="804">
        <v>200000000</v>
      </c>
      <c r="V544" s="747">
        <f t="shared" si="134"/>
        <v>0</v>
      </c>
      <c r="W544" s="747">
        <f t="shared" si="139"/>
        <v>0</v>
      </c>
      <c r="X544" s="747">
        <f t="shared" si="136"/>
        <v>0</v>
      </c>
      <c r="Y544" s="658" t="s">
        <v>1963</v>
      </c>
    </row>
    <row r="545" spans="1:25" s="665" customFormat="1">
      <c r="A545" s="827" t="s">
        <v>819</v>
      </c>
      <c r="B545" s="828" t="s">
        <v>2168</v>
      </c>
      <c r="C545" s="779"/>
      <c r="D545" s="800"/>
      <c r="E545" s="799">
        <f>E546</f>
        <v>4622758864</v>
      </c>
      <c r="F545" s="799">
        <f>F546</f>
        <v>0</v>
      </c>
      <c r="G545" s="799">
        <f t="shared" ref="G545:X546" si="140">G546</f>
        <v>0</v>
      </c>
      <c r="H545" s="799">
        <f t="shared" si="140"/>
        <v>0</v>
      </c>
      <c r="I545" s="799">
        <f t="shared" si="140"/>
        <v>0</v>
      </c>
      <c r="J545" s="799">
        <f t="shared" si="140"/>
        <v>0</v>
      </c>
      <c r="K545" s="799">
        <f t="shared" si="140"/>
        <v>0</v>
      </c>
      <c r="L545" s="799">
        <f t="shared" si="140"/>
        <v>0</v>
      </c>
      <c r="M545" s="799">
        <f t="shared" si="140"/>
        <v>0</v>
      </c>
      <c r="N545" s="799">
        <f t="shared" si="140"/>
        <v>0</v>
      </c>
      <c r="O545" s="799">
        <f t="shared" si="140"/>
        <v>0</v>
      </c>
      <c r="P545" s="799">
        <f t="shared" si="140"/>
        <v>39314000000</v>
      </c>
      <c r="Q545" s="799">
        <f t="shared" si="140"/>
        <v>4305445000</v>
      </c>
      <c r="R545" s="799">
        <f t="shared" si="140"/>
        <v>4305445000</v>
      </c>
      <c r="S545" s="799">
        <f t="shared" si="140"/>
        <v>0</v>
      </c>
      <c r="T545" s="799">
        <f t="shared" si="140"/>
        <v>0</v>
      </c>
      <c r="U545" s="799">
        <f t="shared" si="140"/>
        <v>8555000</v>
      </c>
      <c r="V545" s="799">
        <f t="shared" si="140"/>
        <v>4305445000</v>
      </c>
      <c r="W545" s="799">
        <f t="shared" si="140"/>
        <v>0</v>
      </c>
      <c r="X545" s="799">
        <f t="shared" si="140"/>
        <v>4305445000</v>
      </c>
      <c r="Y545" s="658"/>
    </row>
    <row r="546" spans="1:25" s="665" customFormat="1" ht="21">
      <c r="A546" s="827"/>
      <c r="B546" s="828" t="s">
        <v>2169</v>
      </c>
      <c r="C546" s="788"/>
      <c r="D546" s="800"/>
      <c r="E546" s="799">
        <f>E547</f>
        <v>4622758864</v>
      </c>
      <c r="F546" s="799">
        <f>F547</f>
        <v>0</v>
      </c>
      <c r="G546" s="799">
        <f t="shared" si="140"/>
        <v>0</v>
      </c>
      <c r="H546" s="799">
        <f t="shared" si="140"/>
        <v>0</v>
      </c>
      <c r="I546" s="799">
        <f t="shared" si="140"/>
        <v>0</v>
      </c>
      <c r="J546" s="799">
        <f t="shared" si="140"/>
        <v>0</v>
      </c>
      <c r="K546" s="799">
        <f t="shared" si="140"/>
        <v>0</v>
      </c>
      <c r="L546" s="799">
        <f t="shared" si="140"/>
        <v>0</v>
      </c>
      <c r="M546" s="799">
        <f t="shared" si="140"/>
        <v>0</v>
      </c>
      <c r="N546" s="799">
        <f t="shared" si="140"/>
        <v>0</v>
      </c>
      <c r="O546" s="799">
        <f t="shared" si="140"/>
        <v>0</v>
      </c>
      <c r="P546" s="799">
        <f t="shared" si="140"/>
        <v>39314000000</v>
      </c>
      <c r="Q546" s="799">
        <f t="shared" si="140"/>
        <v>4305445000</v>
      </c>
      <c r="R546" s="799">
        <f t="shared" si="140"/>
        <v>4305445000</v>
      </c>
      <c r="S546" s="799">
        <f t="shared" si="140"/>
        <v>0</v>
      </c>
      <c r="T546" s="799">
        <f t="shared" si="140"/>
        <v>0</v>
      </c>
      <c r="U546" s="799">
        <f t="shared" si="140"/>
        <v>8555000</v>
      </c>
      <c r="V546" s="799">
        <f t="shared" si="140"/>
        <v>4305445000</v>
      </c>
      <c r="W546" s="799">
        <f t="shared" si="140"/>
        <v>0</v>
      </c>
      <c r="X546" s="799">
        <f t="shared" si="140"/>
        <v>4305445000</v>
      </c>
      <c r="Y546" s="658"/>
    </row>
    <row r="547" spans="1:25" s="665" customFormat="1">
      <c r="A547" s="763"/>
      <c r="B547" s="828" t="s">
        <v>2170</v>
      </c>
      <c r="C547" s="779"/>
      <c r="D547" s="821"/>
      <c r="E547" s="799">
        <f>E549+E550</f>
        <v>4622758864</v>
      </c>
      <c r="F547" s="799">
        <f>F549+F550</f>
        <v>0</v>
      </c>
      <c r="G547" s="799">
        <f t="shared" ref="G547:X547" si="141">G549+G550</f>
        <v>0</v>
      </c>
      <c r="H547" s="799">
        <f t="shared" si="141"/>
        <v>0</v>
      </c>
      <c r="I547" s="799">
        <f t="shared" si="141"/>
        <v>0</v>
      </c>
      <c r="J547" s="799">
        <f t="shared" si="141"/>
        <v>0</v>
      </c>
      <c r="K547" s="799">
        <f t="shared" si="141"/>
        <v>0</v>
      </c>
      <c r="L547" s="799">
        <f t="shared" si="141"/>
        <v>0</v>
      </c>
      <c r="M547" s="799">
        <f t="shared" si="141"/>
        <v>0</v>
      </c>
      <c r="N547" s="799">
        <f t="shared" si="141"/>
        <v>0</v>
      </c>
      <c r="O547" s="799">
        <f t="shared" si="141"/>
        <v>0</v>
      </c>
      <c r="P547" s="799">
        <f t="shared" si="141"/>
        <v>39314000000</v>
      </c>
      <c r="Q547" s="799">
        <f t="shared" si="141"/>
        <v>4305445000</v>
      </c>
      <c r="R547" s="799">
        <f t="shared" si="141"/>
        <v>4305445000</v>
      </c>
      <c r="S547" s="799">
        <f t="shared" si="141"/>
        <v>0</v>
      </c>
      <c r="T547" s="799">
        <f t="shared" si="141"/>
        <v>0</v>
      </c>
      <c r="U547" s="799">
        <f t="shared" si="141"/>
        <v>8555000</v>
      </c>
      <c r="V547" s="799">
        <f t="shared" si="141"/>
        <v>4305445000</v>
      </c>
      <c r="W547" s="799">
        <f t="shared" si="141"/>
        <v>0</v>
      </c>
      <c r="X547" s="799">
        <f t="shared" si="141"/>
        <v>4305445000</v>
      </c>
      <c r="Y547" s="692"/>
    </row>
    <row r="548" spans="1:25" s="665" customFormat="1">
      <c r="A548" s="763"/>
      <c r="B548" s="829" t="s">
        <v>2171</v>
      </c>
      <c r="C548" s="779"/>
      <c r="D548" s="821"/>
      <c r="E548" s="804"/>
      <c r="F548" s="804"/>
      <c r="G548" s="804"/>
      <c r="H548" s="804"/>
      <c r="I548" s="804"/>
      <c r="J548" s="804"/>
      <c r="K548" s="804"/>
      <c r="L548" s="804"/>
      <c r="M548" s="804"/>
      <c r="N548" s="804"/>
      <c r="O548" s="804"/>
      <c r="P548" s="804"/>
      <c r="Q548" s="804"/>
      <c r="R548" s="804"/>
      <c r="S548" s="804"/>
      <c r="T548" s="804"/>
      <c r="U548" s="747">
        <f t="shared" si="130"/>
        <v>0</v>
      </c>
      <c r="V548" s="747">
        <f t="shared" si="134"/>
        <v>0</v>
      </c>
      <c r="W548" s="747">
        <f>G548-H548-I548+M548+S548</f>
        <v>0</v>
      </c>
      <c r="X548" s="747">
        <f t="shared" si="136"/>
        <v>0</v>
      </c>
      <c r="Y548" s="658"/>
    </row>
    <row r="549" spans="1:25" s="665" customFormat="1">
      <c r="A549" s="825">
        <v>1</v>
      </c>
      <c r="B549" s="829" t="s">
        <v>2172</v>
      </c>
      <c r="C549" s="806"/>
      <c r="D549" s="801"/>
      <c r="E549" s="802"/>
      <c r="F549" s="802"/>
      <c r="G549" s="802"/>
      <c r="H549" s="802"/>
      <c r="I549" s="802"/>
      <c r="J549" s="802"/>
      <c r="K549" s="804"/>
      <c r="L549" s="802"/>
      <c r="M549" s="802"/>
      <c r="N549" s="802"/>
      <c r="O549" s="804"/>
      <c r="P549" s="804">
        <v>35000000000</v>
      </c>
      <c r="Q549" s="804"/>
      <c r="R549" s="802"/>
      <c r="S549" s="802"/>
      <c r="T549" s="802"/>
      <c r="U549" s="747"/>
      <c r="V549" s="747">
        <f t="shared" si="134"/>
        <v>0</v>
      </c>
      <c r="W549" s="747">
        <f>G549-H549-I549+M549+S549</f>
        <v>0</v>
      </c>
      <c r="X549" s="747">
        <f>F549+K549+Q549</f>
        <v>0</v>
      </c>
    </row>
    <row r="550" spans="1:25" s="665" customFormat="1">
      <c r="A550" s="825">
        <v>2</v>
      </c>
      <c r="B550" s="762" t="s">
        <v>2173</v>
      </c>
      <c r="C550" s="806"/>
      <c r="D550" s="801"/>
      <c r="E550" s="802">
        <f>SUM(E551:E559)</f>
        <v>4622758864</v>
      </c>
      <c r="F550" s="802">
        <f>SUM(F551:F559)</f>
        <v>0</v>
      </c>
      <c r="G550" s="802">
        <f t="shared" ref="G550:X550" si="142">SUM(G551:G559)</f>
        <v>0</v>
      </c>
      <c r="H550" s="802">
        <f t="shared" si="142"/>
        <v>0</v>
      </c>
      <c r="I550" s="802">
        <f t="shared" si="142"/>
        <v>0</v>
      </c>
      <c r="J550" s="802">
        <f t="shared" si="142"/>
        <v>0</v>
      </c>
      <c r="K550" s="802">
        <f t="shared" si="142"/>
        <v>0</v>
      </c>
      <c r="L550" s="802">
        <f t="shared" si="142"/>
        <v>0</v>
      </c>
      <c r="M550" s="802">
        <f t="shared" si="142"/>
        <v>0</v>
      </c>
      <c r="N550" s="802">
        <f t="shared" si="142"/>
        <v>0</v>
      </c>
      <c r="O550" s="802">
        <f t="shared" si="142"/>
        <v>0</v>
      </c>
      <c r="P550" s="802">
        <f t="shared" si="142"/>
        <v>4314000000</v>
      </c>
      <c r="Q550" s="802">
        <f t="shared" si="142"/>
        <v>4305445000</v>
      </c>
      <c r="R550" s="802">
        <f t="shared" si="142"/>
        <v>4305445000</v>
      </c>
      <c r="S550" s="802">
        <f t="shared" si="142"/>
        <v>0</v>
      </c>
      <c r="T550" s="802">
        <f t="shared" si="142"/>
        <v>0</v>
      </c>
      <c r="U550" s="802">
        <f t="shared" si="142"/>
        <v>8555000</v>
      </c>
      <c r="V550" s="802">
        <f t="shared" si="142"/>
        <v>4305445000</v>
      </c>
      <c r="W550" s="802">
        <f t="shared" si="142"/>
        <v>0</v>
      </c>
      <c r="X550" s="802">
        <f t="shared" si="142"/>
        <v>4305445000</v>
      </c>
    </row>
    <row r="551" spans="1:25" s="665" customFormat="1">
      <c r="A551" s="803" t="s">
        <v>1088</v>
      </c>
      <c r="B551" s="785" t="s">
        <v>2174</v>
      </c>
      <c r="C551" s="779" t="s">
        <v>777</v>
      </c>
      <c r="D551" s="780" t="s">
        <v>2175</v>
      </c>
      <c r="E551" s="804">
        <v>640076000</v>
      </c>
      <c r="F551" s="804"/>
      <c r="G551" s="804"/>
      <c r="H551" s="804"/>
      <c r="I551" s="804"/>
      <c r="J551" s="804"/>
      <c r="K551" s="804"/>
      <c r="L551" s="804"/>
      <c r="M551" s="804"/>
      <c r="N551" s="804"/>
      <c r="O551" s="804"/>
      <c r="P551" s="804">
        <v>557000000</v>
      </c>
      <c r="Q551" s="804">
        <f t="shared" si="129"/>
        <v>556769000</v>
      </c>
      <c r="R551" s="804">
        <v>556769000</v>
      </c>
      <c r="S551" s="804"/>
      <c r="T551" s="804"/>
      <c r="U551" s="747">
        <f t="shared" si="130"/>
        <v>231000</v>
      </c>
      <c r="V551" s="747">
        <f t="shared" si="134"/>
        <v>556769000</v>
      </c>
      <c r="W551" s="747">
        <f t="shared" ref="W551:W559" si="143">G551-H551-I551+M551+S551</f>
        <v>0</v>
      </c>
      <c r="X551" s="747">
        <f t="shared" si="136"/>
        <v>556769000</v>
      </c>
    </row>
    <row r="552" spans="1:25" s="665" customFormat="1">
      <c r="A552" s="803" t="s">
        <v>1088</v>
      </c>
      <c r="B552" s="785" t="s">
        <v>2176</v>
      </c>
      <c r="C552" s="779" t="s">
        <v>777</v>
      </c>
      <c r="D552" s="780" t="s">
        <v>2177</v>
      </c>
      <c r="E552" s="804">
        <v>588000000</v>
      </c>
      <c r="F552" s="804"/>
      <c r="G552" s="804"/>
      <c r="H552" s="804"/>
      <c r="I552" s="804"/>
      <c r="J552" s="804"/>
      <c r="K552" s="804"/>
      <c r="L552" s="804"/>
      <c r="M552" s="804"/>
      <c r="N552" s="804"/>
      <c r="O552" s="804"/>
      <c r="P552" s="804">
        <v>588000000</v>
      </c>
      <c r="Q552" s="804">
        <f t="shared" si="129"/>
        <v>587691000</v>
      </c>
      <c r="R552" s="804">
        <v>587691000</v>
      </c>
      <c r="S552" s="804"/>
      <c r="T552" s="804"/>
      <c r="U552" s="747">
        <f t="shared" si="130"/>
        <v>309000</v>
      </c>
      <c r="V552" s="747">
        <f t="shared" si="134"/>
        <v>587691000</v>
      </c>
      <c r="W552" s="747">
        <f t="shared" si="143"/>
        <v>0</v>
      </c>
      <c r="X552" s="747">
        <f t="shared" si="136"/>
        <v>587691000</v>
      </c>
    </row>
    <row r="553" spans="1:25" s="665" customFormat="1">
      <c r="A553" s="803" t="s">
        <v>1088</v>
      </c>
      <c r="B553" s="785" t="s">
        <v>2178</v>
      </c>
      <c r="C553" s="779" t="s">
        <v>777</v>
      </c>
      <c r="D553" s="780" t="s">
        <v>2179</v>
      </c>
      <c r="E553" s="804">
        <v>840156000</v>
      </c>
      <c r="F553" s="804"/>
      <c r="G553" s="804"/>
      <c r="H553" s="804"/>
      <c r="I553" s="804"/>
      <c r="J553" s="804"/>
      <c r="K553" s="804"/>
      <c r="L553" s="804"/>
      <c r="M553" s="804"/>
      <c r="N553" s="804"/>
      <c r="O553" s="804"/>
      <c r="P553" s="804">
        <v>840000000</v>
      </c>
      <c r="Q553" s="804">
        <f t="shared" si="129"/>
        <v>840000000</v>
      </c>
      <c r="R553" s="804">
        <v>840000000</v>
      </c>
      <c r="S553" s="804"/>
      <c r="T553" s="804"/>
      <c r="U553" s="747">
        <f t="shared" si="130"/>
        <v>0</v>
      </c>
      <c r="V553" s="747">
        <f t="shared" si="134"/>
        <v>840000000</v>
      </c>
      <c r="W553" s="747">
        <f t="shared" si="143"/>
        <v>0</v>
      </c>
      <c r="X553" s="747">
        <f t="shared" si="136"/>
        <v>840000000</v>
      </c>
    </row>
    <row r="554" spans="1:25" s="665" customFormat="1" ht="22.5">
      <c r="A554" s="803" t="s">
        <v>1088</v>
      </c>
      <c r="B554" s="784" t="s">
        <v>2180</v>
      </c>
      <c r="C554" s="779" t="s">
        <v>777</v>
      </c>
      <c r="D554" s="780" t="s">
        <v>2181</v>
      </c>
      <c r="E554" s="804">
        <v>710398864</v>
      </c>
      <c r="F554" s="804"/>
      <c r="G554" s="804"/>
      <c r="H554" s="804"/>
      <c r="I554" s="804"/>
      <c r="J554" s="804"/>
      <c r="K554" s="804"/>
      <c r="L554" s="804"/>
      <c r="M554" s="804"/>
      <c r="N554" s="804"/>
      <c r="O554" s="804"/>
      <c r="P554" s="804">
        <v>710000000</v>
      </c>
      <c r="Q554" s="804">
        <f t="shared" si="129"/>
        <v>710000000</v>
      </c>
      <c r="R554" s="804">
        <v>710000000</v>
      </c>
      <c r="S554" s="804"/>
      <c r="T554" s="804"/>
      <c r="U554" s="747">
        <f t="shared" si="130"/>
        <v>0</v>
      </c>
      <c r="V554" s="747">
        <f t="shared" si="134"/>
        <v>710000000</v>
      </c>
      <c r="W554" s="747">
        <f t="shared" si="143"/>
        <v>0</v>
      </c>
      <c r="X554" s="747">
        <f t="shared" si="136"/>
        <v>710000000</v>
      </c>
    </row>
    <row r="555" spans="1:25" s="665" customFormat="1" ht="22.5">
      <c r="A555" s="803" t="s">
        <v>1088</v>
      </c>
      <c r="B555" s="784" t="s">
        <v>2182</v>
      </c>
      <c r="C555" s="779" t="s">
        <v>777</v>
      </c>
      <c r="D555" s="780" t="s">
        <v>2183</v>
      </c>
      <c r="E555" s="804">
        <v>472323000</v>
      </c>
      <c r="F555" s="804"/>
      <c r="G555" s="804"/>
      <c r="H555" s="804"/>
      <c r="I555" s="804"/>
      <c r="J555" s="804"/>
      <c r="K555" s="804"/>
      <c r="L555" s="804"/>
      <c r="M555" s="804"/>
      <c r="N555" s="804"/>
      <c r="O555" s="804"/>
      <c r="P555" s="804">
        <v>472000000</v>
      </c>
      <c r="Q555" s="804">
        <f t="shared" si="129"/>
        <v>472000000</v>
      </c>
      <c r="R555" s="804">
        <v>472000000</v>
      </c>
      <c r="S555" s="804"/>
      <c r="T555" s="804"/>
      <c r="U555" s="747">
        <f t="shared" si="130"/>
        <v>0</v>
      </c>
      <c r="V555" s="747">
        <f t="shared" si="134"/>
        <v>472000000</v>
      </c>
      <c r="W555" s="747">
        <f t="shared" si="143"/>
        <v>0</v>
      </c>
      <c r="X555" s="747">
        <f t="shared" si="136"/>
        <v>472000000</v>
      </c>
    </row>
    <row r="556" spans="1:25" s="665" customFormat="1" ht="22.5">
      <c r="A556" s="803" t="s">
        <v>1088</v>
      </c>
      <c r="B556" s="784" t="s">
        <v>2184</v>
      </c>
      <c r="C556" s="779" t="s">
        <v>777</v>
      </c>
      <c r="D556" s="780" t="s">
        <v>2185</v>
      </c>
      <c r="E556" s="804">
        <v>306903000</v>
      </c>
      <c r="F556" s="804"/>
      <c r="G556" s="804"/>
      <c r="H556" s="804"/>
      <c r="I556" s="804"/>
      <c r="J556" s="804"/>
      <c r="K556" s="804"/>
      <c r="L556" s="804"/>
      <c r="M556" s="804"/>
      <c r="N556" s="804"/>
      <c r="O556" s="804"/>
      <c r="P556" s="804">
        <v>307000000</v>
      </c>
      <c r="Q556" s="804">
        <f t="shared" si="129"/>
        <v>306903000</v>
      </c>
      <c r="R556" s="804">
        <v>306903000</v>
      </c>
      <c r="S556" s="804"/>
      <c r="T556" s="804"/>
      <c r="U556" s="747">
        <f t="shared" si="130"/>
        <v>97000</v>
      </c>
      <c r="V556" s="747">
        <f t="shared" si="134"/>
        <v>306903000</v>
      </c>
      <c r="W556" s="747">
        <f t="shared" si="143"/>
        <v>0</v>
      </c>
      <c r="X556" s="747">
        <f t="shared" si="136"/>
        <v>306903000</v>
      </c>
    </row>
    <row r="557" spans="1:25" s="665" customFormat="1">
      <c r="A557" s="803" t="s">
        <v>1088</v>
      </c>
      <c r="B557" s="784" t="s">
        <v>477</v>
      </c>
      <c r="C557" s="779" t="s">
        <v>777</v>
      </c>
      <c r="D557" s="780" t="s">
        <v>2186</v>
      </c>
      <c r="E557" s="804">
        <v>500000000</v>
      </c>
      <c r="F557" s="804"/>
      <c r="G557" s="804"/>
      <c r="H557" s="804"/>
      <c r="I557" s="804"/>
      <c r="J557" s="804"/>
      <c r="K557" s="804"/>
      <c r="L557" s="804"/>
      <c r="M557" s="804"/>
      <c r="N557" s="804"/>
      <c r="O557" s="804"/>
      <c r="P557" s="804">
        <v>500000000</v>
      </c>
      <c r="Q557" s="804">
        <f t="shared" si="129"/>
        <v>500000000</v>
      </c>
      <c r="R557" s="804">
        <v>500000000</v>
      </c>
      <c r="S557" s="804"/>
      <c r="T557" s="804"/>
      <c r="U557" s="747">
        <f t="shared" si="130"/>
        <v>0</v>
      </c>
      <c r="V557" s="747">
        <f t="shared" si="134"/>
        <v>500000000</v>
      </c>
      <c r="W557" s="747">
        <f t="shared" si="143"/>
        <v>0</v>
      </c>
      <c r="X557" s="747">
        <f t="shared" si="136"/>
        <v>500000000</v>
      </c>
    </row>
    <row r="558" spans="1:25" s="658" customFormat="1" ht="22.5">
      <c r="A558" s="803" t="s">
        <v>1088</v>
      </c>
      <c r="B558" s="784" t="s">
        <v>2187</v>
      </c>
      <c r="C558" s="779" t="s">
        <v>777</v>
      </c>
      <c r="D558" s="780" t="s">
        <v>2188</v>
      </c>
      <c r="E558" s="804">
        <v>168649000</v>
      </c>
      <c r="F558" s="804"/>
      <c r="G558" s="804"/>
      <c r="H558" s="804"/>
      <c r="I558" s="804"/>
      <c r="J558" s="804"/>
      <c r="K558" s="804"/>
      <c r="L558" s="804"/>
      <c r="M558" s="804"/>
      <c r="N558" s="804"/>
      <c r="O558" s="804"/>
      <c r="P558" s="804">
        <v>169000000</v>
      </c>
      <c r="Q558" s="804">
        <f t="shared" si="129"/>
        <v>168649000</v>
      </c>
      <c r="R558" s="804">
        <v>168649000</v>
      </c>
      <c r="S558" s="804"/>
      <c r="T558" s="804"/>
      <c r="U558" s="747">
        <f t="shared" si="130"/>
        <v>351000</v>
      </c>
      <c r="V558" s="747">
        <f t="shared" si="134"/>
        <v>168649000</v>
      </c>
      <c r="W558" s="747">
        <f t="shared" si="143"/>
        <v>0</v>
      </c>
      <c r="X558" s="747">
        <f t="shared" si="136"/>
        <v>168649000</v>
      </c>
    </row>
    <row r="559" spans="1:25" s="658" customFormat="1" ht="22.5">
      <c r="A559" s="803" t="s">
        <v>1088</v>
      </c>
      <c r="B559" s="784" t="s">
        <v>2189</v>
      </c>
      <c r="C559" s="779" t="s">
        <v>777</v>
      </c>
      <c r="D559" s="780" t="s">
        <v>2190</v>
      </c>
      <c r="E559" s="804">
        <v>396253000</v>
      </c>
      <c r="F559" s="804"/>
      <c r="G559" s="804"/>
      <c r="H559" s="804"/>
      <c r="I559" s="804"/>
      <c r="J559" s="804"/>
      <c r="K559" s="804"/>
      <c r="L559" s="804"/>
      <c r="M559" s="804"/>
      <c r="N559" s="804"/>
      <c r="O559" s="804"/>
      <c r="P559" s="804">
        <v>171000000</v>
      </c>
      <c r="Q559" s="804">
        <f t="shared" si="129"/>
        <v>163433000</v>
      </c>
      <c r="R559" s="804">
        <v>163433000</v>
      </c>
      <c r="S559" s="804"/>
      <c r="T559" s="804"/>
      <c r="U559" s="747">
        <f t="shared" si="130"/>
        <v>7567000</v>
      </c>
      <c r="V559" s="747">
        <f t="shared" si="134"/>
        <v>163433000</v>
      </c>
      <c r="W559" s="747">
        <f t="shared" si="143"/>
        <v>0</v>
      </c>
      <c r="X559" s="747">
        <f t="shared" si="136"/>
        <v>163433000</v>
      </c>
    </row>
    <row r="560" spans="1:25" s="658" customFormat="1">
      <c r="A560" s="803" t="s">
        <v>105</v>
      </c>
      <c r="B560" s="830" t="s">
        <v>2191</v>
      </c>
      <c r="C560" s="779"/>
      <c r="D560" s="780"/>
      <c r="E560" s="804"/>
      <c r="F560" s="804"/>
      <c r="G560" s="804"/>
      <c r="H560" s="804"/>
      <c r="I560" s="804"/>
      <c r="J560" s="804"/>
      <c r="K560" s="804"/>
      <c r="L560" s="804"/>
      <c r="M560" s="804"/>
      <c r="N560" s="804"/>
      <c r="O560" s="804"/>
      <c r="P560" s="804"/>
      <c r="Q560" s="804">
        <f t="shared" si="129"/>
        <v>0</v>
      </c>
      <c r="R560" s="804"/>
      <c r="S560" s="804"/>
      <c r="T560" s="804"/>
      <c r="U560" s="747">
        <f t="shared" si="130"/>
        <v>0</v>
      </c>
      <c r="V560" s="747"/>
      <c r="W560" s="747"/>
      <c r="X560" s="747"/>
    </row>
    <row r="561" spans="1:25" s="658" customFormat="1" ht="21">
      <c r="A561" s="827" t="s">
        <v>404</v>
      </c>
      <c r="B561" s="828" t="s">
        <v>1502</v>
      </c>
      <c r="C561" s="779"/>
      <c r="D561" s="800"/>
      <c r="E561" s="799">
        <f>SUM(E563:E583)</f>
        <v>190806703646</v>
      </c>
      <c r="F561" s="799">
        <f>SUM(F563:F583)</f>
        <v>12679874206</v>
      </c>
      <c r="G561" s="799">
        <f t="shared" ref="G561:W561" si="144">SUM(G563:G583)</f>
        <v>11515206</v>
      </c>
      <c r="H561" s="799">
        <f t="shared" si="144"/>
        <v>11515206</v>
      </c>
      <c r="I561" s="799">
        <f t="shared" si="144"/>
        <v>0</v>
      </c>
      <c r="J561" s="799">
        <f t="shared" si="144"/>
        <v>0</v>
      </c>
      <c r="K561" s="799">
        <f t="shared" si="144"/>
        <v>0</v>
      </c>
      <c r="L561" s="799">
        <f t="shared" si="144"/>
        <v>0</v>
      </c>
      <c r="M561" s="799">
        <f t="shared" si="144"/>
        <v>0</v>
      </c>
      <c r="N561" s="799">
        <f t="shared" si="144"/>
        <v>0</v>
      </c>
      <c r="O561" s="799">
        <f t="shared" si="144"/>
        <v>0</v>
      </c>
      <c r="P561" s="799">
        <f t="shared" si="144"/>
        <v>1716000000</v>
      </c>
      <c r="Q561" s="799">
        <f t="shared" si="144"/>
        <v>1153102878</v>
      </c>
      <c r="R561" s="799">
        <f t="shared" si="144"/>
        <v>1153102878</v>
      </c>
      <c r="S561" s="799">
        <f t="shared" si="144"/>
        <v>0</v>
      </c>
      <c r="T561" s="799">
        <f t="shared" si="144"/>
        <v>77167000</v>
      </c>
      <c r="U561" s="799">
        <f t="shared" si="144"/>
        <v>485319122</v>
      </c>
      <c r="V561" s="799">
        <f t="shared" si="144"/>
        <v>1153102878</v>
      </c>
      <c r="W561" s="799">
        <f t="shared" si="144"/>
        <v>0</v>
      </c>
      <c r="X561" s="799">
        <f>SUM(X563:X583)</f>
        <v>13626542878</v>
      </c>
    </row>
    <row r="562" spans="1:25" s="658" customFormat="1">
      <c r="A562" s="831"/>
      <c r="B562" s="832" t="s">
        <v>345</v>
      </c>
      <c r="C562" s="788"/>
      <c r="D562" s="833"/>
      <c r="E562" s="799"/>
      <c r="F562" s="799"/>
      <c r="G562" s="799"/>
      <c r="H562" s="799"/>
      <c r="I562" s="799"/>
      <c r="J562" s="799"/>
      <c r="K562" s="804"/>
      <c r="L562" s="799"/>
      <c r="M562" s="799"/>
      <c r="N562" s="799"/>
      <c r="O562" s="804"/>
      <c r="P562" s="799"/>
      <c r="Q562" s="804">
        <f t="shared" si="129"/>
        <v>0</v>
      </c>
      <c r="R562" s="799"/>
      <c r="S562" s="799"/>
      <c r="T562" s="799"/>
      <c r="U562" s="747">
        <f t="shared" si="130"/>
        <v>0</v>
      </c>
      <c r="V562" s="747"/>
      <c r="W562" s="747"/>
      <c r="X562" s="747"/>
    </row>
    <row r="563" spans="1:25" s="658" customFormat="1">
      <c r="A563" s="803" t="s">
        <v>1088</v>
      </c>
      <c r="B563" s="785" t="s">
        <v>2192</v>
      </c>
      <c r="C563" s="779" t="s">
        <v>777</v>
      </c>
      <c r="D563" s="780" t="s">
        <v>2193</v>
      </c>
      <c r="E563" s="804">
        <v>57251257000</v>
      </c>
      <c r="F563" s="804">
        <v>11515206</v>
      </c>
      <c r="G563" s="804">
        <v>11515206</v>
      </c>
      <c r="H563" s="804">
        <v>11515206</v>
      </c>
      <c r="I563" s="804"/>
      <c r="J563" s="804"/>
      <c r="K563" s="804"/>
      <c r="L563" s="804"/>
      <c r="M563" s="804"/>
      <c r="N563" s="804"/>
      <c r="O563" s="804"/>
      <c r="P563" s="804">
        <v>158081000</v>
      </c>
      <c r="Q563" s="804">
        <f t="shared" si="129"/>
        <v>0</v>
      </c>
      <c r="R563" s="804"/>
      <c r="S563" s="804"/>
      <c r="T563" s="804"/>
      <c r="U563" s="747">
        <f t="shared" si="130"/>
        <v>158081000</v>
      </c>
      <c r="V563" s="747"/>
      <c r="W563" s="747"/>
      <c r="X563" s="747"/>
    </row>
    <row r="564" spans="1:25" s="658" customFormat="1">
      <c r="A564" s="803" t="s">
        <v>1088</v>
      </c>
      <c r="B564" s="785" t="s">
        <v>2194</v>
      </c>
      <c r="C564" s="779" t="s">
        <v>777</v>
      </c>
      <c r="D564" s="780" t="s">
        <v>2195</v>
      </c>
      <c r="E564" s="804">
        <v>10501609754</v>
      </c>
      <c r="F564" s="804"/>
      <c r="G564" s="804"/>
      <c r="H564" s="804"/>
      <c r="I564" s="804"/>
      <c r="J564" s="804"/>
      <c r="K564" s="804"/>
      <c r="L564" s="804"/>
      <c r="M564" s="804"/>
      <c r="N564" s="804"/>
      <c r="O564" s="804"/>
      <c r="P564" s="804">
        <v>40783000</v>
      </c>
      <c r="Q564" s="804">
        <f t="shared" si="129"/>
        <v>0</v>
      </c>
      <c r="R564" s="804"/>
      <c r="S564" s="804"/>
      <c r="T564" s="804"/>
      <c r="U564" s="747">
        <f t="shared" si="130"/>
        <v>40783000</v>
      </c>
      <c r="V564" s="747"/>
      <c r="W564" s="747"/>
      <c r="X564" s="747"/>
    </row>
    <row r="565" spans="1:25" s="658" customFormat="1">
      <c r="A565" s="803" t="s">
        <v>1088</v>
      </c>
      <c r="B565" s="785" t="s">
        <v>2196</v>
      </c>
      <c r="C565" s="779" t="s">
        <v>777</v>
      </c>
      <c r="D565" s="780" t="s">
        <v>2197</v>
      </c>
      <c r="E565" s="804">
        <v>63226068254</v>
      </c>
      <c r="F565" s="804"/>
      <c r="G565" s="804"/>
      <c r="H565" s="804"/>
      <c r="I565" s="804"/>
      <c r="J565" s="804"/>
      <c r="K565" s="804"/>
      <c r="L565" s="804"/>
      <c r="M565" s="804"/>
      <c r="N565" s="804"/>
      <c r="O565" s="804"/>
      <c r="P565" s="804">
        <v>229631000</v>
      </c>
      <c r="Q565" s="804">
        <f t="shared" si="129"/>
        <v>0</v>
      </c>
      <c r="R565" s="804"/>
      <c r="S565" s="804"/>
      <c r="T565" s="804"/>
      <c r="U565" s="747">
        <f t="shared" si="130"/>
        <v>229631000</v>
      </c>
      <c r="V565" s="747"/>
      <c r="W565" s="747"/>
      <c r="X565" s="747"/>
    </row>
    <row r="566" spans="1:25" s="658" customFormat="1">
      <c r="A566" s="803" t="s">
        <v>1088</v>
      </c>
      <c r="B566" s="785" t="s">
        <v>2198</v>
      </c>
      <c r="C566" s="779" t="s">
        <v>777</v>
      </c>
      <c r="D566" s="780" t="s">
        <v>2199</v>
      </c>
      <c r="E566" s="804">
        <v>1667508133</v>
      </c>
      <c r="F566" s="804"/>
      <c r="G566" s="804"/>
      <c r="H566" s="804"/>
      <c r="I566" s="804"/>
      <c r="J566" s="804"/>
      <c r="K566" s="804"/>
      <c r="L566" s="804"/>
      <c r="M566" s="804"/>
      <c r="N566" s="804"/>
      <c r="O566" s="804"/>
      <c r="P566" s="804">
        <v>3668000</v>
      </c>
      <c r="Q566" s="804">
        <f t="shared" si="129"/>
        <v>3668000</v>
      </c>
      <c r="R566" s="804">
        <v>3668000</v>
      </c>
      <c r="S566" s="804"/>
      <c r="T566" s="804"/>
      <c r="U566" s="747">
        <f t="shared" si="130"/>
        <v>0</v>
      </c>
      <c r="V566" s="747">
        <f t="shared" si="134"/>
        <v>3668000</v>
      </c>
      <c r="W566" s="747"/>
      <c r="X566" s="747">
        <f t="shared" si="136"/>
        <v>3668000</v>
      </c>
    </row>
    <row r="567" spans="1:25" s="658" customFormat="1">
      <c r="A567" s="803" t="s">
        <v>1088</v>
      </c>
      <c r="B567" s="785" t="s">
        <v>2200</v>
      </c>
      <c r="C567" s="779" t="s">
        <v>777</v>
      </c>
      <c r="D567" s="780" t="s">
        <v>2201</v>
      </c>
      <c r="E567" s="804">
        <v>701827000</v>
      </c>
      <c r="F567" s="804"/>
      <c r="G567" s="804"/>
      <c r="H567" s="804"/>
      <c r="I567" s="804"/>
      <c r="J567" s="804"/>
      <c r="K567" s="804"/>
      <c r="L567" s="804"/>
      <c r="M567" s="804"/>
      <c r="N567" s="804"/>
      <c r="O567" s="804"/>
      <c r="P567" s="804">
        <v>1546000</v>
      </c>
      <c r="Q567" s="804">
        <f t="shared" si="129"/>
        <v>0</v>
      </c>
      <c r="R567" s="804"/>
      <c r="S567" s="804"/>
      <c r="T567" s="804"/>
      <c r="U567" s="747">
        <f t="shared" si="130"/>
        <v>1546000</v>
      </c>
      <c r="V567" s="747"/>
      <c r="W567" s="747"/>
      <c r="X567" s="747"/>
      <c r="Y567" s="665"/>
    </row>
    <row r="568" spans="1:25" s="658" customFormat="1">
      <c r="A568" s="803" t="s">
        <v>1088</v>
      </c>
      <c r="B568" s="785" t="s">
        <v>2202</v>
      </c>
      <c r="C568" s="779" t="s">
        <v>777</v>
      </c>
      <c r="D568" s="780" t="s">
        <v>2203</v>
      </c>
      <c r="E568" s="804">
        <v>10079980505</v>
      </c>
      <c r="F568" s="804"/>
      <c r="G568" s="804"/>
      <c r="H568" s="804"/>
      <c r="I568" s="804"/>
      <c r="J568" s="804"/>
      <c r="K568" s="804"/>
      <c r="L568" s="804"/>
      <c r="M568" s="804"/>
      <c r="N568" s="804"/>
      <c r="O568" s="804"/>
      <c r="P568" s="804">
        <v>52897000</v>
      </c>
      <c r="Q568" s="804">
        <f t="shared" si="129"/>
        <v>52897000</v>
      </c>
      <c r="R568" s="804">
        <v>52897000</v>
      </c>
      <c r="S568" s="804"/>
      <c r="T568" s="804"/>
      <c r="U568" s="747">
        <f t="shared" si="130"/>
        <v>0</v>
      </c>
      <c r="V568" s="747">
        <f t="shared" si="134"/>
        <v>52897000</v>
      </c>
      <c r="W568" s="747"/>
      <c r="X568" s="747">
        <f t="shared" si="136"/>
        <v>52897000</v>
      </c>
      <c r="Y568" s="665"/>
    </row>
    <row r="569" spans="1:25" s="658" customFormat="1">
      <c r="A569" s="803" t="s">
        <v>1088</v>
      </c>
      <c r="B569" s="785" t="s">
        <v>2204</v>
      </c>
      <c r="C569" s="779" t="s">
        <v>777</v>
      </c>
      <c r="D569" s="780" t="s">
        <v>2205</v>
      </c>
      <c r="E569" s="804">
        <v>8955218000</v>
      </c>
      <c r="F569" s="804"/>
      <c r="G569" s="804"/>
      <c r="H569" s="804"/>
      <c r="I569" s="804"/>
      <c r="J569" s="804"/>
      <c r="K569" s="804"/>
      <c r="L569" s="804"/>
      <c r="M569" s="804"/>
      <c r="N569" s="804"/>
      <c r="O569" s="804"/>
      <c r="P569" s="804">
        <v>57314000</v>
      </c>
      <c r="Q569" s="804">
        <f t="shared" si="129"/>
        <v>57314000</v>
      </c>
      <c r="R569" s="804">
        <v>57314000</v>
      </c>
      <c r="S569" s="804"/>
      <c r="T569" s="804"/>
      <c r="U569" s="747">
        <f t="shared" si="130"/>
        <v>0</v>
      </c>
      <c r="V569" s="747">
        <f t="shared" si="134"/>
        <v>57314000</v>
      </c>
      <c r="W569" s="747"/>
      <c r="X569" s="747">
        <f t="shared" si="136"/>
        <v>57314000</v>
      </c>
      <c r="Y569" s="665"/>
    </row>
    <row r="570" spans="1:25" s="658" customFormat="1">
      <c r="A570" s="803" t="s">
        <v>1088</v>
      </c>
      <c r="B570" s="785" t="s">
        <v>2206</v>
      </c>
      <c r="C570" s="779" t="s">
        <v>777</v>
      </c>
      <c r="D570" s="780" t="s">
        <v>2207</v>
      </c>
      <c r="E570" s="804">
        <v>4397790000</v>
      </c>
      <c r="F570" s="804"/>
      <c r="G570" s="804"/>
      <c r="H570" s="804"/>
      <c r="I570" s="804"/>
      <c r="J570" s="804"/>
      <c r="K570" s="804"/>
      <c r="L570" s="804"/>
      <c r="M570" s="804"/>
      <c r="N570" s="804"/>
      <c r="O570" s="804"/>
      <c r="P570" s="804">
        <v>398123000</v>
      </c>
      <c r="Q570" s="804">
        <f t="shared" si="129"/>
        <v>398122878</v>
      </c>
      <c r="R570" s="804">
        <v>398122878</v>
      </c>
      <c r="S570" s="804"/>
      <c r="T570" s="804"/>
      <c r="U570" s="747">
        <f t="shared" si="130"/>
        <v>122</v>
      </c>
      <c r="V570" s="747">
        <f t="shared" si="134"/>
        <v>398122878</v>
      </c>
      <c r="W570" s="747"/>
      <c r="X570" s="747">
        <f t="shared" si="136"/>
        <v>398122878</v>
      </c>
      <c r="Y570" s="665"/>
    </row>
    <row r="571" spans="1:25" s="658" customFormat="1">
      <c r="A571" s="803"/>
      <c r="B571" s="787" t="s">
        <v>344</v>
      </c>
      <c r="C571" s="779"/>
      <c r="D571" s="780"/>
      <c r="E571" s="804"/>
      <c r="F571" s="804"/>
      <c r="G571" s="804"/>
      <c r="H571" s="804"/>
      <c r="I571" s="804"/>
      <c r="J571" s="804"/>
      <c r="K571" s="804"/>
      <c r="L571" s="804"/>
      <c r="M571" s="804"/>
      <c r="N571" s="804"/>
      <c r="O571" s="804"/>
      <c r="P571" s="804"/>
      <c r="Q571" s="804">
        <f t="shared" si="129"/>
        <v>0</v>
      </c>
      <c r="R571" s="804"/>
      <c r="S571" s="804"/>
      <c r="T571" s="804"/>
      <c r="U571" s="747">
        <f t="shared" si="130"/>
        <v>0</v>
      </c>
      <c r="V571" s="747"/>
      <c r="W571" s="747"/>
      <c r="X571" s="747"/>
      <c r="Y571" s="665"/>
    </row>
    <row r="572" spans="1:25" s="658" customFormat="1">
      <c r="A572" s="803" t="s">
        <v>1088</v>
      </c>
      <c r="B572" s="785" t="s">
        <v>2208</v>
      </c>
      <c r="C572" s="779" t="s">
        <v>777</v>
      </c>
      <c r="D572" s="780" t="s">
        <v>2209</v>
      </c>
      <c r="E572" s="804">
        <v>12074418000</v>
      </c>
      <c r="F572" s="804"/>
      <c r="G572" s="804"/>
      <c r="H572" s="804"/>
      <c r="I572" s="804"/>
      <c r="J572" s="804"/>
      <c r="K572" s="804"/>
      <c r="L572" s="804"/>
      <c r="M572" s="804"/>
      <c r="N572" s="804"/>
      <c r="O572" s="804"/>
      <c r="P572" s="804">
        <v>33794000</v>
      </c>
      <c r="Q572" s="804">
        <f t="shared" si="129"/>
        <v>33794000</v>
      </c>
      <c r="R572" s="804">
        <v>33794000</v>
      </c>
      <c r="S572" s="804"/>
      <c r="T572" s="804"/>
      <c r="U572" s="747">
        <f t="shared" si="130"/>
        <v>0</v>
      </c>
      <c r="V572" s="747">
        <f t="shared" si="134"/>
        <v>33794000</v>
      </c>
      <c r="W572" s="747"/>
      <c r="X572" s="747">
        <v>33656000</v>
      </c>
    </row>
    <row r="573" spans="1:25" s="658" customFormat="1">
      <c r="A573" s="803" t="s">
        <v>1088</v>
      </c>
      <c r="B573" s="785" t="s">
        <v>2210</v>
      </c>
      <c r="C573" s="779" t="s">
        <v>777</v>
      </c>
      <c r="D573" s="780" t="s">
        <v>2211</v>
      </c>
      <c r="E573" s="804">
        <v>7548645000</v>
      </c>
      <c r="F573" s="804"/>
      <c r="G573" s="804"/>
      <c r="H573" s="804"/>
      <c r="I573" s="804"/>
      <c r="J573" s="804"/>
      <c r="K573" s="804"/>
      <c r="L573" s="804"/>
      <c r="M573" s="804"/>
      <c r="N573" s="804"/>
      <c r="O573" s="804"/>
      <c r="P573" s="804">
        <v>38235000</v>
      </c>
      <c r="Q573" s="804">
        <f t="shared" si="129"/>
        <v>38235000</v>
      </c>
      <c r="R573" s="804">
        <v>38235000</v>
      </c>
      <c r="S573" s="804"/>
      <c r="T573" s="804"/>
      <c r="U573" s="747">
        <f t="shared" si="130"/>
        <v>0</v>
      </c>
      <c r="V573" s="747">
        <f t="shared" si="134"/>
        <v>38235000</v>
      </c>
      <c r="W573" s="747"/>
      <c r="X573" s="747">
        <v>34784000</v>
      </c>
    </row>
    <row r="574" spans="1:25" s="658" customFormat="1">
      <c r="A574" s="803"/>
      <c r="B574" s="787" t="s">
        <v>2212</v>
      </c>
      <c r="C574" s="779"/>
      <c r="D574" s="780"/>
      <c r="E574" s="804"/>
      <c r="F574" s="804"/>
      <c r="G574" s="804"/>
      <c r="H574" s="804"/>
      <c r="I574" s="804"/>
      <c r="J574" s="804"/>
      <c r="K574" s="804"/>
      <c r="L574" s="804"/>
      <c r="M574" s="804"/>
      <c r="N574" s="804"/>
      <c r="O574" s="804"/>
      <c r="P574" s="804"/>
      <c r="Q574" s="804">
        <f t="shared" si="129"/>
        <v>0</v>
      </c>
      <c r="R574" s="804"/>
      <c r="S574" s="804"/>
      <c r="T574" s="804"/>
      <c r="U574" s="747">
        <f t="shared" si="130"/>
        <v>0</v>
      </c>
      <c r="V574" s="747"/>
      <c r="W574" s="747"/>
      <c r="X574" s="747"/>
    </row>
    <row r="575" spans="1:25" s="660" customFormat="1">
      <c r="A575" s="803"/>
      <c r="B575" s="785" t="s">
        <v>2213</v>
      </c>
      <c r="C575" s="779"/>
      <c r="D575" s="780">
        <v>7428536</v>
      </c>
      <c r="E575" s="804"/>
      <c r="F575" s="804"/>
      <c r="G575" s="804"/>
      <c r="H575" s="804"/>
      <c r="I575" s="804"/>
      <c r="J575" s="804"/>
      <c r="K575" s="804"/>
      <c r="L575" s="804"/>
      <c r="M575" s="804"/>
      <c r="N575" s="804"/>
      <c r="O575" s="804"/>
      <c r="P575" s="804">
        <v>77167000</v>
      </c>
      <c r="Q575" s="804">
        <f t="shared" si="129"/>
        <v>0</v>
      </c>
      <c r="R575" s="804"/>
      <c r="S575" s="804"/>
      <c r="T575" s="804">
        <v>77167000</v>
      </c>
      <c r="U575" s="747">
        <f t="shared" si="130"/>
        <v>0</v>
      </c>
      <c r="V575" s="747"/>
      <c r="W575" s="747"/>
      <c r="X575" s="747"/>
    </row>
    <row r="576" spans="1:25" s="658" customFormat="1">
      <c r="A576" s="803"/>
      <c r="B576" s="787" t="s">
        <v>346</v>
      </c>
      <c r="C576" s="779"/>
      <c r="D576" s="780"/>
      <c r="E576" s="804"/>
      <c r="F576" s="804"/>
      <c r="G576" s="804"/>
      <c r="H576" s="804"/>
      <c r="I576" s="804"/>
      <c r="J576" s="804"/>
      <c r="K576" s="804"/>
      <c r="L576" s="804"/>
      <c r="M576" s="804"/>
      <c r="N576" s="804"/>
      <c r="O576" s="804"/>
      <c r="P576" s="804"/>
      <c r="Q576" s="804">
        <f t="shared" si="129"/>
        <v>0</v>
      </c>
      <c r="R576" s="804"/>
      <c r="S576" s="804"/>
      <c r="T576" s="804"/>
      <c r="U576" s="747">
        <f t="shared" si="130"/>
        <v>0</v>
      </c>
      <c r="V576" s="747"/>
      <c r="W576" s="747"/>
      <c r="X576" s="747"/>
    </row>
    <row r="577" spans="1:24" s="663" customFormat="1">
      <c r="A577" s="803"/>
      <c r="B577" s="785" t="s">
        <v>2214</v>
      </c>
      <c r="C577" s="779"/>
      <c r="D577" s="780">
        <v>7431735</v>
      </c>
      <c r="E577" s="804"/>
      <c r="F577" s="804"/>
      <c r="G577" s="804"/>
      <c r="H577" s="804"/>
      <c r="I577" s="804"/>
      <c r="J577" s="804"/>
      <c r="K577" s="804"/>
      <c r="L577" s="804"/>
      <c r="M577" s="804"/>
      <c r="N577" s="804"/>
      <c r="O577" s="804"/>
      <c r="P577" s="804">
        <v>55278000</v>
      </c>
      <c r="Q577" s="804">
        <f t="shared" si="129"/>
        <v>0</v>
      </c>
      <c r="R577" s="804"/>
      <c r="S577" s="804"/>
      <c r="T577" s="804"/>
      <c r="U577" s="747">
        <f>P577-Q577-T577</f>
        <v>55278000</v>
      </c>
      <c r="V577" s="747"/>
      <c r="W577" s="747"/>
      <c r="X577" s="747"/>
    </row>
    <row r="578" spans="1:24" s="663" customFormat="1">
      <c r="A578" s="803"/>
      <c r="B578" s="787" t="s">
        <v>2215</v>
      </c>
      <c r="C578" s="779"/>
      <c r="D578" s="780"/>
      <c r="E578" s="804"/>
      <c r="F578" s="804"/>
      <c r="G578" s="804"/>
      <c r="H578" s="804"/>
      <c r="I578" s="804"/>
      <c r="J578" s="804"/>
      <c r="K578" s="804"/>
      <c r="L578" s="804"/>
      <c r="M578" s="804"/>
      <c r="N578" s="804"/>
      <c r="O578" s="804"/>
      <c r="P578" s="804"/>
      <c r="Q578" s="804">
        <f t="shared" si="129"/>
        <v>0</v>
      </c>
      <c r="R578" s="804"/>
      <c r="S578" s="804"/>
      <c r="T578" s="804"/>
      <c r="U578" s="747">
        <f t="shared" ref="U578:U621" si="145">P578-Q578-T578</f>
        <v>0</v>
      </c>
      <c r="V578" s="747"/>
      <c r="W578" s="747"/>
      <c r="X578" s="747"/>
    </row>
    <row r="579" spans="1:24" s="658" customFormat="1" ht="22.5">
      <c r="A579" s="834"/>
      <c r="B579" s="792" t="s">
        <v>2216</v>
      </c>
      <c r="C579" s="776"/>
      <c r="D579" s="777" t="s">
        <v>2217</v>
      </c>
      <c r="E579" s="835"/>
      <c r="F579" s="835"/>
      <c r="G579" s="835"/>
      <c r="H579" s="835"/>
      <c r="I579" s="835"/>
      <c r="J579" s="835"/>
      <c r="K579" s="804"/>
      <c r="L579" s="835"/>
      <c r="M579" s="835"/>
      <c r="N579" s="835"/>
      <c r="O579" s="804"/>
      <c r="P579" s="835">
        <v>191330000</v>
      </c>
      <c r="Q579" s="804">
        <f t="shared" si="129"/>
        <v>191330000</v>
      </c>
      <c r="R579" s="835">
        <v>191330000</v>
      </c>
      <c r="S579" s="835"/>
      <c r="T579" s="835"/>
      <c r="U579" s="747">
        <f t="shared" si="145"/>
        <v>0</v>
      </c>
      <c r="V579" s="747">
        <f t="shared" si="134"/>
        <v>191330000</v>
      </c>
      <c r="W579" s="747"/>
      <c r="X579" s="747">
        <v>0</v>
      </c>
    </row>
    <row r="580" spans="1:24" s="663" customFormat="1">
      <c r="A580" s="836"/>
      <c r="B580" s="775" t="s">
        <v>1593</v>
      </c>
      <c r="C580" s="781"/>
      <c r="D580" s="782"/>
      <c r="E580" s="807"/>
      <c r="F580" s="807"/>
      <c r="G580" s="807"/>
      <c r="H580" s="807"/>
      <c r="I580" s="807"/>
      <c r="J580" s="807"/>
      <c r="K580" s="804"/>
      <c r="L580" s="807"/>
      <c r="M580" s="807"/>
      <c r="N580" s="807"/>
      <c r="O580" s="804"/>
      <c r="P580" s="807"/>
      <c r="Q580" s="804">
        <f t="shared" ref="Q580:Q634" si="146">R580+S580</f>
        <v>0</v>
      </c>
      <c r="R580" s="807"/>
      <c r="S580" s="807"/>
      <c r="T580" s="807"/>
      <c r="U580" s="747">
        <f t="shared" si="145"/>
        <v>0</v>
      </c>
      <c r="V580" s="747"/>
      <c r="W580" s="747"/>
      <c r="X580" s="747"/>
    </row>
    <row r="581" spans="1:24" s="658" customFormat="1">
      <c r="A581" s="803" t="s">
        <v>1088</v>
      </c>
      <c r="B581" s="785" t="s">
        <v>2218</v>
      </c>
      <c r="C581" s="779" t="s">
        <v>777</v>
      </c>
      <c r="D581" s="780" t="s">
        <v>2219</v>
      </c>
      <c r="E581" s="804">
        <v>7391181000</v>
      </c>
      <c r="F581" s="804">
        <v>6000000000</v>
      </c>
      <c r="G581" s="804"/>
      <c r="H581" s="804"/>
      <c r="I581" s="804"/>
      <c r="J581" s="804"/>
      <c r="K581" s="804"/>
      <c r="L581" s="804"/>
      <c r="M581" s="804"/>
      <c r="N581" s="804"/>
      <c r="O581" s="804"/>
      <c r="P581" s="804">
        <v>344785000</v>
      </c>
      <c r="Q581" s="804">
        <f t="shared" si="146"/>
        <v>344785000</v>
      </c>
      <c r="R581" s="804">
        <v>344785000</v>
      </c>
      <c r="S581" s="804"/>
      <c r="T581" s="804"/>
      <c r="U581" s="747">
        <f t="shared" si="145"/>
        <v>0</v>
      </c>
      <c r="V581" s="747">
        <f t="shared" si="134"/>
        <v>344785000</v>
      </c>
      <c r="W581" s="747"/>
      <c r="X581" s="747">
        <f t="shared" si="136"/>
        <v>6344785000</v>
      </c>
    </row>
    <row r="582" spans="1:24" s="658" customFormat="1">
      <c r="A582" s="803" t="s">
        <v>1088</v>
      </c>
      <c r="B582" s="785" t="s">
        <v>2220</v>
      </c>
      <c r="C582" s="779" t="s">
        <v>777</v>
      </c>
      <c r="D582" s="780" t="s">
        <v>2221</v>
      </c>
      <c r="E582" s="804">
        <v>7011201000</v>
      </c>
      <c r="F582" s="804">
        <v>6668359000</v>
      </c>
      <c r="G582" s="804"/>
      <c r="H582" s="804"/>
      <c r="I582" s="804"/>
      <c r="J582" s="804"/>
      <c r="K582" s="804"/>
      <c r="L582" s="804"/>
      <c r="M582" s="804"/>
      <c r="N582" s="804"/>
      <c r="O582" s="804"/>
      <c r="P582" s="804">
        <v>32957000</v>
      </c>
      <c r="Q582" s="804">
        <f t="shared" si="146"/>
        <v>32957000</v>
      </c>
      <c r="R582" s="804">
        <v>32957000</v>
      </c>
      <c r="S582" s="804"/>
      <c r="T582" s="804"/>
      <c r="U582" s="747">
        <f t="shared" si="145"/>
        <v>0</v>
      </c>
      <c r="V582" s="747">
        <f t="shared" si="134"/>
        <v>32957000</v>
      </c>
      <c r="W582" s="747"/>
      <c r="X582" s="747">
        <f t="shared" si="136"/>
        <v>6701316000</v>
      </c>
    </row>
    <row r="583" spans="1:24" s="658" customFormat="1">
      <c r="A583" s="836"/>
      <c r="B583" s="775" t="s">
        <v>1946</v>
      </c>
      <c r="C583" s="781"/>
      <c r="D583" s="782"/>
      <c r="E583" s="807"/>
      <c r="F583" s="807"/>
      <c r="G583" s="807"/>
      <c r="H583" s="807"/>
      <c r="I583" s="807"/>
      <c r="J583" s="807"/>
      <c r="K583" s="804"/>
      <c r="L583" s="807"/>
      <c r="M583" s="807"/>
      <c r="N583" s="807"/>
      <c r="O583" s="804"/>
      <c r="P583" s="807">
        <v>411000</v>
      </c>
      <c r="Q583" s="804">
        <f t="shared" si="146"/>
        <v>0</v>
      </c>
      <c r="R583" s="807"/>
      <c r="S583" s="807"/>
      <c r="T583" s="807"/>
      <c r="U583" s="747"/>
      <c r="V583" s="747"/>
      <c r="W583" s="747"/>
      <c r="X583" s="747"/>
    </row>
    <row r="584" spans="1:24" s="658" customFormat="1">
      <c r="A584" s="836" t="s">
        <v>1462</v>
      </c>
      <c r="B584" s="775" t="s">
        <v>2222</v>
      </c>
      <c r="C584" s="781"/>
      <c r="D584" s="782"/>
      <c r="E584" s="807">
        <f>E585</f>
        <v>162968153000</v>
      </c>
      <c r="F584" s="807">
        <f>F585</f>
        <v>2404012000</v>
      </c>
      <c r="G584" s="807">
        <f t="shared" ref="G584:X584" si="147">G585</f>
        <v>1290851000</v>
      </c>
      <c r="H584" s="807">
        <f t="shared" si="147"/>
        <v>0</v>
      </c>
      <c r="I584" s="807">
        <f t="shared" si="147"/>
        <v>1225293000</v>
      </c>
      <c r="J584" s="807">
        <f t="shared" si="147"/>
        <v>1358000000</v>
      </c>
      <c r="K584" s="807">
        <f t="shared" si="147"/>
        <v>1353067000</v>
      </c>
      <c r="L584" s="807">
        <f t="shared" si="147"/>
        <v>163067000</v>
      </c>
      <c r="M584" s="807">
        <f t="shared" si="147"/>
        <v>1190000000</v>
      </c>
      <c r="N584" s="807">
        <f t="shared" si="147"/>
        <v>0</v>
      </c>
      <c r="O584" s="807">
        <f t="shared" si="147"/>
        <v>4933000</v>
      </c>
      <c r="P584" s="807">
        <f t="shared" si="147"/>
        <v>0</v>
      </c>
      <c r="Q584" s="807">
        <f t="shared" si="147"/>
        <v>0</v>
      </c>
      <c r="R584" s="807">
        <f t="shared" si="147"/>
        <v>0</v>
      </c>
      <c r="S584" s="807">
        <f t="shared" si="147"/>
        <v>0</v>
      </c>
      <c r="T584" s="807">
        <f t="shared" si="147"/>
        <v>0</v>
      </c>
      <c r="U584" s="807">
        <f t="shared" si="147"/>
        <v>0</v>
      </c>
      <c r="V584" s="807">
        <f t="shared" si="147"/>
        <v>1388360000</v>
      </c>
      <c r="W584" s="807">
        <f t="shared" si="147"/>
        <v>1255558000</v>
      </c>
      <c r="X584" s="807">
        <f t="shared" si="147"/>
        <v>3757079000</v>
      </c>
    </row>
    <row r="585" spans="1:24" s="658" customFormat="1">
      <c r="A585" s="803" t="s">
        <v>1088</v>
      </c>
      <c r="B585" s="785" t="s">
        <v>2223</v>
      </c>
      <c r="C585" s="779" t="s">
        <v>777</v>
      </c>
      <c r="D585" s="780" t="s">
        <v>2224</v>
      </c>
      <c r="E585" s="804">
        <v>162968153000</v>
      </c>
      <c r="F585" s="804">
        <v>2404012000</v>
      </c>
      <c r="G585" s="804">
        <v>1290851000</v>
      </c>
      <c r="H585" s="804">
        <v>0</v>
      </c>
      <c r="I585" s="804">
        <v>1225293000</v>
      </c>
      <c r="J585" s="804">
        <v>1358000000</v>
      </c>
      <c r="K585" s="804">
        <f t="shared" ref="K585:K634" si="148">L585+M585</f>
        <v>1353067000</v>
      </c>
      <c r="L585" s="804">
        <v>163067000</v>
      </c>
      <c r="M585" s="804">
        <v>1190000000</v>
      </c>
      <c r="N585" s="804"/>
      <c r="O585" s="804">
        <f t="shared" ref="O585:O604" si="149">J585-K585-N585</f>
        <v>4933000</v>
      </c>
      <c r="P585" s="804"/>
      <c r="Q585" s="804">
        <f t="shared" si="146"/>
        <v>0</v>
      </c>
      <c r="R585" s="804"/>
      <c r="S585" s="804"/>
      <c r="T585" s="804"/>
      <c r="U585" s="747">
        <f t="shared" si="145"/>
        <v>0</v>
      </c>
      <c r="V585" s="747">
        <f t="shared" si="134"/>
        <v>1388360000</v>
      </c>
      <c r="W585" s="747">
        <f>G585-H585-I585+M585+S585</f>
        <v>1255558000</v>
      </c>
      <c r="X585" s="747">
        <f t="shared" si="136"/>
        <v>3757079000</v>
      </c>
    </row>
    <row r="586" spans="1:24" s="693" customFormat="1">
      <c r="A586" s="732" t="s">
        <v>2225</v>
      </c>
      <c r="B586" s="797" t="s">
        <v>2226</v>
      </c>
      <c r="C586" s="837"/>
      <c r="D586" s="838"/>
      <c r="E586" s="735">
        <f>E587+E622</f>
        <v>1106983368466</v>
      </c>
      <c r="F586" s="735">
        <f>F587+F622</f>
        <v>65298762588</v>
      </c>
      <c r="G586" s="735">
        <f t="shared" ref="G586:X586" si="150">G587+G622</f>
        <v>22323852000</v>
      </c>
      <c r="H586" s="735">
        <f t="shared" si="150"/>
        <v>2780110000</v>
      </c>
      <c r="I586" s="735">
        <f t="shared" si="150"/>
        <v>16921270000</v>
      </c>
      <c r="J586" s="735">
        <f t="shared" si="150"/>
        <v>0</v>
      </c>
      <c r="K586" s="735">
        <f t="shared" si="150"/>
        <v>0</v>
      </c>
      <c r="L586" s="735">
        <f t="shared" si="150"/>
        <v>0</v>
      </c>
      <c r="M586" s="735">
        <f t="shared" si="150"/>
        <v>0</v>
      </c>
      <c r="N586" s="735">
        <f t="shared" si="150"/>
        <v>0</v>
      </c>
      <c r="O586" s="735">
        <f t="shared" si="150"/>
        <v>0</v>
      </c>
      <c r="P586" s="735">
        <f t="shared" si="150"/>
        <v>101396000000</v>
      </c>
      <c r="Q586" s="735">
        <f t="shared" si="150"/>
        <v>100632930882</v>
      </c>
      <c r="R586" s="735">
        <f t="shared" si="150"/>
        <v>95923547882</v>
      </c>
      <c r="S586" s="735">
        <f t="shared" si="150"/>
        <v>4709383000</v>
      </c>
      <c r="T586" s="735">
        <f t="shared" si="150"/>
        <v>402047118</v>
      </c>
      <c r="U586" s="735">
        <f t="shared" si="150"/>
        <v>361022000</v>
      </c>
      <c r="V586" s="735">
        <f t="shared" si="150"/>
        <v>112844817882</v>
      </c>
      <c r="W586" s="735">
        <f t="shared" si="150"/>
        <v>7331855000</v>
      </c>
      <c r="X586" s="735">
        <f t="shared" si="150"/>
        <v>163151583470</v>
      </c>
    </row>
    <row r="587" spans="1:24" s="658" customFormat="1">
      <c r="A587" s="836" t="s">
        <v>57</v>
      </c>
      <c r="B587" s="775" t="s">
        <v>2227</v>
      </c>
      <c r="C587" s="781"/>
      <c r="D587" s="782"/>
      <c r="E587" s="807">
        <f>E588+E590</f>
        <v>1051766031466</v>
      </c>
      <c r="F587" s="807">
        <f>F588+F590</f>
        <v>53203862000</v>
      </c>
      <c r="G587" s="807">
        <f t="shared" ref="G587:W587" si="151">G588+G590</f>
        <v>15238120000</v>
      </c>
      <c r="H587" s="807">
        <f t="shared" si="151"/>
        <v>0</v>
      </c>
      <c r="I587" s="807">
        <f t="shared" si="151"/>
        <v>14281412000</v>
      </c>
      <c r="J587" s="807">
        <f t="shared" si="151"/>
        <v>0</v>
      </c>
      <c r="K587" s="807">
        <f t="shared" si="151"/>
        <v>0</v>
      </c>
      <c r="L587" s="807">
        <f t="shared" si="151"/>
        <v>0</v>
      </c>
      <c r="M587" s="807">
        <f t="shared" si="151"/>
        <v>0</v>
      </c>
      <c r="N587" s="807">
        <f t="shared" si="151"/>
        <v>0</v>
      </c>
      <c r="O587" s="807">
        <f t="shared" si="151"/>
        <v>0</v>
      </c>
      <c r="P587" s="807">
        <f t="shared" si="151"/>
        <v>97417000000</v>
      </c>
      <c r="Q587" s="807">
        <f t="shared" si="151"/>
        <v>96716788882</v>
      </c>
      <c r="R587" s="807">
        <f t="shared" si="151"/>
        <v>92007405882</v>
      </c>
      <c r="S587" s="807">
        <f t="shared" si="151"/>
        <v>4709383000</v>
      </c>
      <c r="T587" s="807">
        <f t="shared" si="151"/>
        <v>339189118</v>
      </c>
      <c r="U587" s="807">
        <f t="shared" si="151"/>
        <v>361022000</v>
      </c>
      <c r="V587" s="807">
        <f t="shared" si="151"/>
        <v>106288817882</v>
      </c>
      <c r="W587" s="807">
        <f t="shared" si="151"/>
        <v>5666091000</v>
      </c>
      <c r="X587" s="807">
        <f>X588+X590</f>
        <v>149920650882</v>
      </c>
    </row>
    <row r="588" spans="1:24" s="663" customFormat="1" ht="31.5">
      <c r="A588" s="766" t="s">
        <v>108</v>
      </c>
      <c r="B588" s="760" t="s">
        <v>2228</v>
      </c>
      <c r="C588" s="788"/>
      <c r="D588" s="739"/>
      <c r="E588" s="799">
        <f>E589</f>
        <v>56400000000</v>
      </c>
      <c r="F588" s="799">
        <f t="shared" ref="F588:X588" si="152">F589</f>
        <v>277367000</v>
      </c>
      <c r="G588" s="799">
        <f t="shared" si="152"/>
        <v>0</v>
      </c>
      <c r="H588" s="799">
        <f t="shared" si="152"/>
        <v>0</v>
      </c>
      <c r="I588" s="799">
        <f t="shared" si="152"/>
        <v>0</v>
      </c>
      <c r="J588" s="799">
        <f t="shared" si="152"/>
        <v>0</v>
      </c>
      <c r="K588" s="799">
        <f t="shared" si="152"/>
        <v>0</v>
      </c>
      <c r="L588" s="799">
        <f t="shared" si="152"/>
        <v>0</v>
      </c>
      <c r="M588" s="799">
        <f t="shared" si="152"/>
        <v>0</v>
      </c>
      <c r="N588" s="799">
        <f t="shared" si="152"/>
        <v>0</v>
      </c>
      <c r="O588" s="799">
        <f t="shared" si="152"/>
        <v>0</v>
      </c>
      <c r="P588" s="799">
        <f t="shared" si="152"/>
        <v>2500000000</v>
      </c>
      <c r="Q588" s="799">
        <f t="shared" si="152"/>
        <v>2399208000</v>
      </c>
      <c r="R588" s="799">
        <f t="shared" si="152"/>
        <v>299208000</v>
      </c>
      <c r="S588" s="799">
        <f t="shared" si="152"/>
        <v>2100000000</v>
      </c>
      <c r="T588" s="799">
        <f t="shared" si="152"/>
        <v>0</v>
      </c>
      <c r="U588" s="799">
        <f t="shared" si="152"/>
        <v>100792000</v>
      </c>
      <c r="V588" s="799">
        <f t="shared" si="152"/>
        <v>299208000</v>
      </c>
      <c r="W588" s="799">
        <f t="shared" si="152"/>
        <v>2100000000</v>
      </c>
      <c r="X588" s="799">
        <f t="shared" si="152"/>
        <v>2676575000</v>
      </c>
    </row>
    <row r="589" spans="1:24" s="658" customFormat="1" ht="22.5">
      <c r="A589" s="803" t="s">
        <v>1088</v>
      </c>
      <c r="B589" s="785" t="s">
        <v>2229</v>
      </c>
      <c r="C589" s="779" t="s">
        <v>777</v>
      </c>
      <c r="D589" s="780" t="s">
        <v>2230</v>
      </c>
      <c r="E589" s="804">
        <v>56400000000</v>
      </c>
      <c r="F589" s="804">
        <v>277367000</v>
      </c>
      <c r="G589" s="804"/>
      <c r="H589" s="804"/>
      <c r="I589" s="804"/>
      <c r="J589" s="804"/>
      <c r="K589" s="804">
        <f t="shared" si="148"/>
        <v>0</v>
      </c>
      <c r="L589" s="804"/>
      <c r="M589" s="804"/>
      <c r="N589" s="804"/>
      <c r="O589" s="804">
        <f t="shared" si="149"/>
        <v>0</v>
      </c>
      <c r="P589" s="804">
        <v>2500000000</v>
      </c>
      <c r="Q589" s="804">
        <f t="shared" si="146"/>
        <v>2399208000</v>
      </c>
      <c r="R589" s="804">
        <v>299208000</v>
      </c>
      <c r="S589" s="804">
        <v>2100000000</v>
      </c>
      <c r="T589" s="804">
        <v>0</v>
      </c>
      <c r="U589" s="747">
        <f t="shared" si="145"/>
        <v>100792000</v>
      </c>
      <c r="V589" s="747">
        <f t="shared" si="134"/>
        <v>299208000</v>
      </c>
      <c r="W589" s="747">
        <f>G589-H589-I589+M589+S589</f>
        <v>2100000000</v>
      </c>
      <c r="X589" s="747">
        <f t="shared" si="136"/>
        <v>2676575000</v>
      </c>
    </row>
    <row r="590" spans="1:24" s="658" customFormat="1" ht="31.5">
      <c r="A590" s="766" t="s">
        <v>109</v>
      </c>
      <c r="B590" s="760" t="s">
        <v>2231</v>
      </c>
      <c r="C590" s="779"/>
      <c r="D590" s="839"/>
      <c r="E590" s="799">
        <f>SUM(E591:E621)</f>
        <v>995366031466</v>
      </c>
      <c r="F590" s="799">
        <f>SUM(F591:F621)</f>
        <v>52926495000</v>
      </c>
      <c r="G590" s="799">
        <f t="shared" ref="G590:X590" si="153">SUM(G591:G621)</f>
        <v>15238120000</v>
      </c>
      <c r="H590" s="799">
        <f t="shared" si="153"/>
        <v>0</v>
      </c>
      <c r="I590" s="799">
        <f t="shared" si="153"/>
        <v>14281412000</v>
      </c>
      <c r="J590" s="799">
        <f t="shared" si="153"/>
        <v>0</v>
      </c>
      <c r="K590" s="799">
        <f t="shared" si="153"/>
        <v>0</v>
      </c>
      <c r="L590" s="799">
        <f t="shared" si="153"/>
        <v>0</v>
      </c>
      <c r="M590" s="799">
        <f t="shared" si="153"/>
        <v>0</v>
      </c>
      <c r="N590" s="799">
        <f t="shared" si="153"/>
        <v>0</v>
      </c>
      <c r="O590" s="799">
        <f t="shared" si="153"/>
        <v>0</v>
      </c>
      <c r="P590" s="799">
        <f t="shared" si="153"/>
        <v>94917000000</v>
      </c>
      <c r="Q590" s="799">
        <f t="shared" si="153"/>
        <v>94317580882</v>
      </c>
      <c r="R590" s="799">
        <f t="shared" si="153"/>
        <v>91708197882</v>
      </c>
      <c r="S590" s="799">
        <f t="shared" si="153"/>
        <v>2609383000</v>
      </c>
      <c r="T590" s="799">
        <f t="shared" si="153"/>
        <v>339189118</v>
      </c>
      <c r="U590" s="799">
        <f t="shared" si="153"/>
        <v>260230000</v>
      </c>
      <c r="V590" s="799">
        <f t="shared" si="153"/>
        <v>105989609882</v>
      </c>
      <c r="W590" s="799">
        <f t="shared" si="153"/>
        <v>3566091000</v>
      </c>
      <c r="X590" s="799">
        <f t="shared" si="153"/>
        <v>147244075882</v>
      </c>
    </row>
    <row r="591" spans="1:24" s="658" customFormat="1" ht="22.5">
      <c r="A591" s="803" t="s">
        <v>104</v>
      </c>
      <c r="B591" s="745" t="s">
        <v>2232</v>
      </c>
      <c r="C591" s="779" t="s">
        <v>777</v>
      </c>
      <c r="D591" s="780" t="s">
        <v>467</v>
      </c>
      <c r="E591" s="804">
        <v>14987585698</v>
      </c>
      <c r="F591" s="804">
        <v>3184000000</v>
      </c>
      <c r="G591" s="804">
        <v>3184000000</v>
      </c>
      <c r="H591" s="804"/>
      <c r="I591" s="804">
        <v>3184000000</v>
      </c>
      <c r="J591" s="804"/>
      <c r="K591" s="804">
        <f t="shared" si="148"/>
        <v>0</v>
      </c>
      <c r="L591" s="804"/>
      <c r="M591" s="804"/>
      <c r="N591" s="804"/>
      <c r="O591" s="804">
        <f t="shared" si="149"/>
        <v>0</v>
      </c>
      <c r="P591" s="804">
        <v>5093000000</v>
      </c>
      <c r="Q591" s="804">
        <f t="shared" si="146"/>
        <v>5085564000</v>
      </c>
      <c r="R591" s="804">
        <v>5085564000</v>
      </c>
      <c r="S591" s="804"/>
      <c r="T591" s="804">
        <v>7436000</v>
      </c>
      <c r="U591" s="747">
        <f t="shared" si="145"/>
        <v>0</v>
      </c>
      <c r="V591" s="747">
        <f t="shared" ref="V591:V653" si="154">I591+L591+R591</f>
        <v>8269564000</v>
      </c>
      <c r="W591" s="747"/>
      <c r="X591" s="747">
        <f t="shared" ref="X591:X653" si="155">F591+K591+Q591</f>
        <v>8269564000</v>
      </c>
    </row>
    <row r="592" spans="1:24" s="658" customFormat="1" ht="23.25">
      <c r="A592" s="803" t="s">
        <v>105</v>
      </c>
      <c r="B592" s="840" t="s">
        <v>2233</v>
      </c>
      <c r="C592" s="779" t="s">
        <v>777</v>
      </c>
      <c r="D592" s="780" t="s">
        <v>2234</v>
      </c>
      <c r="E592" s="804">
        <v>274113130929</v>
      </c>
      <c r="F592" s="804"/>
      <c r="G592" s="804"/>
      <c r="H592" s="804"/>
      <c r="I592" s="804"/>
      <c r="J592" s="804"/>
      <c r="K592" s="804">
        <f t="shared" si="148"/>
        <v>0</v>
      </c>
      <c r="L592" s="804"/>
      <c r="M592" s="804"/>
      <c r="N592" s="804"/>
      <c r="O592" s="804">
        <f t="shared" si="149"/>
        <v>0</v>
      </c>
      <c r="P592" s="804">
        <v>5448000000</v>
      </c>
      <c r="Q592" s="804">
        <f t="shared" si="146"/>
        <v>5448000000</v>
      </c>
      <c r="R592" s="804">
        <v>5448000000</v>
      </c>
      <c r="S592" s="804"/>
      <c r="T592" s="804"/>
      <c r="U592" s="747">
        <f t="shared" si="145"/>
        <v>0</v>
      </c>
      <c r="V592" s="747">
        <f t="shared" si="154"/>
        <v>5448000000</v>
      </c>
      <c r="W592" s="747"/>
      <c r="X592" s="747">
        <f t="shared" si="155"/>
        <v>5448000000</v>
      </c>
    </row>
    <row r="593" spans="1:24" s="658" customFormat="1">
      <c r="A593" s="778">
        <v>3</v>
      </c>
      <c r="B593" s="745" t="s">
        <v>778</v>
      </c>
      <c r="C593" s="779"/>
      <c r="D593" s="821"/>
      <c r="E593" s="804"/>
      <c r="F593" s="804"/>
      <c r="G593" s="804"/>
      <c r="H593" s="804"/>
      <c r="I593" s="804"/>
      <c r="J593" s="804"/>
      <c r="K593" s="804">
        <f t="shared" si="148"/>
        <v>0</v>
      </c>
      <c r="L593" s="804"/>
      <c r="M593" s="804"/>
      <c r="N593" s="804"/>
      <c r="O593" s="804">
        <f t="shared" si="149"/>
        <v>0</v>
      </c>
      <c r="P593" s="804"/>
      <c r="Q593" s="804">
        <f t="shared" si="146"/>
        <v>0</v>
      </c>
      <c r="R593" s="804"/>
      <c r="S593" s="804"/>
      <c r="T593" s="804"/>
      <c r="U593" s="747">
        <f t="shared" si="145"/>
        <v>0</v>
      </c>
      <c r="V593" s="747"/>
      <c r="W593" s="747"/>
      <c r="X593" s="747"/>
    </row>
    <row r="594" spans="1:24" s="658" customFormat="1">
      <c r="A594" s="767"/>
      <c r="B594" s="762" t="s">
        <v>2235</v>
      </c>
      <c r="C594" s="769"/>
      <c r="D594" s="815"/>
      <c r="E594" s="810"/>
      <c r="F594" s="810"/>
      <c r="G594" s="810"/>
      <c r="H594" s="810"/>
      <c r="I594" s="810"/>
      <c r="J594" s="810"/>
      <c r="K594" s="804">
        <f t="shared" si="148"/>
        <v>0</v>
      </c>
      <c r="L594" s="810"/>
      <c r="M594" s="810"/>
      <c r="N594" s="810"/>
      <c r="O594" s="804">
        <f t="shared" si="149"/>
        <v>0</v>
      </c>
      <c r="P594" s="810"/>
      <c r="Q594" s="804">
        <f t="shared" si="146"/>
        <v>0</v>
      </c>
      <c r="R594" s="810"/>
      <c r="S594" s="810"/>
      <c r="T594" s="810"/>
      <c r="U594" s="747">
        <f t="shared" si="145"/>
        <v>0</v>
      </c>
      <c r="V594" s="747"/>
      <c r="W594" s="747"/>
      <c r="X594" s="747"/>
    </row>
    <row r="595" spans="1:24" s="658" customFormat="1" ht="23.25">
      <c r="A595" s="809" t="s">
        <v>1088</v>
      </c>
      <c r="B595" s="840" t="s">
        <v>2236</v>
      </c>
      <c r="C595" s="769" t="s">
        <v>777</v>
      </c>
      <c r="D595" s="770" t="s">
        <v>2237</v>
      </c>
      <c r="E595" s="810">
        <v>1950661000</v>
      </c>
      <c r="F595" s="810"/>
      <c r="G595" s="810"/>
      <c r="H595" s="810"/>
      <c r="I595" s="810"/>
      <c r="J595" s="810"/>
      <c r="K595" s="804">
        <f t="shared" si="148"/>
        <v>0</v>
      </c>
      <c r="L595" s="810"/>
      <c r="M595" s="810"/>
      <c r="N595" s="810"/>
      <c r="O595" s="804">
        <f t="shared" si="149"/>
        <v>0</v>
      </c>
      <c r="P595" s="810">
        <v>163000000</v>
      </c>
      <c r="Q595" s="804">
        <f t="shared" si="146"/>
        <v>162166000</v>
      </c>
      <c r="R595" s="810">
        <v>162166000</v>
      </c>
      <c r="S595" s="810"/>
      <c r="T595" s="810">
        <v>0</v>
      </c>
      <c r="U595" s="747">
        <f t="shared" si="145"/>
        <v>834000</v>
      </c>
      <c r="V595" s="747">
        <f t="shared" si="154"/>
        <v>162166000</v>
      </c>
      <c r="W595" s="747"/>
      <c r="X595" s="747">
        <f t="shared" si="155"/>
        <v>162166000</v>
      </c>
    </row>
    <row r="596" spans="1:24" s="658" customFormat="1" ht="23.25">
      <c r="A596" s="809" t="s">
        <v>1088</v>
      </c>
      <c r="B596" s="840" t="s">
        <v>2238</v>
      </c>
      <c r="C596" s="769" t="s">
        <v>777</v>
      </c>
      <c r="D596" s="770" t="s">
        <v>2239</v>
      </c>
      <c r="E596" s="810">
        <v>4251250000</v>
      </c>
      <c r="F596" s="810"/>
      <c r="G596" s="810"/>
      <c r="H596" s="810"/>
      <c r="I596" s="810"/>
      <c r="J596" s="810"/>
      <c r="K596" s="804">
        <f t="shared" si="148"/>
        <v>0</v>
      </c>
      <c r="L596" s="810"/>
      <c r="M596" s="810"/>
      <c r="N596" s="810"/>
      <c r="O596" s="804">
        <f t="shared" si="149"/>
        <v>0</v>
      </c>
      <c r="P596" s="810">
        <v>108000000</v>
      </c>
      <c r="Q596" s="804">
        <f t="shared" si="146"/>
        <v>107994000</v>
      </c>
      <c r="R596" s="810">
        <v>107994000</v>
      </c>
      <c r="S596" s="810"/>
      <c r="T596" s="810">
        <v>0</v>
      </c>
      <c r="U596" s="747">
        <f t="shared" si="145"/>
        <v>6000</v>
      </c>
      <c r="V596" s="747">
        <f t="shared" si="154"/>
        <v>107994000</v>
      </c>
      <c r="W596" s="747"/>
      <c r="X596" s="747">
        <f t="shared" si="155"/>
        <v>107994000</v>
      </c>
    </row>
    <row r="597" spans="1:24" s="658" customFormat="1" ht="23.25">
      <c r="A597" s="809" t="s">
        <v>1088</v>
      </c>
      <c r="B597" s="840" t="s">
        <v>2240</v>
      </c>
      <c r="C597" s="769" t="s">
        <v>777</v>
      </c>
      <c r="D597" s="770" t="s">
        <v>2241</v>
      </c>
      <c r="E597" s="810">
        <v>5967809000</v>
      </c>
      <c r="F597" s="810"/>
      <c r="G597" s="810"/>
      <c r="H597" s="810"/>
      <c r="I597" s="810"/>
      <c r="J597" s="810"/>
      <c r="K597" s="804">
        <f t="shared" si="148"/>
        <v>0</v>
      </c>
      <c r="L597" s="810"/>
      <c r="M597" s="810"/>
      <c r="N597" s="810"/>
      <c r="O597" s="804">
        <f t="shared" si="149"/>
        <v>0</v>
      </c>
      <c r="P597" s="810">
        <v>336000000</v>
      </c>
      <c r="Q597" s="804">
        <f t="shared" si="146"/>
        <v>335699000</v>
      </c>
      <c r="R597" s="810">
        <v>335699000</v>
      </c>
      <c r="S597" s="810"/>
      <c r="T597" s="810">
        <v>0</v>
      </c>
      <c r="U597" s="747">
        <f t="shared" si="145"/>
        <v>301000</v>
      </c>
      <c r="V597" s="747">
        <f t="shared" si="154"/>
        <v>335699000</v>
      </c>
      <c r="W597" s="747"/>
      <c r="X597" s="747">
        <f t="shared" si="155"/>
        <v>335699000</v>
      </c>
    </row>
    <row r="598" spans="1:24" s="658" customFormat="1" ht="23.25">
      <c r="A598" s="809" t="s">
        <v>1088</v>
      </c>
      <c r="B598" s="840" t="s">
        <v>2242</v>
      </c>
      <c r="C598" s="769" t="s">
        <v>777</v>
      </c>
      <c r="D598" s="770" t="s">
        <v>2243</v>
      </c>
      <c r="E598" s="810">
        <v>7170850000</v>
      </c>
      <c r="F598" s="810"/>
      <c r="G598" s="810"/>
      <c r="H598" s="810"/>
      <c r="I598" s="810"/>
      <c r="J598" s="810"/>
      <c r="K598" s="804">
        <f t="shared" si="148"/>
        <v>0</v>
      </c>
      <c r="L598" s="810"/>
      <c r="M598" s="810"/>
      <c r="N598" s="810"/>
      <c r="O598" s="804">
        <f t="shared" si="149"/>
        <v>0</v>
      </c>
      <c r="P598" s="810">
        <v>629000000</v>
      </c>
      <c r="Q598" s="804">
        <f t="shared" si="146"/>
        <v>628758000</v>
      </c>
      <c r="R598" s="810">
        <v>628758000</v>
      </c>
      <c r="S598" s="810"/>
      <c r="T598" s="810">
        <v>0</v>
      </c>
      <c r="U598" s="747">
        <f t="shared" si="145"/>
        <v>242000</v>
      </c>
      <c r="V598" s="747">
        <f t="shared" si="154"/>
        <v>628758000</v>
      </c>
      <c r="W598" s="747"/>
      <c r="X598" s="747">
        <f t="shared" si="155"/>
        <v>628758000</v>
      </c>
    </row>
    <row r="599" spans="1:24" s="658" customFormat="1" ht="23.25">
      <c r="A599" s="809" t="s">
        <v>1088</v>
      </c>
      <c r="B599" s="840" t="s">
        <v>2244</v>
      </c>
      <c r="C599" s="769" t="s">
        <v>777</v>
      </c>
      <c r="D599" s="770" t="s">
        <v>2245</v>
      </c>
      <c r="E599" s="810">
        <v>9794665000</v>
      </c>
      <c r="F599" s="810"/>
      <c r="G599" s="810"/>
      <c r="H599" s="810"/>
      <c r="I599" s="810"/>
      <c r="J599" s="810"/>
      <c r="K599" s="804">
        <f t="shared" si="148"/>
        <v>0</v>
      </c>
      <c r="L599" s="810"/>
      <c r="M599" s="810"/>
      <c r="N599" s="810"/>
      <c r="O599" s="804">
        <f t="shared" si="149"/>
        <v>0</v>
      </c>
      <c r="P599" s="810">
        <v>1528000000</v>
      </c>
      <c r="Q599" s="804">
        <f t="shared" si="146"/>
        <v>1527221000</v>
      </c>
      <c r="R599" s="810">
        <v>1527221000</v>
      </c>
      <c r="S599" s="810"/>
      <c r="T599" s="810">
        <v>0</v>
      </c>
      <c r="U599" s="747">
        <f t="shared" si="145"/>
        <v>779000</v>
      </c>
      <c r="V599" s="747">
        <f t="shared" si="154"/>
        <v>1527221000</v>
      </c>
      <c r="W599" s="747"/>
      <c r="X599" s="747">
        <f t="shared" si="155"/>
        <v>1527221000</v>
      </c>
    </row>
    <row r="600" spans="1:24" s="658" customFormat="1" ht="23.25">
      <c r="A600" s="809" t="s">
        <v>1088</v>
      </c>
      <c r="B600" s="840" t="s">
        <v>2246</v>
      </c>
      <c r="C600" s="769" t="s">
        <v>777</v>
      </c>
      <c r="D600" s="770" t="s">
        <v>2247</v>
      </c>
      <c r="E600" s="810">
        <v>8233207000</v>
      </c>
      <c r="F600" s="810"/>
      <c r="G600" s="810"/>
      <c r="H600" s="810"/>
      <c r="I600" s="810"/>
      <c r="J600" s="810"/>
      <c r="K600" s="804">
        <f t="shared" si="148"/>
        <v>0</v>
      </c>
      <c r="L600" s="810"/>
      <c r="M600" s="810"/>
      <c r="N600" s="810"/>
      <c r="O600" s="804">
        <f t="shared" si="149"/>
        <v>0</v>
      </c>
      <c r="P600" s="810">
        <v>620000000</v>
      </c>
      <c r="Q600" s="804">
        <f t="shared" si="146"/>
        <v>619501000</v>
      </c>
      <c r="R600" s="810">
        <v>619501000</v>
      </c>
      <c r="S600" s="810"/>
      <c r="T600" s="810">
        <v>0</v>
      </c>
      <c r="U600" s="747">
        <f t="shared" si="145"/>
        <v>499000</v>
      </c>
      <c r="V600" s="747">
        <f t="shared" si="154"/>
        <v>619501000</v>
      </c>
      <c r="W600" s="747"/>
      <c r="X600" s="747">
        <f t="shared" si="155"/>
        <v>619501000</v>
      </c>
    </row>
    <row r="601" spans="1:24" s="658" customFormat="1" ht="23.25">
      <c r="A601" s="809" t="s">
        <v>1088</v>
      </c>
      <c r="B601" s="840" t="s">
        <v>2248</v>
      </c>
      <c r="C601" s="769" t="s">
        <v>777</v>
      </c>
      <c r="D601" s="770" t="s">
        <v>2249</v>
      </c>
      <c r="E601" s="810">
        <v>8306259000</v>
      </c>
      <c r="F601" s="810"/>
      <c r="G601" s="810"/>
      <c r="H601" s="810"/>
      <c r="I601" s="810"/>
      <c r="J601" s="810"/>
      <c r="K601" s="804">
        <f t="shared" si="148"/>
        <v>0</v>
      </c>
      <c r="L601" s="810"/>
      <c r="M601" s="810"/>
      <c r="N601" s="810"/>
      <c r="O601" s="804">
        <f t="shared" si="149"/>
        <v>0</v>
      </c>
      <c r="P601" s="810">
        <v>1130000000</v>
      </c>
      <c r="Q601" s="804">
        <f t="shared" si="146"/>
        <v>1129342000</v>
      </c>
      <c r="R601" s="810">
        <v>1129342000</v>
      </c>
      <c r="S601" s="810"/>
      <c r="T601" s="810">
        <v>0</v>
      </c>
      <c r="U601" s="747">
        <f t="shared" si="145"/>
        <v>658000</v>
      </c>
      <c r="V601" s="747">
        <f t="shared" si="154"/>
        <v>1129342000</v>
      </c>
      <c r="W601" s="747"/>
      <c r="X601" s="747">
        <f t="shared" si="155"/>
        <v>1129342000</v>
      </c>
    </row>
    <row r="602" spans="1:24" s="658" customFormat="1" ht="34.5">
      <c r="A602" s="803" t="s">
        <v>128</v>
      </c>
      <c r="B602" s="840" t="s">
        <v>2250</v>
      </c>
      <c r="C602" s="779" t="s">
        <v>777</v>
      </c>
      <c r="D602" s="780" t="s">
        <v>2251</v>
      </c>
      <c r="E602" s="804">
        <v>19345006934</v>
      </c>
      <c r="F602" s="804">
        <v>2000000000</v>
      </c>
      <c r="G602" s="804">
        <v>58206000</v>
      </c>
      <c r="H602" s="804"/>
      <c r="I602" s="804"/>
      <c r="J602" s="804"/>
      <c r="K602" s="804">
        <f t="shared" si="148"/>
        <v>0</v>
      </c>
      <c r="L602" s="804"/>
      <c r="M602" s="804"/>
      <c r="N602" s="804"/>
      <c r="O602" s="804">
        <f t="shared" si="149"/>
        <v>0</v>
      </c>
      <c r="P602" s="804">
        <v>1000000000</v>
      </c>
      <c r="Q602" s="804">
        <f t="shared" si="146"/>
        <v>734602223</v>
      </c>
      <c r="R602" s="804">
        <v>734602223</v>
      </c>
      <c r="S602" s="804"/>
      <c r="T602" s="804">
        <v>265397777</v>
      </c>
      <c r="U602" s="747">
        <f t="shared" si="145"/>
        <v>0</v>
      </c>
      <c r="V602" s="747">
        <f t="shared" si="154"/>
        <v>734602223</v>
      </c>
      <c r="W602" s="747">
        <f>G602-H602-I602+M602+S602</f>
        <v>58206000</v>
      </c>
      <c r="X602" s="747">
        <f t="shared" si="155"/>
        <v>2734602223</v>
      </c>
    </row>
    <row r="603" spans="1:24" s="658" customFormat="1">
      <c r="A603" s="803" t="s">
        <v>359</v>
      </c>
      <c r="B603" s="840" t="s">
        <v>2252</v>
      </c>
      <c r="C603" s="779" t="s">
        <v>777</v>
      </c>
      <c r="D603" s="780" t="s">
        <v>2253</v>
      </c>
      <c r="E603" s="804">
        <v>63060304000</v>
      </c>
      <c r="F603" s="804"/>
      <c r="G603" s="804"/>
      <c r="H603" s="804"/>
      <c r="I603" s="804"/>
      <c r="J603" s="804"/>
      <c r="K603" s="804">
        <f t="shared" si="148"/>
        <v>0</v>
      </c>
      <c r="L603" s="804"/>
      <c r="M603" s="804"/>
      <c r="N603" s="804"/>
      <c r="O603" s="804">
        <f t="shared" si="149"/>
        <v>0</v>
      </c>
      <c r="P603" s="804">
        <v>2000000000</v>
      </c>
      <c r="Q603" s="804">
        <f t="shared" si="146"/>
        <v>2000000000</v>
      </c>
      <c r="R603" s="804">
        <v>1468278000</v>
      </c>
      <c r="S603" s="804">
        <v>531722000</v>
      </c>
      <c r="T603" s="804"/>
      <c r="U603" s="747">
        <f t="shared" si="145"/>
        <v>0</v>
      </c>
      <c r="V603" s="747">
        <f t="shared" si="154"/>
        <v>1468278000</v>
      </c>
      <c r="W603" s="747">
        <f>G603-H603-I603+M603+S603</f>
        <v>531722000</v>
      </c>
      <c r="X603" s="747">
        <f t="shared" si="155"/>
        <v>2000000000</v>
      </c>
    </row>
    <row r="604" spans="1:24" s="663" customFormat="1">
      <c r="A604" s="803" t="s">
        <v>107</v>
      </c>
      <c r="B604" s="785" t="s">
        <v>779</v>
      </c>
      <c r="C604" s="779" t="s">
        <v>777</v>
      </c>
      <c r="D604" s="780" t="s">
        <v>2254</v>
      </c>
      <c r="E604" s="804">
        <v>10000000000</v>
      </c>
      <c r="F604" s="804">
        <v>2000000000</v>
      </c>
      <c r="G604" s="804">
        <v>1386181000</v>
      </c>
      <c r="H604" s="804"/>
      <c r="I604" s="804">
        <v>1386181000</v>
      </c>
      <c r="J604" s="804"/>
      <c r="K604" s="804">
        <f t="shared" si="148"/>
        <v>0</v>
      </c>
      <c r="L604" s="804"/>
      <c r="M604" s="804"/>
      <c r="N604" s="804"/>
      <c r="O604" s="804">
        <f t="shared" si="149"/>
        <v>0</v>
      </c>
      <c r="P604" s="804">
        <v>1300000000</v>
      </c>
      <c r="Q604" s="804">
        <f t="shared" si="146"/>
        <v>1300000000</v>
      </c>
      <c r="R604" s="804">
        <v>1300000000</v>
      </c>
      <c r="S604" s="804"/>
      <c r="T604" s="804"/>
      <c r="U604" s="747">
        <f t="shared" si="145"/>
        <v>0</v>
      </c>
      <c r="V604" s="747">
        <f t="shared" si="154"/>
        <v>2686181000</v>
      </c>
      <c r="W604" s="747"/>
      <c r="X604" s="747">
        <f t="shared" si="155"/>
        <v>3300000000</v>
      </c>
    </row>
    <row r="605" spans="1:24" s="658" customFormat="1">
      <c r="A605" s="803" t="s">
        <v>433</v>
      </c>
      <c r="B605" s="785" t="s">
        <v>2255</v>
      </c>
      <c r="C605" s="779" t="s">
        <v>777</v>
      </c>
      <c r="D605" s="780" t="s">
        <v>413</v>
      </c>
      <c r="E605" s="804">
        <v>11685896858</v>
      </c>
      <c r="F605" s="804"/>
      <c r="G605" s="804"/>
      <c r="H605" s="804"/>
      <c r="I605" s="804"/>
      <c r="J605" s="804"/>
      <c r="K605" s="804">
        <f t="shared" si="148"/>
        <v>0</v>
      </c>
      <c r="L605" s="804"/>
      <c r="M605" s="804"/>
      <c r="N605" s="804"/>
      <c r="O605" s="804"/>
      <c r="P605" s="804">
        <v>5500000000</v>
      </c>
      <c r="Q605" s="804">
        <f t="shared" si="146"/>
        <v>5500000000</v>
      </c>
      <c r="R605" s="804">
        <v>5500000000</v>
      </c>
      <c r="S605" s="804"/>
      <c r="T605" s="804"/>
      <c r="U605" s="747">
        <f t="shared" si="145"/>
        <v>0</v>
      </c>
      <c r="V605" s="747">
        <f t="shared" si="154"/>
        <v>5500000000</v>
      </c>
      <c r="W605" s="747"/>
      <c r="X605" s="747">
        <f t="shared" si="155"/>
        <v>5500000000</v>
      </c>
    </row>
    <row r="606" spans="1:24" s="663" customFormat="1" ht="33.75">
      <c r="A606" s="803" t="s">
        <v>434</v>
      </c>
      <c r="B606" s="745" t="s">
        <v>2256</v>
      </c>
      <c r="C606" s="779" t="s">
        <v>777</v>
      </c>
      <c r="D606" s="780" t="s">
        <v>2257</v>
      </c>
      <c r="E606" s="804">
        <v>8045218000</v>
      </c>
      <c r="F606" s="804">
        <v>3496229000</v>
      </c>
      <c r="G606" s="804">
        <v>50000000</v>
      </c>
      <c r="H606" s="804"/>
      <c r="I606" s="804">
        <v>50000000</v>
      </c>
      <c r="J606" s="804"/>
      <c r="K606" s="804">
        <f t="shared" si="148"/>
        <v>0</v>
      </c>
      <c r="L606" s="804"/>
      <c r="M606" s="804"/>
      <c r="N606" s="804"/>
      <c r="O606" s="804"/>
      <c r="P606" s="804">
        <v>3000000000</v>
      </c>
      <c r="Q606" s="804">
        <f t="shared" si="146"/>
        <v>3000000000</v>
      </c>
      <c r="R606" s="804">
        <v>3000000000</v>
      </c>
      <c r="S606" s="804"/>
      <c r="T606" s="804"/>
      <c r="U606" s="747">
        <f t="shared" si="145"/>
        <v>0</v>
      </c>
      <c r="V606" s="747">
        <f t="shared" si="154"/>
        <v>3050000000</v>
      </c>
      <c r="W606" s="747"/>
      <c r="X606" s="747">
        <f t="shared" si="155"/>
        <v>6496229000</v>
      </c>
    </row>
    <row r="607" spans="1:24" s="663" customFormat="1">
      <c r="A607" s="803" t="s">
        <v>436</v>
      </c>
      <c r="B607" s="785" t="s">
        <v>2258</v>
      </c>
      <c r="C607" s="779" t="s">
        <v>777</v>
      </c>
      <c r="D607" s="780" t="s">
        <v>781</v>
      </c>
      <c r="E607" s="804">
        <v>22699816000</v>
      </c>
      <c r="F607" s="804">
        <v>11219000000</v>
      </c>
      <c r="G607" s="804">
        <v>444902000</v>
      </c>
      <c r="H607" s="804"/>
      <c r="I607" s="804">
        <v>146400000</v>
      </c>
      <c r="J607" s="804"/>
      <c r="K607" s="804">
        <f t="shared" si="148"/>
        <v>0</v>
      </c>
      <c r="L607" s="804"/>
      <c r="M607" s="804"/>
      <c r="N607" s="804"/>
      <c r="O607" s="804"/>
      <c r="P607" s="804">
        <v>9340000000</v>
      </c>
      <c r="Q607" s="804">
        <f t="shared" si="146"/>
        <v>9339372000</v>
      </c>
      <c r="R607" s="804">
        <v>9339372000</v>
      </c>
      <c r="S607" s="804"/>
      <c r="T607" s="804">
        <v>0</v>
      </c>
      <c r="U607" s="747">
        <f t="shared" si="145"/>
        <v>628000</v>
      </c>
      <c r="V607" s="747">
        <f t="shared" si="154"/>
        <v>9485772000</v>
      </c>
      <c r="W607" s="747">
        <f>G607-H607-I607+M607+S607</f>
        <v>298502000</v>
      </c>
      <c r="X607" s="747">
        <f t="shared" si="155"/>
        <v>20558372000</v>
      </c>
    </row>
    <row r="608" spans="1:24" s="658" customFormat="1" ht="33.75">
      <c r="A608" s="803" t="s">
        <v>438</v>
      </c>
      <c r="B608" s="745" t="s">
        <v>790</v>
      </c>
      <c r="C608" s="779" t="s">
        <v>777</v>
      </c>
      <c r="D608" s="780" t="s">
        <v>2259</v>
      </c>
      <c r="E608" s="804">
        <v>6054930629</v>
      </c>
      <c r="F608" s="804">
        <v>4000000000</v>
      </c>
      <c r="G608" s="804">
        <v>11000000</v>
      </c>
      <c r="H608" s="804"/>
      <c r="I608" s="804">
        <v>11000000</v>
      </c>
      <c r="J608" s="804"/>
      <c r="K608" s="804">
        <f t="shared" si="148"/>
        <v>0</v>
      </c>
      <c r="L608" s="804"/>
      <c r="M608" s="804"/>
      <c r="N608" s="804"/>
      <c r="O608" s="804"/>
      <c r="P608" s="804">
        <v>1000000000</v>
      </c>
      <c r="Q608" s="804">
        <f t="shared" si="146"/>
        <v>1000000000</v>
      </c>
      <c r="R608" s="804">
        <v>1000000000</v>
      </c>
      <c r="S608" s="804"/>
      <c r="T608" s="804"/>
      <c r="U608" s="747">
        <f t="shared" si="145"/>
        <v>0</v>
      </c>
      <c r="V608" s="747">
        <f t="shared" si="154"/>
        <v>1011000000</v>
      </c>
      <c r="W608" s="747"/>
      <c r="X608" s="747">
        <f t="shared" si="155"/>
        <v>5000000000</v>
      </c>
    </row>
    <row r="609" spans="1:24" s="658" customFormat="1">
      <c r="A609" s="803" t="s">
        <v>440</v>
      </c>
      <c r="B609" s="785" t="s">
        <v>2260</v>
      </c>
      <c r="C609" s="779" t="s">
        <v>777</v>
      </c>
      <c r="D609" s="780" t="s">
        <v>2261</v>
      </c>
      <c r="E609" s="804">
        <v>37167439000</v>
      </c>
      <c r="F609" s="804"/>
      <c r="G609" s="804"/>
      <c r="H609" s="804"/>
      <c r="I609" s="804"/>
      <c r="J609" s="804"/>
      <c r="K609" s="804">
        <f t="shared" si="148"/>
        <v>0</v>
      </c>
      <c r="L609" s="804"/>
      <c r="M609" s="804"/>
      <c r="N609" s="804"/>
      <c r="O609" s="804"/>
      <c r="P609" s="804">
        <v>4359000000</v>
      </c>
      <c r="Q609" s="804">
        <f t="shared" si="146"/>
        <v>4358610000</v>
      </c>
      <c r="R609" s="804">
        <v>4358610000</v>
      </c>
      <c r="S609" s="804"/>
      <c r="T609" s="804">
        <v>0</v>
      </c>
      <c r="U609" s="747">
        <f t="shared" si="145"/>
        <v>390000</v>
      </c>
      <c r="V609" s="747">
        <f t="shared" si="154"/>
        <v>4358610000</v>
      </c>
      <c r="W609" s="747"/>
      <c r="X609" s="747">
        <f t="shared" si="155"/>
        <v>4358610000</v>
      </c>
    </row>
    <row r="610" spans="1:24" s="665" customFormat="1">
      <c r="A610" s="803" t="s">
        <v>441</v>
      </c>
      <c r="B610" s="745" t="s">
        <v>39</v>
      </c>
      <c r="C610" s="779" t="s">
        <v>777</v>
      </c>
      <c r="D610" s="780" t="s">
        <v>2262</v>
      </c>
      <c r="E610" s="804">
        <v>45365421000</v>
      </c>
      <c r="F610" s="804"/>
      <c r="G610" s="804"/>
      <c r="H610" s="804"/>
      <c r="I610" s="804"/>
      <c r="J610" s="804"/>
      <c r="K610" s="804">
        <f t="shared" si="148"/>
        <v>0</v>
      </c>
      <c r="L610" s="804"/>
      <c r="M610" s="804"/>
      <c r="N610" s="804"/>
      <c r="O610" s="804"/>
      <c r="P610" s="804">
        <v>5000000000</v>
      </c>
      <c r="Q610" s="804">
        <f t="shared" si="146"/>
        <v>4971258000</v>
      </c>
      <c r="R610" s="804">
        <v>4971258000</v>
      </c>
      <c r="S610" s="804"/>
      <c r="T610" s="804">
        <v>0</v>
      </c>
      <c r="U610" s="747">
        <f t="shared" si="145"/>
        <v>28742000</v>
      </c>
      <c r="V610" s="747">
        <f t="shared" si="154"/>
        <v>4971258000</v>
      </c>
      <c r="W610" s="747"/>
      <c r="X610" s="747">
        <f t="shared" si="155"/>
        <v>4971258000</v>
      </c>
    </row>
    <row r="611" spans="1:24" s="658" customFormat="1">
      <c r="A611" s="803" t="s">
        <v>442</v>
      </c>
      <c r="B611" s="745" t="s">
        <v>797</v>
      </c>
      <c r="C611" s="779" t="s">
        <v>777</v>
      </c>
      <c r="D611" s="780" t="s">
        <v>2263</v>
      </c>
      <c r="E611" s="804">
        <v>14637066000</v>
      </c>
      <c r="F611" s="804">
        <v>4000000000</v>
      </c>
      <c r="G611" s="804">
        <v>125000000</v>
      </c>
      <c r="H611" s="804"/>
      <c r="I611" s="804">
        <v>125000000</v>
      </c>
      <c r="J611" s="804"/>
      <c r="K611" s="804">
        <f t="shared" si="148"/>
        <v>0</v>
      </c>
      <c r="L611" s="804"/>
      <c r="M611" s="804"/>
      <c r="N611" s="804"/>
      <c r="O611" s="804"/>
      <c r="P611" s="804">
        <v>8000000000</v>
      </c>
      <c r="Q611" s="804">
        <f t="shared" si="146"/>
        <v>8000000000</v>
      </c>
      <c r="R611" s="804">
        <v>8000000000</v>
      </c>
      <c r="S611" s="804"/>
      <c r="T611" s="804"/>
      <c r="U611" s="747">
        <f t="shared" si="145"/>
        <v>0</v>
      </c>
      <c r="V611" s="747">
        <f t="shared" si="154"/>
        <v>8125000000</v>
      </c>
      <c r="W611" s="747"/>
      <c r="X611" s="747">
        <f t="shared" si="155"/>
        <v>12000000000</v>
      </c>
    </row>
    <row r="612" spans="1:24" s="658" customFormat="1">
      <c r="A612" s="803" t="s">
        <v>443</v>
      </c>
      <c r="B612" s="745" t="s">
        <v>420</v>
      </c>
      <c r="C612" s="779" t="s">
        <v>777</v>
      </c>
      <c r="D612" s="780" t="s">
        <v>421</v>
      </c>
      <c r="E612" s="804">
        <v>4671817418</v>
      </c>
      <c r="F612" s="804">
        <v>2500000000</v>
      </c>
      <c r="G612" s="804">
        <v>126520000</v>
      </c>
      <c r="H612" s="804"/>
      <c r="I612" s="804">
        <v>126520000</v>
      </c>
      <c r="J612" s="804"/>
      <c r="K612" s="804">
        <f t="shared" si="148"/>
        <v>0</v>
      </c>
      <c r="L612" s="804"/>
      <c r="M612" s="804"/>
      <c r="N612" s="804"/>
      <c r="O612" s="804"/>
      <c r="P612" s="804">
        <v>3679000000</v>
      </c>
      <c r="Q612" s="804">
        <f t="shared" si="146"/>
        <v>3678462659</v>
      </c>
      <c r="R612" s="804">
        <v>3678462659</v>
      </c>
      <c r="S612" s="804"/>
      <c r="T612" s="804">
        <v>537341</v>
      </c>
      <c r="U612" s="747">
        <f t="shared" si="145"/>
        <v>0</v>
      </c>
      <c r="V612" s="747">
        <f t="shared" si="154"/>
        <v>3804982659</v>
      </c>
      <c r="W612" s="747"/>
      <c r="X612" s="747">
        <f t="shared" si="155"/>
        <v>6178462659</v>
      </c>
    </row>
    <row r="613" spans="1:24" s="658" customFormat="1" ht="22.5">
      <c r="A613" s="803" t="s">
        <v>445</v>
      </c>
      <c r="B613" s="745" t="s">
        <v>2264</v>
      </c>
      <c r="C613" s="779" t="s">
        <v>777</v>
      </c>
      <c r="D613" s="780" t="s">
        <v>2265</v>
      </c>
      <c r="E613" s="804">
        <v>13650000000</v>
      </c>
      <c r="F613" s="804">
        <v>4020000000</v>
      </c>
      <c r="G613" s="804">
        <v>1987129000</v>
      </c>
      <c r="H613" s="804"/>
      <c r="I613" s="804">
        <v>1987129000</v>
      </c>
      <c r="J613" s="804"/>
      <c r="K613" s="804">
        <f t="shared" si="148"/>
        <v>0</v>
      </c>
      <c r="L613" s="804"/>
      <c r="M613" s="804"/>
      <c r="N613" s="804"/>
      <c r="O613" s="804"/>
      <c r="P613" s="804">
        <v>5535000000</v>
      </c>
      <c r="Q613" s="804">
        <f t="shared" si="146"/>
        <v>5535000000</v>
      </c>
      <c r="R613" s="804">
        <v>5535000000</v>
      </c>
      <c r="S613" s="804"/>
      <c r="T613" s="804"/>
      <c r="U613" s="747">
        <f t="shared" si="145"/>
        <v>0</v>
      </c>
      <c r="V613" s="747">
        <f t="shared" si="154"/>
        <v>7522129000</v>
      </c>
      <c r="W613" s="747"/>
      <c r="X613" s="747">
        <f t="shared" si="155"/>
        <v>9555000000</v>
      </c>
    </row>
    <row r="614" spans="1:24" s="658" customFormat="1" ht="22.5">
      <c r="A614" s="803" t="s">
        <v>446</v>
      </c>
      <c r="B614" s="745" t="s">
        <v>793</v>
      </c>
      <c r="C614" s="779">
        <v>961</v>
      </c>
      <c r="D614" s="780" t="s">
        <v>2266</v>
      </c>
      <c r="E614" s="804">
        <v>6860005000</v>
      </c>
      <c r="F614" s="804"/>
      <c r="G614" s="804"/>
      <c r="H614" s="804"/>
      <c r="I614" s="804"/>
      <c r="J614" s="804"/>
      <c r="K614" s="804">
        <f t="shared" si="148"/>
        <v>0</v>
      </c>
      <c r="L614" s="804"/>
      <c r="M614" s="804"/>
      <c r="N614" s="804"/>
      <c r="O614" s="804"/>
      <c r="P614" s="804">
        <v>1649000000</v>
      </c>
      <c r="Q614" s="804">
        <f t="shared" si="146"/>
        <v>1648849000</v>
      </c>
      <c r="R614" s="804">
        <v>1648849000</v>
      </c>
      <c r="S614" s="804"/>
      <c r="T614" s="804">
        <v>0</v>
      </c>
      <c r="U614" s="747">
        <f t="shared" si="145"/>
        <v>151000</v>
      </c>
      <c r="V614" s="747">
        <f t="shared" si="154"/>
        <v>1648849000</v>
      </c>
      <c r="W614" s="747"/>
      <c r="X614" s="747">
        <f t="shared" si="155"/>
        <v>1648849000</v>
      </c>
    </row>
    <row r="615" spans="1:24" s="658" customFormat="1">
      <c r="A615" s="803" t="s">
        <v>447</v>
      </c>
      <c r="B615" s="745" t="s">
        <v>794</v>
      </c>
      <c r="C615" s="779" t="s">
        <v>777</v>
      </c>
      <c r="D615" s="780" t="s">
        <v>2267</v>
      </c>
      <c r="E615" s="804">
        <v>14480209000</v>
      </c>
      <c r="F615" s="804">
        <v>4000000000</v>
      </c>
      <c r="G615" s="804">
        <v>252478000</v>
      </c>
      <c r="H615" s="804"/>
      <c r="I615" s="804">
        <v>252478000</v>
      </c>
      <c r="J615" s="804"/>
      <c r="K615" s="804">
        <f t="shared" si="148"/>
        <v>0</v>
      </c>
      <c r="L615" s="804"/>
      <c r="M615" s="804"/>
      <c r="N615" s="804"/>
      <c r="O615" s="804"/>
      <c r="P615" s="804">
        <v>8535000000</v>
      </c>
      <c r="Q615" s="804">
        <f t="shared" si="146"/>
        <v>8535000000</v>
      </c>
      <c r="R615" s="804">
        <v>8535000000</v>
      </c>
      <c r="S615" s="804"/>
      <c r="T615" s="804"/>
      <c r="U615" s="747">
        <f t="shared" si="145"/>
        <v>0</v>
      </c>
      <c r="V615" s="747">
        <f t="shared" si="154"/>
        <v>8787478000</v>
      </c>
      <c r="W615" s="747"/>
      <c r="X615" s="747">
        <f t="shared" si="155"/>
        <v>12535000000</v>
      </c>
    </row>
    <row r="616" spans="1:24" s="658" customFormat="1" ht="22.5">
      <c r="A616" s="803" t="s">
        <v>449</v>
      </c>
      <c r="B616" s="745" t="s">
        <v>2268</v>
      </c>
      <c r="C616" s="779" t="s">
        <v>777</v>
      </c>
      <c r="D616" s="780" t="s">
        <v>2269</v>
      </c>
      <c r="E616" s="804">
        <v>8694132000</v>
      </c>
      <c r="F616" s="804">
        <v>2000000000</v>
      </c>
      <c r="G616" s="804">
        <v>1785129000</v>
      </c>
      <c r="H616" s="804"/>
      <c r="I616" s="804">
        <v>1185129000</v>
      </c>
      <c r="J616" s="804"/>
      <c r="K616" s="804">
        <f t="shared" si="148"/>
        <v>0</v>
      </c>
      <c r="L616" s="804"/>
      <c r="M616" s="804"/>
      <c r="N616" s="804"/>
      <c r="O616" s="804"/>
      <c r="P616" s="804">
        <v>2822000000</v>
      </c>
      <c r="Q616" s="804">
        <f t="shared" si="146"/>
        <v>2822000000</v>
      </c>
      <c r="R616" s="804">
        <v>1834339000</v>
      </c>
      <c r="S616" s="804">
        <v>987661000</v>
      </c>
      <c r="T616" s="804"/>
      <c r="U616" s="747">
        <f t="shared" si="145"/>
        <v>0</v>
      </c>
      <c r="V616" s="747">
        <f t="shared" si="154"/>
        <v>3019468000</v>
      </c>
      <c r="W616" s="747">
        <f>G616-H616-I616+M616+S616</f>
        <v>1587661000</v>
      </c>
      <c r="X616" s="747">
        <f t="shared" si="155"/>
        <v>4822000000</v>
      </c>
    </row>
    <row r="617" spans="1:24" s="658" customFormat="1">
      <c r="A617" s="803" t="s">
        <v>450</v>
      </c>
      <c r="B617" s="745" t="s">
        <v>29</v>
      </c>
      <c r="C617" s="779" t="s">
        <v>777</v>
      </c>
      <c r="D617" s="780" t="s">
        <v>30</v>
      </c>
      <c r="E617" s="804">
        <v>89981669000</v>
      </c>
      <c r="F617" s="804"/>
      <c r="G617" s="804"/>
      <c r="H617" s="804"/>
      <c r="I617" s="804"/>
      <c r="J617" s="804"/>
      <c r="K617" s="804">
        <f t="shared" si="148"/>
        <v>0</v>
      </c>
      <c r="L617" s="804"/>
      <c r="M617" s="804"/>
      <c r="N617" s="804"/>
      <c r="O617" s="804"/>
      <c r="P617" s="804">
        <v>3061000000</v>
      </c>
      <c r="Q617" s="804">
        <f t="shared" si="146"/>
        <v>3061000000</v>
      </c>
      <c r="R617" s="804">
        <v>1971000000</v>
      </c>
      <c r="S617" s="804">
        <v>1090000000</v>
      </c>
      <c r="T617" s="804"/>
      <c r="U617" s="747">
        <f t="shared" si="145"/>
        <v>0</v>
      </c>
      <c r="V617" s="747">
        <f t="shared" si="154"/>
        <v>1971000000</v>
      </c>
      <c r="W617" s="747">
        <f>G617-H617-I617+M617+S617</f>
        <v>1090000000</v>
      </c>
      <c r="X617" s="747">
        <f t="shared" si="155"/>
        <v>3061000000</v>
      </c>
    </row>
    <row r="618" spans="1:24" s="658" customFormat="1" ht="22.5">
      <c r="A618" s="803" t="s">
        <v>451</v>
      </c>
      <c r="B618" s="745" t="s">
        <v>2270</v>
      </c>
      <c r="C618" s="779" t="s">
        <v>777</v>
      </c>
      <c r="D618" s="780" t="s">
        <v>414</v>
      </c>
      <c r="E618" s="804">
        <v>11748373000</v>
      </c>
      <c r="F618" s="804">
        <v>6507266000</v>
      </c>
      <c r="G618" s="804">
        <v>4101631000</v>
      </c>
      <c r="H618" s="804"/>
      <c r="I618" s="804">
        <v>4101631000</v>
      </c>
      <c r="J618" s="804"/>
      <c r="K618" s="804">
        <f t="shared" si="148"/>
        <v>0</v>
      </c>
      <c r="L618" s="804"/>
      <c r="M618" s="804"/>
      <c r="N618" s="804"/>
      <c r="O618" s="804"/>
      <c r="P618" s="804">
        <v>4634000000</v>
      </c>
      <c r="Q618" s="804">
        <f t="shared" si="146"/>
        <v>4568182000</v>
      </c>
      <c r="R618" s="804">
        <v>4568182000</v>
      </c>
      <c r="S618" s="804"/>
      <c r="T618" s="804">
        <v>65818000</v>
      </c>
      <c r="U618" s="747">
        <f t="shared" si="145"/>
        <v>0</v>
      </c>
      <c r="V618" s="747">
        <f t="shared" si="154"/>
        <v>8669813000</v>
      </c>
      <c r="W618" s="747"/>
      <c r="X618" s="747">
        <f t="shared" si="155"/>
        <v>11075448000</v>
      </c>
    </row>
    <row r="619" spans="1:24" s="665" customFormat="1">
      <c r="A619" s="803" t="s">
        <v>556</v>
      </c>
      <c r="B619" s="745" t="s">
        <v>795</v>
      </c>
      <c r="C619" s="779" t="s">
        <v>777</v>
      </c>
      <c r="D619" s="780" t="s">
        <v>2271</v>
      </c>
      <c r="E619" s="804">
        <v>12510220000</v>
      </c>
      <c r="F619" s="804">
        <v>4000000000</v>
      </c>
      <c r="G619" s="804">
        <v>1725944000</v>
      </c>
      <c r="H619" s="804"/>
      <c r="I619" s="804">
        <v>1725944000</v>
      </c>
      <c r="J619" s="804"/>
      <c r="K619" s="804">
        <f t="shared" si="148"/>
        <v>0</v>
      </c>
      <c r="L619" s="804"/>
      <c r="M619" s="804"/>
      <c r="N619" s="804"/>
      <c r="O619" s="804"/>
      <c r="P619" s="804">
        <v>4000000000</v>
      </c>
      <c r="Q619" s="804">
        <f t="shared" si="146"/>
        <v>4000000000</v>
      </c>
      <c r="R619" s="804">
        <v>4000000000</v>
      </c>
      <c r="S619" s="804"/>
      <c r="T619" s="804"/>
      <c r="U619" s="747">
        <f t="shared" si="145"/>
        <v>0</v>
      </c>
      <c r="V619" s="747">
        <f t="shared" si="154"/>
        <v>5725944000</v>
      </c>
      <c r="W619" s="747"/>
      <c r="X619" s="747">
        <f t="shared" si="155"/>
        <v>8000000000</v>
      </c>
    </row>
    <row r="620" spans="1:24" s="694" customFormat="1">
      <c r="A620" s="803" t="s">
        <v>557</v>
      </c>
      <c r="B620" s="785" t="s">
        <v>2272</v>
      </c>
      <c r="C620" s="779" t="s">
        <v>777</v>
      </c>
      <c r="D620" s="780" t="s">
        <v>42</v>
      </c>
      <c r="E620" s="804">
        <v>216288516000</v>
      </c>
      <c r="F620" s="804"/>
      <c r="G620" s="804"/>
      <c r="H620" s="804"/>
      <c r="I620" s="804"/>
      <c r="J620" s="804"/>
      <c r="K620" s="804">
        <f t="shared" si="148"/>
        <v>0</v>
      </c>
      <c r="L620" s="804"/>
      <c r="M620" s="804"/>
      <c r="N620" s="804"/>
      <c r="O620" s="804"/>
      <c r="P620" s="804">
        <v>2991000000</v>
      </c>
      <c r="Q620" s="804">
        <f t="shared" si="146"/>
        <v>2991000000</v>
      </c>
      <c r="R620" s="804">
        <v>2991000000</v>
      </c>
      <c r="S620" s="804"/>
      <c r="T620" s="804"/>
      <c r="U620" s="747">
        <f t="shared" si="145"/>
        <v>0</v>
      </c>
      <c r="V620" s="747">
        <f t="shared" si="154"/>
        <v>2991000000</v>
      </c>
      <c r="W620" s="747"/>
      <c r="X620" s="747">
        <f t="shared" si="155"/>
        <v>2991000000</v>
      </c>
    </row>
    <row r="621" spans="1:24" s="694" customFormat="1" ht="33.75">
      <c r="A621" s="803" t="s">
        <v>558</v>
      </c>
      <c r="B621" s="753" t="s">
        <v>2273</v>
      </c>
      <c r="C621" s="779" t="s">
        <v>777</v>
      </c>
      <c r="D621" s="780" t="s">
        <v>417</v>
      </c>
      <c r="E621" s="804">
        <v>43644574000</v>
      </c>
      <c r="F621" s="804"/>
      <c r="G621" s="804"/>
      <c r="H621" s="804"/>
      <c r="I621" s="804"/>
      <c r="J621" s="804"/>
      <c r="K621" s="804">
        <f t="shared" si="148"/>
        <v>0</v>
      </c>
      <c r="L621" s="804"/>
      <c r="M621" s="804"/>
      <c r="N621" s="804"/>
      <c r="O621" s="804"/>
      <c r="P621" s="804">
        <v>2457000000</v>
      </c>
      <c r="Q621" s="804">
        <f t="shared" si="146"/>
        <v>2230000000</v>
      </c>
      <c r="R621" s="804">
        <v>2230000000</v>
      </c>
      <c r="S621" s="804"/>
      <c r="T621" s="804">
        <v>0</v>
      </c>
      <c r="U621" s="747">
        <f t="shared" si="145"/>
        <v>227000000</v>
      </c>
      <c r="V621" s="747">
        <f t="shared" si="154"/>
        <v>2230000000</v>
      </c>
      <c r="W621" s="747"/>
      <c r="X621" s="747">
        <f t="shared" si="155"/>
        <v>2230000000</v>
      </c>
    </row>
    <row r="622" spans="1:24" s="658" customFormat="1" ht="21">
      <c r="A622" s="759" t="s">
        <v>80</v>
      </c>
      <c r="B622" s="775" t="s">
        <v>2274</v>
      </c>
      <c r="C622" s="788"/>
      <c r="D622" s="800"/>
      <c r="E622" s="799">
        <f>E623+E632</f>
        <v>55217337000</v>
      </c>
      <c r="F622" s="799">
        <f>F623+F632</f>
        <v>12094900588</v>
      </c>
      <c r="G622" s="799">
        <f t="shared" ref="G622:X622" si="156">G623+G632</f>
        <v>7085732000</v>
      </c>
      <c r="H622" s="799">
        <f t="shared" si="156"/>
        <v>2780110000</v>
      </c>
      <c r="I622" s="799">
        <f t="shared" si="156"/>
        <v>2639858000</v>
      </c>
      <c r="J622" s="799">
        <f t="shared" si="156"/>
        <v>0</v>
      </c>
      <c r="K622" s="799">
        <f t="shared" si="156"/>
        <v>0</v>
      </c>
      <c r="L622" s="799">
        <f t="shared" si="156"/>
        <v>0</v>
      </c>
      <c r="M622" s="799">
        <f t="shared" si="156"/>
        <v>0</v>
      </c>
      <c r="N622" s="799">
        <f t="shared" si="156"/>
        <v>0</v>
      </c>
      <c r="O622" s="799">
        <f t="shared" si="156"/>
        <v>0</v>
      </c>
      <c r="P622" s="799">
        <f t="shared" si="156"/>
        <v>3979000000</v>
      </c>
      <c r="Q622" s="799">
        <f t="shared" si="156"/>
        <v>3916142000</v>
      </c>
      <c r="R622" s="799">
        <f t="shared" si="156"/>
        <v>3916142000</v>
      </c>
      <c r="S622" s="799">
        <f t="shared" si="156"/>
        <v>0</v>
      </c>
      <c r="T622" s="799">
        <f t="shared" si="156"/>
        <v>62858000</v>
      </c>
      <c r="U622" s="799">
        <f t="shared" si="156"/>
        <v>0</v>
      </c>
      <c r="V622" s="799">
        <f t="shared" si="156"/>
        <v>6556000000</v>
      </c>
      <c r="W622" s="799">
        <f t="shared" si="156"/>
        <v>1665764000</v>
      </c>
      <c r="X622" s="799">
        <f t="shared" si="156"/>
        <v>13230932588</v>
      </c>
    </row>
    <row r="623" spans="1:24" s="658" customFormat="1">
      <c r="A623" s="803"/>
      <c r="B623" s="787" t="s">
        <v>1949</v>
      </c>
      <c r="C623" s="779"/>
      <c r="D623" s="780"/>
      <c r="E623" s="799">
        <f>E624</f>
        <v>0</v>
      </c>
      <c r="F623" s="799">
        <f>F624</f>
        <v>1290737488</v>
      </c>
      <c r="G623" s="799">
        <f t="shared" ref="G623:X623" si="157">G624</f>
        <v>183140000</v>
      </c>
      <c r="H623" s="799">
        <f t="shared" si="157"/>
        <v>0</v>
      </c>
      <c r="I623" s="799">
        <f t="shared" si="157"/>
        <v>183140000</v>
      </c>
      <c r="J623" s="799">
        <f t="shared" si="157"/>
        <v>0</v>
      </c>
      <c r="K623" s="799">
        <f t="shared" si="157"/>
        <v>0</v>
      </c>
      <c r="L623" s="799">
        <f t="shared" si="157"/>
        <v>0</v>
      </c>
      <c r="M623" s="799">
        <f t="shared" si="157"/>
        <v>0</v>
      </c>
      <c r="N623" s="799">
        <f t="shared" si="157"/>
        <v>0</v>
      </c>
      <c r="O623" s="799">
        <f t="shared" si="157"/>
        <v>0</v>
      </c>
      <c r="P623" s="799">
        <f t="shared" si="157"/>
        <v>279000000</v>
      </c>
      <c r="Q623" s="799">
        <f t="shared" si="157"/>
        <v>216142000</v>
      </c>
      <c r="R623" s="799">
        <f t="shared" si="157"/>
        <v>216142000</v>
      </c>
      <c r="S623" s="799">
        <f t="shared" si="157"/>
        <v>0</v>
      </c>
      <c r="T623" s="799">
        <f t="shared" si="157"/>
        <v>62858000</v>
      </c>
      <c r="U623" s="799">
        <f t="shared" si="157"/>
        <v>0</v>
      </c>
      <c r="V623" s="799">
        <f t="shared" si="157"/>
        <v>399282000</v>
      </c>
      <c r="W623" s="799">
        <f t="shared" si="157"/>
        <v>0</v>
      </c>
      <c r="X623" s="799">
        <f t="shared" si="157"/>
        <v>1506879488</v>
      </c>
    </row>
    <row r="624" spans="1:24" s="695" customFormat="1">
      <c r="A624" s="803"/>
      <c r="B624" s="785" t="s">
        <v>2275</v>
      </c>
      <c r="C624" s="779"/>
      <c r="D624" s="780"/>
      <c r="E624" s="804"/>
      <c r="F624" s="804">
        <f>SUM(F626:F631)</f>
        <v>1290737488</v>
      </c>
      <c r="G624" s="804">
        <f t="shared" ref="G624:T624" si="158">SUM(G626:G631)</f>
        <v>183140000</v>
      </c>
      <c r="H624" s="804">
        <f t="shared" si="158"/>
        <v>0</v>
      </c>
      <c r="I624" s="804">
        <f t="shared" si="158"/>
        <v>183140000</v>
      </c>
      <c r="J624" s="804">
        <f t="shared" si="158"/>
        <v>0</v>
      </c>
      <c r="K624" s="804">
        <f t="shared" si="148"/>
        <v>0</v>
      </c>
      <c r="L624" s="804">
        <f t="shared" si="158"/>
        <v>0</v>
      </c>
      <c r="M624" s="804">
        <f t="shared" si="158"/>
        <v>0</v>
      </c>
      <c r="N624" s="804">
        <f t="shared" si="158"/>
        <v>0</v>
      </c>
      <c r="O624" s="804"/>
      <c r="P624" s="804">
        <f t="shared" si="158"/>
        <v>279000000</v>
      </c>
      <c r="Q624" s="804">
        <f t="shared" si="146"/>
        <v>216142000</v>
      </c>
      <c r="R624" s="804">
        <f t="shared" si="158"/>
        <v>216142000</v>
      </c>
      <c r="S624" s="804"/>
      <c r="T624" s="804">
        <f t="shared" si="158"/>
        <v>62858000</v>
      </c>
      <c r="U624" s="747"/>
      <c r="V624" s="747">
        <f t="shared" si="154"/>
        <v>399282000</v>
      </c>
      <c r="W624" s="747"/>
      <c r="X624" s="747">
        <f>F624+K624+Q624</f>
        <v>1506879488</v>
      </c>
    </row>
    <row r="625" spans="1:24" s="658" customFormat="1">
      <c r="A625" s="803"/>
      <c r="B625" s="841" t="s">
        <v>2276</v>
      </c>
      <c r="C625" s="779"/>
      <c r="D625" s="780"/>
      <c r="E625" s="804"/>
      <c r="F625" s="804"/>
      <c r="G625" s="804"/>
      <c r="H625" s="804"/>
      <c r="I625" s="804"/>
      <c r="J625" s="804"/>
      <c r="K625" s="804">
        <f t="shared" si="148"/>
        <v>0</v>
      </c>
      <c r="L625" s="804"/>
      <c r="M625" s="804"/>
      <c r="N625" s="804"/>
      <c r="O625" s="804"/>
      <c r="P625" s="804"/>
      <c r="Q625" s="804">
        <f t="shared" si="146"/>
        <v>0</v>
      </c>
      <c r="R625" s="804"/>
      <c r="S625" s="804"/>
      <c r="T625" s="804"/>
      <c r="U625" s="747"/>
      <c r="V625" s="747"/>
      <c r="W625" s="747"/>
      <c r="X625" s="747"/>
    </row>
    <row r="626" spans="1:24" s="663" customFormat="1">
      <c r="A626" s="803" t="s">
        <v>1088</v>
      </c>
      <c r="B626" s="785" t="s">
        <v>2277</v>
      </c>
      <c r="C626" s="779" t="s">
        <v>777</v>
      </c>
      <c r="D626" s="780" t="s">
        <v>2278</v>
      </c>
      <c r="E626" s="804">
        <v>5194068000</v>
      </c>
      <c r="F626" s="804">
        <v>151669926</v>
      </c>
      <c r="G626" s="804">
        <v>25270000</v>
      </c>
      <c r="H626" s="804"/>
      <c r="I626" s="804">
        <v>25270000</v>
      </c>
      <c r="J626" s="804"/>
      <c r="K626" s="804">
        <f t="shared" si="148"/>
        <v>0</v>
      </c>
      <c r="L626" s="804"/>
      <c r="M626" s="804"/>
      <c r="N626" s="804"/>
      <c r="O626" s="804"/>
      <c r="P626" s="804">
        <v>38000000</v>
      </c>
      <c r="Q626" s="804">
        <f t="shared" si="146"/>
        <v>26836000</v>
      </c>
      <c r="R626" s="804">
        <v>26836000</v>
      </c>
      <c r="S626" s="804"/>
      <c r="T626" s="804">
        <v>11164000</v>
      </c>
      <c r="U626" s="747"/>
      <c r="V626" s="747">
        <f t="shared" si="154"/>
        <v>52106000</v>
      </c>
      <c r="W626" s="747"/>
      <c r="X626" s="747">
        <f t="shared" si="155"/>
        <v>178505926</v>
      </c>
    </row>
    <row r="627" spans="1:24" s="658" customFormat="1">
      <c r="A627" s="803" t="s">
        <v>1088</v>
      </c>
      <c r="B627" s="785" t="s">
        <v>2279</v>
      </c>
      <c r="C627" s="779" t="s">
        <v>777</v>
      </c>
      <c r="D627" s="780" t="s">
        <v>2280</v>
      </c>
      <c r="E627" s="804">
        <v>8111522000</v>
      </c>
      <c r="F627" s="804">
        <v>234887646</v>
      </c>
      <c r="G627" s="804">
        <v>31804000</v>
      </c>
      <c r="H627" s="804"/>
      <c r="I627" s="804">
        <v>31804000</v>
      </c>
      <c r="J627" s="804"/>
      <c r="K627" s="804">
        <f t="shared" si="148"/>
        <v>0</v>
      </c>
      <c r="L627" s="804"/>
      <c r="M627" s="804"/>
      <c r="N627" s="804"/>
      <c r="O627" s="804"/>
      <c r="P627" s="804">
        <v>48000000</v>
      </c>
      <c r="Q627" s="804">
        <f t="shared" si="146"/>
        <v>41608000</v>
      </c>
      <c r="R627" s="804">
        <v>41608000</v>
      </c>
      <c r="S627" s="804"/>
      <c r="T627" s="804">
        <v>6392000</v>
      </c>
      <c r="U627" s="747"/>
      <c r="V627" s="747">
        <f t="shared" si="154"/>
        <v>73412000</v>
      </c>
      <c r="W627" s="747"/>
      <c r="X627" s="747">
        <f t="shared" si="155"/>
        <v>276495646</v>
      </c>
    </row>
    <row r="628" spans="1:24" s="663" customFormat="1">
      <c r="A628" s="803" t="s">
        <v>1088</v>
      </c>
      <c r="B628" s="785" t="s">
        <v>2281</v>
      </c>
      <c r="C628" s="779" t="s">
        <v>777</v>
      </c>
      <c r="D628" s="780" t="s">
        <v>2282</v>
      </c>
      <c r="E628" s="804">
        <v>5005749360</v>
      </c>
      <c r="F628" s="804">
        <v>154066797</v>
      </c>
      <c r="G628" s="804">
        <v>24657000</v>
      </c>
      <c r="H628" s="804"/>
      <c r="I628" s="804">
        <v>24657000</v>
      </c>
      <c r="J628" s="804"/>
      <c r="K628" s="804">
        <f t="shared" si="148"/>
        <v>0</v>
      </c>
      <c r="L628" s="804"/>
      <c r="M628" s="804"/>
      <c r="N628" s="804"/>
      <c r="O628" s="804"/>
      <c r="P628" s="804">
        <v>37000000</v>
      </c>
      <c r="Q628" s="804">
        <f t="shared" si="146"/>
        <v>25715000</v>
      </c>
      <c r="R628" s="804">
        <v>25715000</v>
      </c>
      <c r="S628" s="804"/>
      <c r="T628" s="804">
        <v>11285000</v>
      </c>
      <c r="U628" s="747"/>
      <c r="V628" s="747">
        <f t="shared" si="154"/>
        <v>50372000</v>
      </c>
      <c r="W628" s="747"/>
      <c r="X628" s="747">
        <f t="shared" si="155"/>
        <v>179781797</v>
      </c>
    </row>
    <row r="629" spans="1:24" s="658" customFormat="1">
      <c r="A629" s="803" t="s">
        <v>1088</v>
      </c>
      <c r="B629" s="785" t="s">
        <v>2283</v>
      </c>
      <c r="C629" s="779" t="s">
        <v>777</v>
      </c>
      <c r="D629" s="780" t="s">
        <v>2284</v>
      </c>
      <c r="E629" s="804">
        <v>5023114000</v>
      </c>
      <c r="F629" s="804">
        <v>153828936</v>
      </c>
      <c r="G629" s="804">
        <v>24715000</v>
      </c>
      <c r="H629" s="804"/>
      <c r="I629" s="804">
        <v>24715000</v>
      </c>
      <c r="J629" s="804"/>
      <c r="K629" s="804">
        <f t="shared" si="148"/>
        <v>0</v>
      </c>
      <c r="L629" s="804"/>
      <c r="M629" s="804"/>
      <c r="N629" s="804"/>
      <c r="O629" s="804"/>
      <c r="P629" s="804">
        <v>37500000</v>
      </c>
      <c r="Q629" s="804">
        <f t="shared" si="146"/>
        <v>25046000</v>
      </c>
      <c r="R629" s="804">
        <v>25046000</v>
      </c>
      <c r="S629" s="804"/>
      <c r="T629" s="804">
        <v>12454000</v>
      </c>
      <c r="U629" s="747"/>
      <c r="V629" s="747">
        <f t="shared" si="154"/>
        <v>49761000</v>
      </c>
      <c r="W629" s="747"/>
      <c r="X629" s="747">
        <f t="shared" si="155"/>
        <v>178874936</v>
      </c>
    </row>
    <row r="630" spans="1:24" s="663" customFormat="1">
      <c r="A630" s="803" t="s">
        <v>1088</v>
      </c>
      <c r="B630" s="785" t="s">
        <v>2285</v>
      </c>
      <c r="C630" s="779" t="s">
        <v>777</v>
      </c>
      <c r="D630" s="780" t="s">
        <v>2286</v>
      </c>
      <c r="E630" s="804">
        <v>14085075000</v>
      </c>
      <c r="F630" s="804">
        <v>371800028</v>
      </c>
      <c r="G630" s="804">
        <v>45195000</v>
      </c>
      <c r="H630" s="804"/>
      <c r="I630" s="804">
        <v>45195000</v>
      </c>
      <c r="J630" s="804"/>
      <c r="K630" s="804">
        <f t="shared" si="148"/>
        <v>0</v>
      </c>
      <c r="L630" s="804"/>
      <c r="M630" s="804"/>
      <c r="N630" s="804"/>
      <c r="O630" s="804"/>
      <c r="P630" s="804">
        <v>71200000</v>
      </c>
      <c r="Q630" s="804">
        <f t="shared" si="146"/>
        <v>55423000</v>
      </c>
      <c r="R630" s="804">
        <v>55423000</v>
      </c>
      <c r="S630" s="804"/>
      <c r="T630" s="804">
        <v>15777000</v>
      </c>
      <c r="U630" s="747"/>
      <c r="V630" s="747">
        <f t="shared" si="154"/>
        <v>100618000</v>
      </c>
      <c r="W630" s="747"/>
      <c r="X630" s="747">
        <f t="shared" si="155"/>
        <v>427223028</v>
      </c>
    </row>
    <row r="631" spans="1:24" s="658" customFormat="1">
      <c r="A631" s="803" t="s">
        <v>1088</v>
      </c>
      <c r="B631" s="785" t="s">
        <v>2287</v>
      </c>
      <c r="C631" s="779" t="s">
        <v>777</v>
      </c>
      <c r="D631" s="780" t="s">
        <v>2288</v>
      </c>
      <c r="E631" s="804">
        <v>7885014000</v>
      </c>
      <c r="F631" s="804">
        <v>224484155</v>
      </c>
      <c r="G631" s="804">
        <v>31499000</v>
      </c>
      <c r="H631" s="804"/>
      <c r="I631" s="804">
        <v>31499000</v>
      </c>
      <c r="J631" s="804"/>
      <c r="K631" s="804">
        <f t="shared" si="148"/>
        <v>0</v>
      </c>
      <c r="L631" s="804"/>
      <c r="M631" s="804"/>
      <c r="N631" s="804"/>
      <c r="O631" s="804"/>
      <c r="P631" s="804">
        <v>47300000</v>
      </c>
      <c r="Q631" s="804">
        <f t="shared" si="146"/>
        <v>41514000</v>
      </c>
      <c r="R631" s="804">
        <v>41514000</v>
      </c>
      <c r="S631" s="804"/>
      <c r="T631" s="804">
        <v>5786000</v>
      </c>
      <c r="U631" s="747"/>
      <c r="V631" s="747">
        <f t="shared" si="154"/>
        <v>73013000</v>
      </c>
      <c r="W631" s="747"/>
      <c r="X631" s="747">
        <f t="shared" si="155"/>
        <v>265998155</v>
      </c>
    </row>
    <row r="632" spans="1:24" s="665" customFormat="1">
      <c r="A632" s="803"/>
      <c r="B632" s="787" t="s">
        <v>2289</v>
      </c>
      <c r="C632" s="779"/>
      <c r="D632" s="780"/>
      <c r="E632" s="799">
        <f>SUM(E633:E634)</f>
        <v>55217337000</v>
      </c>
      <c r="F632" s="799">
        <f>SUM(F633:F634)</f>
        <v>10804163100</v>
      </c>
      <c r="G632" s="799">
        <f t="shared" ref="G632:X632" si="159">SUM(G633:G634)</f>
        <v>6902592000</v>
      </c>
      <c r="H632" s="799">
        <f t="shared" si="159"/>
        <v>2780110000</v>
      </c>
      <c r="I632" s="799">
        <f t="shared" si="159"/>
        <v>2456718000</v>
      </c>
      <c r="J632" s="799">
        <f t="shared" si="159"/>
        <v>0</v>
      </c>
      <c r="K632" s="799">
        <f t="shared" si="159"/>
        <v>0</v>
      </c>
      <c r="L632" s="799">
        <f t="shared" si="159"/>
        <v>0</v>
      </c>
      <c r="M632" s="799">
        <f t="shared" si="159"/>
        <v>0</v>
      </c>
      <c r="N632" s="799">
        <f t="shared" si="159"/>
        <v>0</v>
      </c>
      <c r="O632" s="799">
        <f t="shared" si="159"/>
        <v>0</v>
      </c>
      <c r="P632" s="799">
        <f t="shared" si="159"/>
        <v>3700000000</v>
      </c>
      <c r="Q632" s="799">
        <f t="shared" si="159"/>
        <v>3700000000</v>
      </c>
      <c r="R632" s="799">
        <f t="shared" si="159"/>
        <v>3700000000</v>
      </c>
      <c r="S632" s="799">
        <f t="shared" si="159"/>
        <v>0</v>
      </c>
      <c r="T632" s="799">
        <f t="shared" si="159"/>
        <v>0</v>
      </c>
      <c r="U632" s="799">
        <f t="shared" si="159"/>
        <v>0</v>
      </c>
      <c r="V632" s="799">
        <f t="shared" si="159"/>
        <v>6156718000</v>
      </c>
      <c r="W632" s="799">
        <f t="shared" si="159"/>
        <v>1665764000</v>
      </c>
      <c r="X632" s="799">
        <f t="shared" si="159"/>
        <v>11724053100</v>
      </c>
    </row>
    <row r="633" spans="1:24" s="665" customFormat="1" ht="22.5">
      <c r="A633" s="803" t="s">
        <v>1088</v>
      </c>
      <c r="B633" s="785" t="s">
        <v>2290</v>
      </c>
      <c r="C633" s="779" t="s">
        <v>777</v>
      </c>
      <c r="D633" s="780" t="s">
        <v>2291</v>
      </c>
      <c r="E633" s="804">
        <v>39997830000</v>
      </c>
      <c r="F633" s="804">
        <v>10629458000</v>
      </c>
      <c r="G633" s="804">
        <v>6902592000</v>
      </c>
      <c r="H633" s="804">
        <v>2780110000</v>
      </c>
      <c r="I633" s="804">
        <v>2456718000</v>
      </c>
      <c r="J633" s="804"/>
      <c r="K633" s="804">
        <f t="shared" si="148"/>
        <v>0</v>
      </c>
      <c r="L633" s="804"/>
      <c r="M633" s="804"/>
      <c r="N633" s="804"/>
      <c r="O633" s="804"/>
      <c r="P633" s="804">
        <v>2000000000</v>
      </c>
      <c r="Q633" s="804">
        <f t="shared" si="146"/>
        <v>2000000000</v>
      </c>
      <c r="R633" s="804">
        <v>2000000000</v>
      </c>
      <c r="S633" s="804"/>
      <c r="T633" s="804"/>
      <c r="U633" s="747"/>
      <c r="V633" s="747">
        <f t="shared" si="154"/>
        <v>4456718000</v>
      </c>
      <c r="W633" s="747">
        <f>G633-H633-I633+M633+S633</f>
        <v>1665764000</v>
      </c>
      <c r="X633" s="747">
        <f>F633+K633+Q633-H633</f>
        <v>9849348000</v>
      </c>
    </row>
    <row r="634" spans="1:24" s="665" customFormat="1">
      <c r="A634" s="803" t="s">
        <v>1088</v>
      </c>
      <c r="B634" s="785" t="s">
        <v>2292</v>
      </c>
      <c r="C634" s="779" t="s">
        <v>777</v>
      </c>
      <c r="D634" s="780" t="s">
        <v>2293</v>
      </c>
      <c r="E634" s="804">
        <v>15219507000</v>
      </c>
      <c r="F634" s="804">
        <v>174705100</v>
      </c>
      <c r="G634" s="804"/>
      <c r="H634" s="804"/>
      <c r="I634" s="804"/>
      <c r="J634" s="804"/>
      <c r="K634" s="804">
        <f t="shared" si="148"/>
        <v>0</v>
      </c>
      <c r="L634" s="804"/>
      <c r="M634" s="804"/>
      <c r="N634" s="804"/>
      <c r="O634" s="804"/>
      <c r="P634" s="804">
        <v>1700000000</v>
      </c>
      <c r="Q634" s="804">
        <f t="shared" si="146"/>
        <v>1700000000</v>
      </c>
      <c r="R634" s="804">
        <v>1700000000</v>
      </c>
      <c r="S634" s="804"/>
      <c r="T634" s="804"/>
      <c r="U634" s="747"/>
      <c r="V634" s="747">
        <f t="shared" si="154"/>
        <v>1700000000</v>
      </c>
      <c r="W634" s="747"/>
      <c r="X634" s="747">
        <f t="shared" si="155"/>
        <v>1874705100</v>
      </c>
    </row>
    <row r="635" spans="1:24" s="696" customFormat="1">
      <c r="A635" s="842" t="s">
        <v>2294</v>
      </c>
      <c r="B635" s="843" t="s">
        <v>2295</v>
      </c>
      <c r="C635" s="844"/>
      <c r="D635" s="845"/>
      <c r="E635" s="846">
        <f>E637+E636</f>
        <v>9204618184723</v>
      </c>
      <c r="F635" s="846">
        <f>F637+F636</f>
        <v>340308779495</v>
      </c>
      <c r="G635" s="846">
        <f t="shared" ref="G635:X635" si="160">G637+G636</f>
        <v>117646440252</v>
      </c>
      <c r="H635" s="846">
        <f t="shared" si="160"/>
        <v>0</v>
      </c>
      <c r="I635" s="846">
        <f t="shared" si="160"/>
        <v>95078077456</v>
      </c>
      <c r="J635" s="846">
        <f>J637+J636</f>
        <v>29000000</v>
      </c>
      <c r="K635" s="846">
        <f t="shared" si="160"/>
        <v>29000000</v>
      </c>
      <c r="L635" s="846">
        <f t="shared" si="160"/>
        <v>0</v>
      </c>
      <c r="M635" s="846">
        <f t="shared" si="160"/>
        <v>29000000</v>
      </c>
      <c r="N635" s="846">
        <f t="shared" si="160"/>
        <v>0</v>
      </c>
      <c r="O635" s="846">
        <f t="shared" si="160"/>
        <v>0</v>
      </c>
      <c r="P635" s="846">
        <f>P637+P636</f>
        <v>570164000000</v>
      </c>
      <c r="Q635" s="846">
        <f t="shared" si="160"/>
        <v>341518691347</v>
      </c>
      <c r="R635" s="846">
        <f t="shared" si="160"/>
        <v>323259290759</v>
      </c>
      <c r="S635" s="846">
        <f t="shared" si="160"/>
        <v>18259400588</v>
      </c>
      <c r="T635" s="846">
        <f t="shared" si="160"/>
        <v>28107379153</v>
      </c>
      <c r="U635" s="846">
        <f t="shared" si="160"/>
        <v>1229929500</v>
      </c>
      <c r="V635" s="846">
        <f t="shared" si="160"/>
        <v>418337368215</v>
      </c>
      <c r="W635" s="846">
        <f t="shared" si="160"/>
        <v>40856763384</v>
      </c>
      <c r="X635" s="846">
        <f t="shared" si="160"/>
        <v>677119005842</v>
      </c>
    </row>
    <row r="636" spans="1:24" s="665" customFormat="1" ht="21">
      <c r="A636" s="836" t="s">
        <v>57</v>
      </c>
      <c r="B636" s="775" t="s">
        <v>2296</v>
      </c>
      <c r="C636" s="781"/>
      <c r="D636" s="782"/>
      <c r="E636" s="807"/>
      <c r="F636" s="807"/>
      <c r="G636" s="807"/>
      <c r="H636" s="807"/>
      <c r="I636" s="807"/>
      <c r="J636" s="807"/>
      <c r="K636" s="807"/>
      <c r="L636" s="807"/>
      <c r="M636" s="807"/>
      <c r="N636" s="807"/>
      <c r="O636" s="807"/>
      <c r="P636" s="847">
        <v>169164000000</v>
      </c>
      <c r="Q636" s="807"/>
      <c r="R636" s="807"/>
      <c r="S636" s="807"/>
      <c r="T636" s="807"/>
      <c r="U636" s="807"/>
      <c r="V636" s="807"/>
      <c r="W636" s="807"/>
      <c r="X636" s="807"/>
    </row>
    <row r="637" spans="1:24" s="663" customFormat="1">
      <c r="A637" s="736" t="s">
        <v>80</v>
      </c>
      <c r="B637" s="737" t="s">
        <v>2297</v>
      </c>
      <c r="C637" s="788"/>
      <c r="D637" s="739"/>
      <c r="E637" s="799">
        <f>E638+E663+E668+E683+E691+E694+E698+E702+E711</f>
        <v>9204618184723</v>
      </c>
      <c r="F637" s="799">
        <f>F638+F663+F668+F683+F691+F694+F698+F702+F711</f>
        <v>340308779495</v>
      </c>
      <c r="G637" s="799">
        <f t="shared" ref="G637:W637" si="161">G638+G663+G668+G683+G691+G694+G698+G702+G711</f>
        <v>117646440252</v>
      </c>
      <c r="H637" s="799">
        <f t="shared" si="161"/>
        <v>0</v>
      </c>
      <c r="I637" s="799">
        <f t="shared" si="161"/>
        <v>95078077456</v>
      </c>
      <c r="J637" s="799">
        <f t="shared" si="161"/>
        <v>29000000</v>
      </c>
      <c r="K637" s="799">
        <f t="shared" si="161"/>
        <v>29000000</v>
      </c>
      <c r="L637" s="799">
        <f t="shared" si="161"/>
        <v>0</v>
      </c>
      <c r="M637" s="799">
        <f t="shared" si="161"/>
        <v>29000000</v>
      </c>
      <c r="N637" s="799">
        <f t="shared" si="161"/>
        <v>0</v>
      </c>
      <c r="O637" s="799">
        <f t="shared" si="161"/>
        <v>0</v>
      </c>
      <c r="P637" s="799">
        <f>P638+P663+P668+P683+P691+P694+P698+P702+P711</f>
        <v>401000000000</v>
      </c>
      <c r="Q637" s="799">
        <f t="shared" si="161"/>
        <v>341518691347</v>
      </c>
      <c r="R637" s="799">
        <f t="shared" si="161"/>
        <v>323259290759</v>
      </c>
      <c r="S637" s="799">
        <f t="shared" si="161"/>
        <v>18259400588</v>
      </c>
      <c r="T637" s="799">
        <f t="shared" si="161"/>
        <v>28107379153</v>
      </c>
      <c r="U637" s="799">
        <f t="shared" si="161"/>
        <v>1229929500</v>
      </c>
      <c r="V637" s="799">
        <f t="shared" si="161"/>
        <v>418337368215</v>
      </c>
      <c r="W637" s="799">
        <f t="shared" si="161"/>
        <v>40856763384</v>
      </c>
      <c r="X637" s="799">
        <f>X638+X663+X668+X683+X691+X694+X698+X702+X711</f>
        <v>677119005842</v>
      </c>
    </row>
    <row r="638" spans="1:24" s="658" customFormat="1">
      <c r="A638" s="848" t="s">
        <v>108</v>
      </c>
      <c r="B638" s="849" t="s">
        <v>820</v>
      </c>
      <c r="C638" s="788"/>
      <c r="D638" s="789"/>
      <c r="E638" s="799">
        <f>SUM(E641:E662)</f>
        <v>4455989188984</v>
      </c>
      <c r="F638" s="799">
        <f>SUM(F641:F662)</f>
        <v>110695038830</v>
      </c>
      <c r="G638" s="799">
        <f t="shared" ref="G638:W638" si="162">SUM(G641:G662)</f>
        <v>5328402266</v>
      </c>
      <c r="H638" s="799">
        <f t="shared" si="162"/>
        <v>0</v>
      </c>
      <c r="I638" s="799">
        <f t="shared" si="162"/>
        <v>4178138009</v>
      </c>
      <c r="J638" s="799">
        <f t="shared" si="162"/>
        <v>0</v>
      </c>
      <c r="K638" s="799">
        <f t="shared" si="162"/>
        <v>0</v>
      </c>
      <c r="L638" s="799">
        <f t="shared" si="162"/>
        <v>0</v>
      </c>
      <c r="M638" s="799">
        <f t="shared" si="162"/>
        <v>0</v>
      </c>
      <c r="N638" s="799">
        <f t="shared" si="162"/>
        <v>0</v>
      </c>
      <c r="O638" s="799">
        <f t="shared" si="162"/>
        <v>0</v>
      </c>
      <c r="P638" s="799">
        <f>SUM(P641:P662)</f>
        <v>135433000000</v>
      </c>
      <c r="Q638" s="799">
        <f t="shared" si="162"/>
        <v>117432264000</v>
      </c>
      <c r="R638" s="799">
        <f t="shared" si="162"/>
        <v>103542335000</v>
      </c>
      <c r="S638" s="799">
        <f t="shared" si="162"/>
        <v>13889929000</v>
      </c>
      <c r="T638" s="799">
        <f t="shared" si="162"/>
        <v>0</v>
      </c>
      <c r="U638" s="799">
        <f t="shared" si="162"/>
        <v>736000</v>
      </c>
      <c r="V638" s="799">
        <f t="shared" si="162"/>
        <v>107720473009</v>
      </c>
      <c r="W638" s="799">
        <f t="shared" si="162"/>
        <v>15040193257</v>
      </c>
      <c r="X638" s="799">
        <f>SUM(X641:X662)</f>
        <v>228127302830</v>
      </c>
    </row>
    <row r="639" spans="1:24" s="660" customFormat="1">
      <c r="A639" s="736" t="s">
        <v>771</v>
      </c>
      <c r="B639" s="737" t="s">
        <v>2298</v>
      </c>
      <c r="C639" s="788"/>
      <c r="D639" s="850"/>
      <c r="E639" s="799"/>
      <c r="F639" s="799"/>
      <c r="G639" s="799"/>
      <c r="H639" s="799"/>
      <c r="I639" s="799"/>
      <c r="J639" s="799"/>
      <c r="K639" s="804"/>
      <c r="L639" s="799"/>
      <c r="M639" s="799"/>
      <c r="N639" s="799"/>
      <c r="O639" s="804"/>
      <c r="P639" s="799"/>
      <c r="Q639" s="804">
        <f t="shared" ref="Q639:Q697" si="163">R639+S639</f>
        <v>0</v>
      </c>
      <c r="R639" s="799"/>
      <c r="S639" s="799"/>
      <c r="T639" s="799"/>
      <c r="U639" s="747"/>
      <c r="V639" s="747"/>
      <c r="W639" s="747"/>
      <c r="X639" s="747"/>
    </row>
    <row r="640" spans="1:24" s="658" customFormat="1">
      <c r="A640" s="808" t="s">
        <v>743</v>
      </c>
      <c r="B640" s="851" t="s">
        <v>2299</v>
      </c>
      <c r="C640" s="806"/>
      <c r="D640" s="852"/>
      <c r="E640" s="802"/>
      <c r="F640" s="802"/>
      <c r="G640" s="802"/>
      <c r="H640" s="802"/>
      <c r="I640" s="802"/>
      <c r="J640" s="802"/>
      <c r="K640" s="804"/>
      <c r="L640" s="802"/>
      <c r="M640" s="802"/>
      <c r="N640" s="802"/>
      <c r="O640" s="804"/>
      <c r="P640" s="802"/>
      <c r="Q640" s="804">
        <f t="shared" si="163"/>
        <v>0</v>
      </c>
      <c r="R640" s="802"/>
      <c r="S640" s="802"/>
      <c r="T640" s="802"/>
      <c r="U640" s="747"/>
      <c r="V640" s="747"/>
      <c r="W640" s="747"/>
      <c r="X640" s="747"/>
    </row>
    <row r="641" spans="1:24" s="658" customFormat="1">
      <c r="A641" s="803"/>
      <c r="B641" s="853" t="s">
        <v>2300</v>
      </c>
      <c r="C641" s="779"/>
      <c r="D641" s="780"/>
      <c r="E641" s="804"/>
      <c r="F641" s="804"/>
      <c r="G641" s="804"/>
      <c r="H641" s="804"/>
      <c r="I641" s="804"/>
      <c r="J641" s="804"/>
      <c r="K641" s="804"/>
      <c r="L641" s="804"/>
      <c r="M641" s="804"/>
      <c r="N641" s="804"/>
      <c r="O641" s="804"/>
      <c r="P641" s="804">
        <v>18000000000</v>
      </c>
      <c r="Q641" s="804">
        <f t="shared" si="163"/>
        <v>0</v>
      </c>
      <c r="R641" s="804"/>
      <c r="S641" s="804"/>
      <c r="T641" s="804"/>
      <c r="U641" s="747"/>
      <c r="V641" s="747"/>
      <c r="W641" s="747"/>
      <c r="X641" s="747"/>
    </row>
    <row r="642" spans="1:24" s="658" customFormat="1">
      <c r="A642" s="740" t="s">
        <v>745</v>
      </c>
      <c r="B642" s="851" t="s">
        <v>2301</v>
      </c>
      <c r="C642" s="806"/>
      <c r="D642" s="801"/>
      <c r="E642" s="802"/>
      <c r="F642" s="802"/>
      <c r="G642" s="802"/>
      <c r="H642" s="802"/>
      <c r="I642" s="802"/>
      <c r="J642" s="802"/>
      <c r="K642" s="804"/>
      <c r="L642" s="802"/>
      <c r="M642" s="802"/>
      <c r="N642" s="802"/>
      <c r="O642" s="804"/>
      <c r="P642" s="802"/>
      <c r="Q642" s="804">
        <f t="shared" si="163"/>
        <v>0</v>
      </c>
      <c r="R642" s="802"/>
      <c r="S642" s="802"/>
      <c r="T642" s="802"/>
      <c r="U642" s="747"/>
      <c r="V642" s="747"/>
      <c r="W642" s="747"/>
      <c r="X642" s="747"/>
    </row>
    <row r="643" spans="1:24" s="658" customFormat="1">
      <c r="A643" s="854" t="s">
        <v>104</v>
      </c>
      <c r="B643" s="753" t="s">
        <v>2302</v>
      </c>
      <c r="C643" s="779"/>
      <c r="D643" s="821"/>
      <c r="E643" s="804"/>
      <c r="F643" s="804"/>
      <c r="G643" s="804"/>
      <c r="H643" s="804"/>
      <c r="I643" s="804"/>
      <c r="J643" s="804"/>
      <c r="K643" s="804"/>
      <c r="L643" s="804"/>
      <c r="M643" s="804"/>
      <c r="N643" s="804"/>
      <c r="O643" s="804"/>
      <c r="P643" s="804"/>
      <c r="Q643" s="804">
        <f t="shared" si="163"/>
        <v>0</v>
      </c>
      <c r="R643" s="804"/>
      <c r="S643" s="804"/>
      <c r="T643" s="804"/>
      <c r="U643" s="747"/>
      <c r="V643" s="747"/>
      <c r="W643" s="747"/>
      <c r="X643" s="747"/>
    </row>
    <row r="644" spans="1:24" s="658" customFormat="1">
      <c r="A644" s="803"/>
      <c r="B644" s="851" t="s">
        <v>2303</v>
      </c>
      <c r="C644" s="779"/>
      <c r="D644" s="780"/>
      <c r="E644" s="804"/>
      <c r="F644" s="804"/>
      <c r="G644" s="804"/>
      <c r="H644" s="804"/>
      <c r="I644" s="804"/>
      <c r="J644" s="804"/>
      <c r="K644" s="804"/>
      <c r="L644" s="804"/>
      <c r="M644" s="804"/>
      <c r="N644" s="804"/>
      <c r="O644" s="804"/>
      <c r="P644" s="804"/>
      <c r="Q644" s="804">
        <f t="shared" si="163"/>
        <v>0</v>
      </c>
      <c r="R644" s="804"/>
      <c r="S644" s="804"/>
      <c r="T644" s="804"/>
      <c r="U644" s="747"/>
      <c r="V644" s="747"/>
      <c r="W644" s="747"/>
      <c r="X644" s="747"/>
    </row>
    <row r="645" spans="1:24" s="658" customFormat="1">
      <c r="A645" s="809" t="s">
        <v>1088</v>
      </c>
      <c r="B645" s="795" t="s">
        <v>2304</v>
      </c>
      <c r="C645" s="769" t="s">
        <v>777</v>
      </c>
      <c r="D645" s="770" t="s">
        <v>2305</v>
      </c>
      <c r="E645" s="810">
        <v>6694528000</v>
      </c>
      <c r="F645" s="810"/>
      <c r="G645" s="810"/>
      <c r="H645" s="810"/>
      <c r="I645" s="810"/>
      <c r="J645" s="810"/>
      <c r="K645" s="804"/>
      <c r="L645" s="810"/>
      <c r="M645" s="810"/>
      <c r="N645" s="810"/>
      <c r="O645" s="804"/>
      <c r="P645" s="810">
        <v>614696000</v>
      </c>
      <c r="Q645" s="804">
        <f t="shared" si="163"/>
        <v>614696000</v>
      </c>
      <c r="R645" s="810">
        <v>614696000</v>
      </c>
      <c r="S645" s="810"/>
      <c r="T645" s="810"/>
      <c r="U645" s="747"/>
      <c r="V645" s="747">
        <f t="shared" si="154"/>
        <v>614696000</v>
      </c>
      <c r="W645" s="747"/>
      <c r="X645" s="747">
        <f t="shared" si="155"/>
        <v>614696000</v>
      </c>
    </row>
    <row r="646" spans="1:24" s="658" customFormat="1">
      <c r="A646" s="809" t="s">
        <v>1088</v>
      </c>
      <c r="B646" s="795" t="s">
        <v>2306</v>
      </c>
      <c r="C646" s="769" t="s">
        <v>777</v>
      </c>
      <c r="D646" s="770" t="s">
        <v>2307</v>
      </c>
      <c r="E646" s="810">
        <v>3938349000</v>
      </c>
      <c r="F646" s="810"/>
      <c r="G646" s="810"/>
      <c r="H646" s="810"/>
      <c r="I646" s="810"/>
      <c r="J646" s="810"/>
      <c r="K646" s="804"/>
      <c r="L646" s="810"/>
      <c r="M646" s="810"/>
      <c r="N646" s="810"/>
      <c r="O646" s="804"/>
      <c r="P646" s="810">
        <v>44000000</v>
      </c>
      <c r="Q646" s="804">
        <f t="shared" si="163"/>
        <v>44000000</v>
      </c>
      <c r="R646" s="810">
        <v>44000000</v>
      </c>
      <c r="S646" s="810"/>
      <c r="T646" s="810"/>
      <c r="U646" s="747"/>
      <c r="V646" s="747">
        <f t="shared" si="154"/>
        <v>44000000</v>
      </c>
      <c r="W646" s="747"/>
      <c r="X646" s="747">
        <f t="shared" si="155"/>
        <v>44000000</v>
      </c>
    </row>
    <row r="647" spans="1:24" s="658" customFormat="1">
      <c r="A647" s="809" t="s">
        <v>1088</v>
      </c>
      <c r="B647" s="795" t="s">
        <v>2308</v>
      </c>
      <c r="C647" s="769" t="s">
        <v>777</v>
      </c>
      <c r="D647" s="770" t="s">
        <v>2309</v>
      </c>
      <c r="E647" s="810">
        <v>21129512000</v>
      </c>
      <c r="F647" s="810"/>
      <c r="G647" s="810"/>
      <c r="H647" s="810"/>
      <c r="I647" s="810"/>
      <c r="J647" s="810"/>
      <c r="K647" s="804"/>
      <c r="L647" s="810"/>
      <c r="M647" s="810"/>
      <c r="N647" s="810"/>
      <c r="O647" s="804"/>
      <c r="P647" s="810">
        <v>30000</v>
      </c>
      <c r="Q647" s="804">
        <f t="shared" si="163"/>
        <v>30000</v>
      </c>
      <c r="R647" s="810">
        <v>30000</v>
      </c>
      <c r="S647" s="810"/>
      <c r="T647" s="810"/>
      <c r="U647" s="747"/>
      <c r="V647" s="747">
        <f t="shared" si="154"/>
        <v>30000</v>
      </c>
      <c r="W647" s="747">
        <f>G647-H647-I647+M647+S647</f>
        <v>0</v>
      </c>
      <c r="X647" s="747">
        <f t="shared" si="155"/>
        <v>30000</v>
      </c>
    </row>
    <row r="648" spans="1:24" s="658" customFormat="1">
      <c r="A648" s="809" t="s">
        <v>1088</v>
      </c>
      <c r="B648" s="795" t="s">
        <v>2310</v>
      </c>
      <c r="C648" s="769" t="s">
        <v>777</v>
      </c>
      <c r="D648" s="770" t="s">
        <v>2311</v>
      </c>
      <c r="E648" s="810">
        <v>1619302709</v>
      </c>
      <c r="F648" s="810"/>
      <c r="G648" s="810"/>
      <c r="H648" s="810"/>
      <c r="I648" s="810"/>
      <c r="J648" s="810"/>
      <c r="K648" s="804"/>
      <c r="L648" s="810"/>
      <c r="M648" s="810"/>
      <c r="N648" s="810"/>
      <c r="O648" s="804"/>
      <c r="P648" s="810">
        <v>711373000</v>
      </c>
      <c r="Q648" s="804">
        <f t="shared" si="163"/>
        <v>711373000</v>
      </c>
      <c r="R648" s="810">
        <v>711373000</v>
      </c>
      <c r="S648" s="810"/>
      <c r="T648" s="810"/>
      <c r="U648" s="747"/>
      <c r="V648" s="747">
        <f t="shared" si="154"/>
        <v>711373000</v>
      </c>
      <c r="W648" s="747"/>
      <c r="X648" s="747">
        <f t="shared" si="155"/>
        <v>711373000</v>
      </c>
    </row>
    <row r="649" spans="1:24" s="658" customFormat="1">
      <c r="A649" s="809" t="s">
        <v>1088</v>
      </c>
      <c r="B649" s="768" t="s">
        <v>2312</v>
      </c>
      <c r="C649" s="769" t="s">
        <v>777</v>
      </c>
      <c r="D649" s="770" t="s">
        <v>2313</v>
      </c>
      <c r="E649" s="810">
        <v>2861280000</v>
      </c>
      <c r="F649" s="810"/>
      <c r="G649" s="810"/>
      <c r="H649" s="810"/>
      <c r="I649" s="810"/>
      <c r="J649" s="810"/>
      <c r="K649" s="804"/>
      <c r="L649" s="810"/>
      <c r="M649" s="810"/>
      <c r="N649" s="810"/>
      <c r="O649" s="804"/>
      <c r="P649" s="810">
        <v>1817754000</v>
      </c>
      <c r="Q649" s="804">
        <f t="shared" si="163"/>
        <v>1817754000</v>
      </c>
      <c r="R649" s="810">
        <v>1817754000</v>
      </c>
      <c r="S649" s="810"/>
      <c r="T649" s="810"/>
      <c r="U649" s="747"/>
      <c r="V649" s="747">
        <f t="shared" si="154"/>
        <v>1817754000</v>
      </c>
      <c r="W649" s="747"/>
      <c r="X649" s="747">
        <f t="shared" si="155"/>
        <v>1817754000</v>
      </c>
    </row>
    <row r="650" spans="1:24" s="658" customFormat="1">
      <c r="A650" s="809" t="s">
        <v>1088</v>
      </c>
      <c r="B650" s="795" t="s">
        <v>2314</v>
      </c>
      <c r="C650" s="769" t="s">
        <v>777</v>
      </c>
      <c r="D650" s="770" t="s">
        <v>2315</v>
      </c>
      <c r="E650" s="810">
        <v>1221418000</v>
      </c>
      <c r="F650" s="810"/>
      <c r="G650" s="810"/>
      <c r="H650" s="810"/>
      <c r="I650" s="810"/>
      <c r="J650" s="810"/>
      <c r="K650" s="804"/>
      <c r="L650" s="810"/>
      <c r="M650" s="810"/>
      <c r="N650" s="810"/>
      <c r="O650" s="804"/>
      <c r="P650" s="810">
        <v>374477000</v>
      </c>
      <c r="Q650" s="804">
        <f t="shared" si="163"/>
        <v>374477000</v>
      </c>
      <c r="R650" s="810">
        <v>374477000</v>
      </c>
      <c r="S650" s="810"/>
      <c r="T650" s="810"/>
      <c r="U650" s="747"/>
      <c r="V650" s="747">
        <f t="shared" si="154"/>
        <v>374477000</v>
      </c>
      <c r="W650" s="747"/>
      <c r="X650" s="747">
        <f t="shared" si="155"/>
        <v>374477000</v>
      </c>
    </row>
    <row r="651" spans="1:24" s="658" customFormat="1">
      <c r="A651" s="809" t="s">
        <v>1088</v>
      </c>
      <c r="B651" s="795" t="s">
        <v>2316</v>
      </c>
      <c r="C651" s="769" t="s">
        <v>777</v>
      </c>
      <c r="D651" s="770" t="s">
        <v>2317</v>
      </c>
      <c r="E651" s="810">
        <v>1958801000</v>
      </c>
      <c r="F651" s="810"/>
      <c r="G651" s="810"/>
      <c r="H651" s="810"/>
      <c r="I651" s="810"/>
      <c r="J651" s="810"/>
      <c r="K651" s="804"/>
      <c r="L651" s="810"/>
      <c r="M651" s="810"/>
      <c r="N651" s="810"/>
      <c r="O651" s="804"/>
      <c r="P651" s="810">
        <v>852516480</v>
      </c>
      <c r="Q651" s="804">
        <f t="shared" si="163"/>
        <v>852516480</v>
      </c>
      <c r="R651" s="810">
        <v>852516480</v>
      </c>
      <c r="S651" s="810"/>
      <c r="T651" s="810"/>
      <c r="U651" s="747"/>
      <c r="V651" s="747">
        <f t="shared" si="154"/>
        <v>852516480</v>
      </c>
      <c r="W651" s="747"/>
      <c r="X651" s="747">
        <f t="shared" si="155"/>
        <v>852516480</v>
      </c>
    </row>
    <row r="652" spans="1:24" s="658" customFormat="1">
      <c r="A652" s="809" t="s">
        <v>1088</v>
      </c>
      <c r="B652" s="795" t="s">
        <v>2318</v>
      </c>
      <c r="C652" s="769" t="s">
        <v>777</v>
      </c>
      <c r="D652" s="770" t="s">
        <v>846</v>
      </c>
      <c r="E652" s="810">
        <v>758585340000</v>
      </c>
      <c r="F652" s="810">
        <v>44110073506</v>
      </c>
      <c r="G652" s="810">
        <v>1210382506</v>
      </c>
      <c r="H652" s="810"/>
      <c r="I652" s="810">
        <v>524633000</v>
      </c>
      <c r="J652" s="810"/>
      <c r="K652" s="804"/>
      <c r="L652" s="810"/>
      <c r="M652" s="810"/>
      <c r="N652" s="810"/>
      <c r="O652" s="804"/>
      <c r="P652" s="810">
        <v>434259000</v>
      </c>
      <c r="Q652" s="804">
        <f t="shared" si="163"/>
        <v>434259000</v>
      </c>
      <c r="R652" s="810">
        <v>434259000</v>
      </c>
      <c r="S652" s="810"/>
      <c r="T652" s="810"/>
      <c r="U652" s="747"/>
      <c r="V652" s="747">
        <f t="shared" si="154"/>
        <v>958892000</v>
      </c>
      <c r="W652" s="747">
        <f>G652-H652-I652+M652+S652</f>
        <v>685749506</v>
      </c>
      <c r="X652" s="747">
        <f t="shared" si="155"/>
        <v>44544332506</v>
      </c>
    </row>
    <row r="653" spans="1:24" s="658" customFormat="1">
      <c r="A653" s="809" t="s">
        <v>1088</v>
      </c>
      <c r="B653" s="795" t="s">
        <v>2319</v>
      </c>
      <c r="C653" s="769" t="s">
        <v>777</v>
      </c>
      <c r="D653" s="770" t="s">
        <v>2320</v>
      </c>
      <c r="E653" s="810">
        <v>508704825000</v>
      </c>
      <c r="F653" s="810"/>
      <c r="G653" s="810"/>
      <c r="H653" s="810"/>
      <c r="I653" s="810"/>
      <c r="J653" s="810"/>
      <c r="K653" s="804"/>
      <c r="L653" s="810"/>
      <c r="M653" s="810"/>
      <c r="N653" s="810"/>
      <c r="O653" s="804"/>
      <c r="P653" s="810">
        <v>1191762000</v>
      </c>
      <c r="Q653" s="804">
        <f t="shared" si="163"/>
        <v>1191762000</v>
      </c>
      <c r="R653" s="810">
        <v>1191762000</v>
      </c>
      <c r="S653" s="810"/>
      <c r="T653" s="810"/>
      <c r="U653" s="747"/>
      <c r="V653" s="747">
        <f t="shared" si="154"/>
        <v>1191762000</v>
      </c>
      <c r="W653" s="747"/>
      <c r="X653" s="747">
        <f t="shared" si="155"/>
        <v>1191762000</v>
      </c>
    </row>
    <row r="654" spans="1:24" s="658" customFormat="1" ht="22.5">
      <c r="A654" s="809" t="s">
        <v>1088</v>
      </c>
      <c r="B654" s="795" t="s">
        <v>2321</v>
      </c>
      <c r="C654" s="769" t="s">
        <v>777</v>
      </c>
      <c r="D654" s="770" t="s">
        <v>2234</v>
      </c>
      <c r="E654" s="810">
        <v>274113130929</v>
      </c>
      <c r="F654" s="810"/>
      <c r="G654" s="810"/>
      <c r="H654" s="810"/>
      <c r="I654" s="810"/>
      <c r="J654" s="810"/>
      <c r="K654" s="804"/>
      <c r="L654" s="810"/>
      <c r="M654" s="810"/>
      <c r="N654" s="810"/>
      <c r="O654" s="804"/>
      <c r="P654" s="810">
        <v>53132520</v>
      </c>
      <c r="Q654" s="804">
        <f t="shared" si="163"/>
        <v>53132520</v>
      </c>
      <c r="R654" s="810">
        <v>53132520</v>
      </c>
      <c r="S654" s="810"/>
      <c r="T654" s="810"/>
      <c r="U654" s="747"/>
      <c r="V654" s="747">
        <f>I654+L654+R654</f>
        <v>53132520</v>
      </c>
      <c r="W654" s="747"/>
      <c r="X654" s="747">
        <f>F654+K654+Q654</f>
        <v>53132520</v>
      </c>
    </row>
    <row r="655" spans="1:24" s="658" customFormat="1">
      <c r="A655" s="803" t="s">
        <v>105</v>
      </c>
      <c r="B655" s="855" t="s">
        <v>2322</v>
      </c>
      <c r="C655" s="779" t="s">
        <v>777</v>
      </c>
      <c r="D655" s="780" t="s">
        <v>2323</v>
      </c>
      <c r="E655" s="804">
        <v>300000000</v>
      </c>
      <c r="F655" s="804"/>
      <c r="G655" s="804"/>
      <c r="H655" s="804"/>
      <c r="I655" s="804"/>
      <c r="J655" s="804"/>
      <c r="K655" s="804"/>
      <c r="L655" s="804"/>
      <c r="M655" s="804"/>
      <c r="N655" s="804"/>
      <c r="O655" s="804"/>
      <c r="P655" s="804">
        <v>1339000000</v>
      </c>
      <c r="Q655" s="804">
        <f t="shared" si="163"/>
        <v>1339000000</v>
      </c>
      <c r="R655" s="804">
        <v>1339000000</v>
      </c>
      <c r="S655" s="804"/>
      <c r="T655" s="804"/>
      <c r="U655" s="747"/>
      <c r="V655" s="747">
        <f>I655+L655+R655</f>
        <v>1339000000</v>
      </c>
      <c r="W655" s="747"/>
      <c r="X655" s="747">
        <f>F655+K655+Q655</f>
        <v>1339000000</v>
      </c>
    </row>
    <row r="656" spans="1:24" s="658" customFormat="1">
      <c r="A656" s="848" t="s">
        <v>772</v>
      </c>
      <c r="B656" s="787" t="s">
        <v>2324</v>
      </c>
      <c r="C656" s="788"/>
      <c r="D656" s="789"/>
      <c r="E656" s="799"/>
      <c r="F656" s="799"/>
      <c r="G656" s="799"/>
      <c r="H656" s="799"/>
      <c r="I656" s="799"/>
      <c r="J656" s="799"/>
      <c r="K656" s="804"/>
      <c r="L656" s="799"/>
      <c r="M656" s="799"/>
      <c r="N656" s="799"/>
      <c r="O656" s="804"/>
      <c r="P656" s="799"/>
      <c r="Q656" s="804">
        <f t="shared" si="163"/>
        <v>0</v>
      </c>
      <c r="R656" s="799"/>
      <c r="S656" s="799"/>
      <c r="T656" s="799"/>
      <c r="U656" s="747"/>
      <c r="V656" s="747"/>
      <c r="W656" s="747"/>
      <c r="X656" s="747"/>
    </row>
    <row r="657" spans="1:25" s="658" customFormat="1">
      <c r="A657" s="808" t="s">
        <v>743</v>
      </c>
      <c r="B657" s="851" t="s">
        <v>2325</v>
      </c>
      <c r="C657" s="788"/>
      <c r="D657" s="789"/>
      <c r="E657" s="799"/>
      <c r="F657" s="799"/>
      <c r="G657" s="799"/>
      <c r="H657" s="799"/>
      <c r="I657" s="799"/>
      <c r="J657" s="799"/>
      <c r="K657" s="804"/>
      <c r="L657" s="799"/>
      <c r="M657" s="799"/>
      <c r="N657" s="799"/>
      <c r="O657" s="804"/>
      <c r="P657" s="799"/>
      <c r="Q657" s="804">
        <f t="shared" si="163"/>
        <v>0</v>
      </c>
      <c r="R657" s="799"/>
      <c r="S657" s="799"/>
      <c r="T657" s="799"/>
      <c r="U657" s="747"/>
      <c r="V657" s="747"/>
      <c r="W657" s="747"/>
      <c r="X657" s="747"/>
    </row>
    <row r="658" spans="1:25" s="658" customFormat="1" ht="22.5">
      <c r="A658" s="803" t="s">
        <v>104</v>
      </c>
      <c r="B658" s="745" t="s">
        <v>2326</v>
      </c>
      <c r="C658" s="779" t="s">
        <v>777</v>
      </c>
      <c r="D658" s="780" t="s">
        <v>1418</v>
      </c>
      <c r="E658" s="804">
        <v>1528232532000</v>
      </c>
      <c r="F658" s="804">
        <v>53586049324</v>
      </c>
      <c r="G658" s="804">
        <v>3239001584</v>
      </c>
      <c r="H658" s="804"/>
      <c r="I658" s="804">
        <v>3115068009</v>
      </c>
      <c r="J658" s="804"/>
      <c r="K658" s="804"/>
      <c r="L658" s="804"/>
      <c r="M658" s="804"/>
      <c r="N658" s="804"/>
      <c r="O658" s="804"/>
      <c r="P658" s="804">
        <v>80000000000</v>
      </c>
      <c r="Q658" s="804">
        <f t="shared" si="163"/>
        <v>79999264000</v>
      </c>
      <c r="R658" s="804">
        <v>79999264000</v>
      </c>
      <c r="S658" s="804"/>
      <c r="T658" s="804"/>
      <c r="U658" s="747">
        <f>P658-Q658-T658</f>
        <v>736000</v>
      </c>
      <c r="V658" s="747">
        <f>I658+L658+R658</f>
        <v>83114332009</v>
      </c>
      <c r="W658" s="747">
        <f>G658-H658-I658+M658+S658</f>
        <v>123933575</v>
      </c>
      <c r="X658" s="747">
        <f>F658+K658+Q658</f>
        <v>133585313324</v>
      </c>
    </row>
    <row r="659" spans="1:25" s="658" customFormat="1">
      <c r="A659" s="808" t="s">
        <v>745</v>
      </c>
      <c r="B659" s="851" t="s">
        <v>2299</v>
      </c>
      <c r="C659" s="779"/>
      <c r="D659" s="780"/>
      <c r="E659" s="804"/>
      <c r="F659" s="804"/>
      <c r="G659" s="804"/>
      <c r="H659" s="804"/>
      <c r="I659" s="804"/>
      <c r="J659" s="804"/>
      <c r="K659" s="804"/>
      <c r="L659" s="804"/>
      <c r="M659" s="804"/>
      <c r="N659" s="804"/>
      <c r="O659" s="804"/>
      <c r="P659" s="804"/>
      <c r="Q659" s="804">
        <f t="shared" si="163"/>
        <v>0</v>
      </c>
      <c r="R659" s="804"/>
      <c r="S659" s="804"/>
      <c r="T659" s="804"/>
      <c r="U659" s="747"/>
      <c r="V659" s="747"/>
      <c r="W659" s="747"/>
      <c r="X659" s="747"/>
    </row>
    <row r="660" spans="1:25" s="658" customFormat="1" ht="22.5">
      <c r="A660" s="803"/>
      <c r="B660" s="745" t="s">
        <v>2327</v>
      </c>
      <c r="C660" s="779">
        <v>961</v>
      </c>
      <c r="D660" s="780" t="s">
        <v>2328</v>
      </c>
      <c r="E660" s="804">
        <v>1032202585161</v>
      </c>
      <c r="F660" s="804">
        <v>8000000000</v>
      </c>
      <c r="G660" s="804">
        <v>18251000</v>
      </c>
      <c r="H660" s="804"/>
      <c r="I660" s="804">
        <v>18251000</v>
      </c>
      <c r="J660" s="804"/>
      <c r="K660" s="804"/>
      <c r="L660" s="804"/>
      <c r="M660" s="804"/>
      <c r="N660" s="804"/>
      <c r="O660" s="804"/>
      <c r="P660" s="804">
        <v>10000000000</v>
      </c>
      <c r="Q660" s="804">
        <f t="shared" si="163"/>
        <v>10000000000</v>
      </c>
      <c r="R660" s="804">
        <v>6016351000</v>
      </c>
      <c r="S660" s="804">
        <v>3983649000</v>
      </c>
      <c r="T660" s="804"/>
      <c r="U660" s="747"/>
      <c r="V660" s="747">
        <f>I660+L660+R660</f>
        <v>6034602000</v>
      </c>
      <c r="W660" s="747">
        <f>G660-H660-I660+M660+S660</f>
        <v>3983649000</v>
      </c>
      <c r="X660" s="747">
        <f>F660+K660+Q660</f>
        <v>18000000000</v>
      </c>
    </row>
    <row r="661" spans="1:25" s="658" customFormat="1" ht="22.5">
      <c r="A661" s="803" t="s">
        <v>1088</v>
      </c>
      <c r="B661" s="745" t="s">
        <v>2329</v>
      </c>
      <c r="C661" s="779" t="s">
        <v>777</v>
      </c>
      <c r="D661" s="780" t="s">
        <v>2330</v>
      </c>
      <c r="E661" s="804">
        <v>221161742344</v>
      </c>
      <c r="F661" s="804">
        <v>4600000000</v>
      </c>
      <c r="G661" s="804">
        <v>461851176</v>
      </c>
      <c r="H661" s="804"/>
      <c r="I661" s="804">
        <v>121270000</v>
      </c>
      <c r="J661" s="804"/>
      <c r="K661" s="804"/>
      <c r="L661" s="804"/>
      <c r="M661" s="804"/>
      <c r="N661" s="804"/>
      <c r="O661" s="804"/>
      <c r="P661" s="804">
        <v>10000000000</v>
      </c>
      <c r="Q661" s="804">
        <f t="shared" si="163"/>
        <v>10000000000</v>
      </c>
      <c r="R661" s="804">
        <v>10000000000</v>
      </c>
      <c r="S661" s="804"/>
      <c r="T661" s="804"/>
      <c r="U661" s="747"/>
      <c r="V661" s="747">
        <f>I661+L661+R661</f>
        <v>10121270000</v>
      </c>
      <c r="W661" s="747">
        <f>G661-H661-I661+M661+S661</f>
        <v>340581176</v>
      </c>
      <c r="X661" s="747">
        <f>F661+K661+Q661</f>
        <v>14600000000</v>
      </c>
    </row>
    <row r="662" spans="1:25" s="665" customFormat="1">
      <c r="A662" s="803" t="s">
        <v>1088</v>
      </c>
      <c r="B662" s="785" t="s">
        <v>2331</v>
      </c>
      <c r="C662" s="779" t="s">
        <v>777</v>
      </c>
      <c r="D662" s="780" t="s">
        <v>2332</v>
      </c>
      <c r="E662" s="804">
        <v>93265842841</v>
      </c>
      <c r="F662" s="804">
        <v>398916000</v>
      </c>
      <c r="G662" s="804">
        <v>398916000</v>
      </c>
      <c r="H662" s="804"/>
      <c r="I662" s="804">
        <v>398916000</v>
      </c>
      <c r="J662" s="804"/>
      <c r="K662" s="804"/>
      <c r="L662" s="804"/>
      <c r="M662" s="804"/>
      <c r="N662" s="804"/>
      <c r="O662" s="804"/>
      <c r="P662" s="804">
        <v>10000000000</v>
      </c>
      <c r="Q662" s="804">
        <f t="shared" si="163"/>
        <v>10000000000</v>
      </c>
      <c r="R662" s="804">
        <v>93720000</v>
      </c>
      <c r="S662" s="804">
        <v>9906280000</v>
      </c>
      <c r="T662" s="804"/>
      <c r="U662" s="747"/>
      <c r="V662" s="747">
        <f>I662+L662+R662</f>
        <v>492636000</v>
      </c>
      <c r="W662" s="747">
        <f>G662-H662-I662+M662+S662</f>
        <v>9906280000</v>
      </c>
      <c r="X662" s="747">
        <f>F662+K662+Q662</f>
        <v>10398916000</v>
      </c>
    </row>
    <row r="663" spans="1:25" s="658" customFormat="1">
      <c r="A663" s="848" t="s">
        <v>109</v>
      </c>
      <c r="B663" s="849" t="s">
        <v>2333</v>
      </c>
      <c r="C663" s="788"/>
      <c r="D663" s="789"/>
      <c r="E663" s="799">
        <f>SUM(E666:E667)</f>
        <v>229874290290</v>
      </c>
      <c r="F663" s="799">
        <f>SUM(F666:F667)</f>
        <v>24078329000</v>
      </c>
      <c r="G663" s="799">
        <f t="shared" ref="G663:X663" si="164">SUM(G666:G667)</f>
        <v>9515547707</v>
      </c>
      <c r="H663" s="799">
        <f t="shared" si="164"/>
        <v>0</v>
      </c>
      <c r="I663" s="799">
        <f t="shared" si="164"/>
        <v>7492982707</v>
      </c>
      <c r="J663" s="799">
        <f t="shared" si="164"/>
        <v>0</v>
      </c>
      <c r="K663" s="799">
        <f t="shared" si="164"/>
        <v>0</v>
      </c>
      <c r="L663" s="799">
        <f t="shared" si="164"/>
        <v>0</v>
      </c>
      <c r="M663" s="799">
        <f t="shared" si="164"/>
        <v>0</v>
      </c>
      <c r="N663" s="799">
        <f t="shared" si="164"/>
        <v>0</v>
      </c>
      <c r="O663" s="799">
        <f t="shared" si="164"/>
        <v>0</v>
      </c>
      <c r="P663" s="799">
        <f t="shared" si="164"/>
        <v>25000000000</v>
      </c>
      <c r="Q663" s="799">
        <f t="shared" si="164"/>
        <v>16604023847</v>
      </c>
      <c r="R663" s="799">
        <f t="shared" si="164"/>
        <v>15904023847</v>
      </c>
      <c r="S663" s="799">
        <f t="shared" si="164"/>
        <v>700000000</v>
      </c>
      <c r="T663" s="799">
        <f t="shared" si="164"/>
        <v>8395976153</v>
      </c>
      <c r="U663" s="799">
        <f t="shared" si="164"/>
        <v>0</v>
      </c>
      <c r="V663" s="799">
        <f t="shared" si="164"/>
        <v>23397006554</v>
      </c>
      <c r="W663" s="799">
        <f t="shared" si="164"/>
        <v>2722565000</v>
      </c>
      <c r="X663" s="799">
        <f t="shared" si="164"/>
        <v>40682352847</v>
      </c>
    </row>
    <row r="664" spans="1:25" s="658" customFormat="1">
      <c r="A664" s="848" t="s">
        <v>771</v>
      </c>
      <c r="B664" s="787" t="s">
        <v>2324</v>
      </c>
      <c r="C664" s="779"/>
      <c r="D664" s="780"/>
      <c r="E664" s="804"/>
      <c r="F664" s="804"/>
      <c r="G664" s="804"/>
      <c r="H664" s="804"/>
      <c r="I664" s="804"/>
      <c r="J664" s="804"/>
      <c r="K664" s="804"/>
      <c r="L664" s="804"/>
      <c r="M664" s="804"/>
      <c r="N664" s="804"/>
      <c r="O664" s="804"/>
      <c r="P664" s="804"/>
      <c r="Q664" s="804"/>
      <c r="R664" s="804"/>
      <c r="S664" s="804"/>
      <c r="T664" s="804"/>
      <c r="U664" s="747"/>
      <c r="V664" s="747"/>
      <c r="W664" s="747"/>
      <c r="X664" s="747"/>
    </row>
    <row r="665" spans="1:25" s="658" customFormat="1">
      <c r="A665" s="808" t="s">
        <v>743</v>
      </c>
      <c r="B665" s="851" t="s">
        <v>2299</v>
      </c>
      <c r="C665" s="779"/>
      <c r="D665" s="780"/>
      <c r="E665" s="804"/>
      <c r="F665" s="804"/>
      <c r="G665" s="804"/>
      <c r="H665" s="804"/>
      <c r="I665" s="804"/>
      <c r="J665" s="804"/>
      <c r="K665" s="804"/>
      <c r="L665" s="804"/>
      <c r="M665" s="804"/>
      <c r="N665" s="804"/>
      <c r="O665" s="804"/>
      <c r="P665" s="804"/>
      <c r="Q665" s="804"/>
      <c r="R665" s="804"/>
      <c r="S665" s="804"/>
      <c r="T665" s="804"/>
      <c r="U665" s="747"/>
      <c r="V665" s="747"/>
      <c r="W665" s="747"/>
      <c r="X665" s="747"/>
    </row>
    <row r="666" spans="1:25" s="658" customFormat="1" ht="22.5">
      <c r="A666" s="803" t="s">
        <v>1088</v>
      </c>
      <c r="B666" s="785" t="s">
        <v>2334</v>
      </c>
      <c r="C666" s="779" t="s">
        <v>777</v>
      </c>
      <c r="D666" s="780" t="s">
        <v>2335</v>
      </c>
      <c r="E666" s="804">
        <v>134183535000</v>
      </c>
      <c r="F666" s="804">
        <v>12980320000</v>
      </c>
      <c r="G666" s="804">
        <v>3969847707</v>
      </c>
      <c r="H666" s="804"/>
      <c r="I666" s="804">
        <v>3197127707</v>
      </c>
      <c r="J666" s="804"/>
      <c r="K666" s="804"/>
      <c r="L666" s="804"/>
      <c r="M666" s="804"/>
      <c r="N666" s="804"/>
      <c r="O666" s="804"/>
      <c r="P666" s="804">
        <v>15000000000</v>
      </c>
      <c r="Q666" s="804">
        <f t="shared" si="163"/>
        <v>6604023847</v>
      </c>
      <c r="R666" s="804">
        <v>6604023847</v>
      </c>
      <c r="S666" s="804"/>
      <c r="T666" s="804">
        <v>8395976153</v>
      </c>
      <c r="U666" s="747"/>
      <c r="V666" s="747">
        <f>I666+L666+R666</f>
        <v>9801151554</v>
      </c>
      <c r="W666" s="747">
        <f>G666-H666-I666+M666+S666</f>
        <v>772720000</v>
      </c>
      <c r="X666" s="747">
        <f>F666+K666+Q666</f>
        <v>19584343847</v>
      </c>
    </row>
    <row r="667" spans="1:25" s="658" customFormat="1">
      <c r="A667" s="803" t="s">
        <v>1088</v>
      </c>
      <c r="B667" s="785" t="s">
        <v>821</v>
      </c>
      <c r="C667" s="779" t="s">
        <v>777</v>
      </c>
      <c r="D667" s="780" t="s">
        <v>2336</v>
      </c>
      <c r="E667" s="804">
        <v>95690755290</v>
      </c>
      <c r="F667" s="804">
        <v>11098009000</v>
      </c>
      <c r="G667" s="804">
        <v>5545700000</v>
      </c>
      <c r="H667" s="804"/>
      <c r="I667" s="804">
        <v>4295855000</v>
      </c>
      <c r="J667" s="804"/>
      <c r="K667" s="804"/>
      <c r="L667" s="804"/>
      <c r="M667" s="804"/>
      <c r="N667" s="804"/>
      <c r="O667" s="804"/>
      <c r="P667" s="804">
        <v>10000000000</v>
      </c>
      <c r="Q667" s="804">
        <f t="shared" si="163"/>
        <v>10000000000</v>
      </c>
      <c r="R667" s="804">
        <v>9300000000</v>
      </c>
      <c r="S667" s="804">
        <v>700000000</v>
      </c>
      <c r="T667" s="804"/>
      <c r="U667" s="747"/>
      <c r="V667" s="747">
        <f>I667+L667+R667</f>
        <v>13595855000</v>
      </c>
      <c r="W667" s="747">
        <f>G667-H667-I667+M667+S667</f>
        <v>1949845000</v>
      </c>
      <c r="X667" s="747">
        <f>F667+K667+Q667</f>
        <v>21098009000</v>
      </c>
    </row>
    <row r="668" spans="1:25" s="658" customFormat="1" ht="21">
      <c r="A668" s="848" t="s">
        <v>118</v>
      </c>
      <c r="B668" s="849" t="s">
        <v>2337</v>
      </c>
      <c r="C668" s="779"/>
      <c r="D668" s="780"/>
      <c r="E668" s="799">
        <f>SUM(E671:E682)</f>
        <v>1115572563023</v>
      </c>
      <c r="F668" s="799">
        <f>SUM(F671:F682)</f>
        <v>61147094700</v>
      </c>
      <c r="G668" s="799">
        <f t="shared" ref="G668:V668" si="165">SUM(G671:G682)</f>
        <v>45996855252</v>
      </c>
      <c r="H668" s="799">
        <f t="shared" si="165"/>
        <v>0</v>
      </c>
      <c r="I668" s="799">
        <f t="shared" si="165"/>
        <v>34806239566</v>
      </c>
      <c r="J668" s="799">
        <f t="shared" si="165"/>
        <v>0</v>
      </c>
      <c r="K668" s="799">
        <f t="shared" si="165"/>
        <v>0</v>
      </c>
      <c r="L668" s="799">
        <f t="shared" si="165"/>
        <v>0</v>
      </c>
      <c r="M668" s="799">
        <f t="shared" si="165"/>
        <v>0</v>
      </c>
      <c r="N668" s="799">
        <f t="shared" si="165"/>
        <v>0</v>
      </c>
      <c r="O668" s="799">
        <f t="shared" si="165"/>
        <v>0</v>
      </c>
      <c r="P668" s="799">
        <f t="shared" si="165"/>
        <v>69232000000</v>
      </c>
      <c r="Q668" s="799">
        <f t="shared" si="165"/>
        <v>55858807000</v>
      </c>
      <c r="R668" s="799">
        <f t="shared" si="165"/>
        <v>54251330000</v>
      </c>
      <c r="S668" s="799">
        <f t="shared" si="165"/>
        <v>1607477000</v>
      </c>
      <c r="T668" s="799">
        <f>SUM(T671:T682)</f>
        <v>0</v>
      </c>
      <c r="U668" s="799">
        <f t="shared" si="165"/>
        <v>1229193000</v>
      </c>
      <c r="V668" s="799">
        <f t="shared" si="165"/>
        <v>89057569566</v>
      </c>
      <c r="W668" s="799">
        <f>SUM(W671:W682)</f>
        <v>12798092686</v>
      </c>
      <c r="X668" s="799">
        <f>SUM(X671:X682)</f>
        <v>112268436700</v>
      </c>
    </row>
    <row r="669" spans="1:25" s="658" customFormat="1">
      <c r="A669" s="736" t="s">
        <v>771</v>
      </c>
      <c r="B669" s="737" t="s">
        <v>2298</v>
      </c>
      <c r="C669" s="779"/>
      <c r="D669" s="780"/>
      <c r="E669" s="804"/>
      <c r="F669" s="804"/>
      <c r="G669" s="804"/>
      <c r="H669" s="804"/>
      <c r="I669" s="804"/>
      <c r="J669" s="804"/>
      <c r="K669" s="804"/>
      <c r="L669" s="804"/>
      <c r="M669" s="804"/>
      <c r="N669" s="804"/>
      <c r="O669" s="804"/>
      <c r="P669" s="804"/>
      <c r="Q669" s="804"/>
      <c r="R669" s="804"/>
      <c r="S669" s="804"/>
      <c r="T669" s="804"/>
      <c r="U669" s="747"/>
      <c r="V669" s="747"/>
      <c r="W669" s="747"/>
      <c r="X669" s="747"/>
    </row>
    <row r="670" spans="1:25" s="658" customFormat="1">
      <c r="A670" s="808" t="s">
        <v>743</v>
      </c>
      <c r="B670" s="851" t="s">
        <v>2299</v>
      </c>
      <c r="C670" s="779"/>
      <c r="D670" s="780"/>
      <c r="E670" s="804"/>
      <c r="F670" s="804"/>
      <c r="G670" s="804"/>
      <c r="H670" s="804"/>
      <c r="I670" s="804"/>
      <c r="J670" s="804"/>
      <c r="K670" s="804"/>
      <c r="L670" s="804"/>
      <c r="M670" s="804"/>
      <c r="N670" s="804"/>
      <c r="O670" s="804"/>
      <c r="P670" s="804"/>
      <c r="Q670" s="804"/>
      <c r="R670" s="804"/>
      <c r="S670" s="804"/>
      <c r="T670" s="804"/>
      <c r="U670" s="747"/>
      <c r="V670" s="747"/>
      <c r="W670" s="747"/>
      <c r="X670" s="747"/>
    </row>
    <row r="671" spans="1:25" s="658" customFormat="1" ht="22.5">
      <c r="A671" s="803" t="s">
        <v>1088</v>
      </c>
      <c r="B671" s="785" t="s">
        <v>2338</v>
      </c>
      <c r="C671" s="779" t="s">
        <v>777</v>
      </c>
      <c r="D671" s="780" t="s">
        <v>2109</v>
      </c>
      <c r="E671" s="804">
        <v>25084642869</v>
      </c>
      <c r="F671" s="804">
        <v>69001700</v>
      </c>
      <c r="G671" s="804">
        <v>69001700</v>
      </c>
      <c r="H671" s="804"/>
      <c r="I671" s="804"/>
      <c r="J671" s="804"/>
      <c r="K671" s="804"/>
      <c r="L671" s="804"/>
      <c r="M671" s="804"/>
      <c r="N671" s="804"/>
      <c r="O671" s="804"/>
      <c r="P671" s="804">
        <v>260000000</v>
      </c>
      <c r="Q671" s="804">
        <f t="shared" si="163"/>
        <v>260000000</v>
      </c>
      <c r="R671" s="804">
        <v>260000000</v>
      </c>
      <c r="S671" s="804"/>
      <c r="T671" s="804"/>
      <c r="U671" s="747"/>
      <c r="V671" s="747">
        <f>I671+L671+R671</f>
        <v>260000000</v>
      </c>
      <c r="W671" s="747">
        <f>G671-H671-I671+M671+S671</f>
        <v>69001700</v>
      </c>
      <c r="X671" s="747">
        <f>F671+K671+Q671</f>
        <v>329001700</v>
      </c>
    </row>
    <row r="672" spans="1:25" s="658" customFormat="1" ht="22.5">
      <c r="A672" s="803" t="s">
        <v>1088</v>
      </c>
      <c r="B672" s="785" t="s">
        <v>2339</v>
      </c>
      <c r="C672" s="779" t="s">
        <v>777</v>
      </c>
      <c r="D672" s="780" t="s">
        <v>2107</v>
      </c>
      <c r="E672" s="804">
        <v>31882475000</v>
      </c>
      <c r="F672" s="804">
        <v>78350000</v>
      </c>
      <c r="G672" s="804">
        <v>78350000</v>
      </c>
      <c r="H672" s="804"/>
      <c r="I672" s="804"/>
      <c r="J672" s="804"/>
      <c r="K672" s="804"/>
      <c r="L672" s="804"/>
      <c r="M672" s="804"/>
      <c r="N672" s="804"/>
      <c r="O672" s="804"/>
      <c r="P672" s="804">
        <v>1251000000</v>
      </c>
      <c r="Q672" s="804">
        <f t="shared" si="163"/>
        <v>378807000</v>
      </c>
      <c r="R672" s="804">
        <v>378807000</v>
      </c>
      <c r="S672" s="804"/>
      <c r="T672" s="804"/>
      <c r="U672" s="747">
        <f>P672-Q672-T672</f>
        <v>872193000</v>
      </c>
      <c r="V672" s="747">
        <f>I672+L672+R672</f>
        <v>378807000</v>
      </c>
      <c r="W672" s="747">
        <f>G672-H672-I672+M672+S672</f>
        <v>78350000</v>
      </c>
      <c r="X672" s="747">
        <v>457157000</v>
      </c>
      <c r="Y672" s="697">
        <v>1251000000</v>
      </c>
    </row>
    <row r="673" spans="1:25" s="658" customFormat="1">
      <c r="A673" s="808" t="s">
        <v>745</v>
      </c>
      <c r="B673" s="851" t="s">
        <v>2301</v>
      </c>
      <c r="C673" s="788"/>
      <c r="D673" s="789"/>
      <c r="E673" s="799"/>
      <c r="F673" s="799"/>
      <c r="G673" s="799"/>
      <c r="H673" s="799"/>
      <c r="I673" s="799"/>
      <c r="J673" s="799"/>
      <c r="K673" s="804"/>
      <c r="L673" s="799"/>
      <c r="M673" s="799"/>
      <c r="N673" s="799"/>
      <c r="O673" s="804"/>
      <c r="P673" s="799"/>
      <c r="Q673" s="804"/>
      <c r="R673" s="799"/>
      <c r="S673" s="799"/>
      <c r="T673" s="799"/>
      <c r="U673" s="747"/>
      <c r="V673" s="747"/>
      <c r="W673" s="747"/>
      <c r="X673" s="747"/>
    </row>
    <row r="674" spans="1:25" s="658" customFormat="1">
      <c r="A674" s="803" t="s">
        <v>1088</v>
      </c>
      <c r="B674" s="785" t="s">
        <v>2340</v>
      </c>
      <c r="C674" s="779" t="s">
        <v>777</v>
      </c>
      <c r="D674" s="780" t="s">
        <v>2111</v>
      </c>
      <c r="E674" s="804">
        <v>19464300000</v>
      </c>
      <c r="F674" s="804"/>
      <c r="G674" s="804"/>
      <c r="H674" s="804"/>
      <c r="I674" s="804"/>
      <c r="J674" s="804"/>
      <c r="K674" s="804"/>
      <c r="L674" s="804"/>
      <c r="M674" s="804"/>
      <c r="N674" s="804"/>
      <c r="O674" s="804"/>
      <c r="P674" s="804">
        <v>1472000000</v>
      </c>
      <c r="Q674" s="804">
        <f t="shared" si="163"/>
        <v>1472000000</v>
      </c>
      <c r="R674" s="804">
        <v>1472000000</v>
      </c>
      <c r="S674" s="804"/>
      <c r="T674" s="804"/>
      <c r="U674" s="747"/>
      <c r="V674" s="747">
        <f>I674+L674+R674</f>
        <v>1472000000</v>
      </c>
      <c r="W674" s="747"/>
      <c r="X674" s="747">
        <f>F674+K674+Q674</f>
        <v>1472000000</v>
      </c>
    </row>
    <row r="675" spans="1:25" s="658" customFormat="1">
      <c r="A675" s="803" t="s">
        <v>1088</v>
      </c>
      <c r="B675" s="785" t="s">
        <v>2341</v>
      </c>
      <c r="C675" s="779" t="s">
        <v>777</v>
      </c>
      <c r="D675" s="780" t="s">
        <v>2342</v>
      </c>
      <c r="E675" s="804">
        <v>7411007000</v>
      </c>
      <c r="F675" s="804"/>
      <c r="G675" s="804"/>
      <c r="H675" s="804"/>
      <c r="I675" s="804"/>
      <c r="J675" s="804"/>
      <c r="K675" s="804"/>
      <c r="L675" s="804"/>
      <c r="M675" s="804"/>
      <c r="N675" s="804"/>
      <c r="O675" s="804"/>
      <c r="P675" s="804">
        <v>478000000</v>
      </c>
      <c r="Q675" s="804">
        <f t="shared" si="163"/>
        <v>121000000</v>
      </c>
      <c r="R675" s="804">
        <v>121000000</v>
      </c>
      <c r="S675" s="804"/>
      <c r="T675" s="804"/>
      <c r="U675" s="747">
        <f>P675-Q675-T675</f>
        <v>357000000</v>
      </c>
      <c r="V675" s="747">
        <f>I675+L675+R675</f>
        <v>121000000</v>
      </c>
      <c r="W675" s="747"/>
      <c r="X675" s="747">
        <v>121000000</v>
      </c>
      <c r="Y675" s="697">
        <v>478000000</v>
      </c>
    </row>
    <row r="676" spans="1:25" s="658" customFormat="1">
      <c r="A676" s="803" t="s">
        <v>1088</v>
      </c>
      <c r="B676" s="785" t="s">
        <v>2343</v>
      </c>
      <c r="C676" s="779" t="s">
        <v>777</v>
      </c>
      <c r="D676" s="780" t="s">
        <v>2344</v>
      </c>
      <c r="E676" s="804">
        <v>5152583000</v>
      </c>
      <c r="F676" s="804">
        <v>72242000</v>
      </c>
      <c r="G676" s="804">
        <v>72242000</v>
      </c>
      <c r="H676" s="804"/>
      <c r="I676" s="804"/>
      <c r="J676" s="804"/>
      <c r="K676" s="804"/>
      <c r="L676" s="804"/>
      <c r="M676" s="804"/>
      <c r="N676" s="804"/>
      <c r="O676" s="804"/>
      <c r="P676" s="804">
        <v>114000000</v>
      </c>
      <c r="Q676" s="804">
        <f t="shared" si="163"/>
        <v>114000000</v>
      </c>
      <c r="R676" s="804">
        <v>114000000</v>
      </c>
      <c r="S676" s="804"/>
      <c r="T676" s="804"/>
      <c r="U676" s="747"/>
      <c r="V676" s="747">
        <f>I676+L676+R676</f>
        <v>114000000</v>
      </c>
      <c r="W676" s="747">
        <f>G676-H676-I676+M676+S676</f>
        <v>72242000</v>
      </c>
      <c r="X676" s="747">
        <f>F676+K676+Q676</f>
        <v>186242000</v>
      </c>
    </row>
    <row r="677" spans="1:25" s="660" customFormat="1">
      <c r="A677" s="848" t="s">
        <v>772</v>
      </c>
      <c r="B677" s="787" t="s">
        <v>2324</v>
      </c>
      <c r="C677" s="779"/>
      <c r="D677" s="780"/>
      <c r="E677" s="804"/>
      <c r="F677" s="804"/>
      <c r="G677" s="804"/>
      <c r="H677" s="804"/>
      <c r="I677" s="804"/>
      <c r="J677" s="804"/>
      <c r="K677" s="804"/>
      <c r="L677" s="804"/>
      <c r="M677" s="804"/>
      <c r="N677" s="804"/>
      <c r="O677" s="804"/>
      <c r="P677" s="804"/>
      <c r="Q677" s="804"/>
      <c r="R677" s="804"/>
      <c r="S677" s="804"/>
      <c r="T677" s="804"/>
      <c r="U677" s="747"/>
      <c r="V677" s="747"/>
      <c r="W677" s="747"/>
      <c r="X677" s="747"/>
    </row>
    <row r="678" spans="1:25" s="663" customFormat="1">
      <c r="A678" s="808" t="s">
        <v>743</v>
      </c>
      <c r="B678" s="851" t="s">
        <v>2299</v>
      </c>
      <c r="C678" s="779"/>
      <c r="D678" s="780"/>
      <c r="E678" s="804"/>
      <c r="F678" s="804"/>
      <c r="G678" s="804"/>
      <c r="H678" s="804"/>
      <c r="I678" s="804"/>
      <c r="J678" s="804"/>
      <c r="K678" s="804"/>
      <c r="L678" s="804"/>
      <c r="M678" s="804"/>
      <c r="N678" s="804"/>
      <c r="O678" s="804"/>
      <c r="P678" s="804"/>
      <c r="Q678" s="804"/>
      <c r="R678" s="804"/>
      <c r="S678" s="804"/>
      <c r="T678" s="804"/>
      <c r="U678" s="747"/>
      <c r="V678" s="747"/>
      <c r="W678" s="747"/>
      <c r="X678" s="747"/>
    </row>
    <row r="679" spans="1:25" s="658" customFormat="1">
      <c r="A679" s="803" t="s">
        <v>1088</v>
      </c>
      <c r="B679" s="785" t="s">
        <v>2345</v>
      </c>
      <c r="C679" s="788" t="s">
        <v>777</v>
      </c>
      <c r="D679" s="780" t="s">
        <v>2346</v>
      </c>
      <c r="E679" s="804">
        <v>921953597000</v>
      </c>
      <c r="F679" s="804">
        <v>49030866000</v>
      </c>
      <c r="G679" s="804">
        <v>39919081552</v>
      </c>
      <c r="H679" s="804"/>
      <c r="I679" s="804">
        <v>29794044566</v>
      </c>
      <c r="J679" s="804"/>
      <c r="K679" s="804"/>
      <c r="L679" s="804"/>
      <c r="M679" s="804"/>
      <c r="N679" s="804"/>
      <c r="O679" s="804"/>
      <c r="P679" s="804">
        <v>50276000000</v>
      </c>
      <c r="Q679" s="804">
        <f t="shared" si="163"/>
        <v>50276000000</v>
      </c>
      <c r="R679" s="804">
        <v>48668523000</v>
      </c>
      <c r="S679" s="804">
        <v>1607477000</v>
      </c>
      <c r="T679" s="804"/>
      <c r="U679" s="747"/>
      <c r="V679" s="747">
        <f>I679+L679+R679</f>
        <v>78462567566</v>
      </c>
      <c r="W679" s="747">
        <f>G679-H679-I679+M679+S679</f>
        <v>11732513986</v>
      </c>
      <c r="X679" s="747">
        <v>94569401000</v>
      </c>
      <c r="Y679" s="658">
        <v>94569401000</v>
      </c>
    </row>
    <row r="680" spans="1:25" s="663" customFormat="1" ht="22.5">
      <c r="A680" s="803" t="s">
        <v>1088</v>
      </c>
      <c r="B680" s="785" t="s">
        <v>822</v>
      </c>
      <c r="C680" s="779" t="s">
        <v>777</v>
      </c>
      <c r="D680" s="780" t="s">
        <v>2105</v>
      </c>
      <c r="E680" s="804">
        <v>41563654154</v>
      </c>
      <c r="F680" s="804">
        <v>4052210000</v>
      </c>
      <c r="G680" s="804">
        <v>2941751000</v>
      </c>
      <c r="H680" s="804"/>
      <c r="I680" s="804">
        <v>2095766000</v>
      </c>
      <c r="J680" s="804"/>
      <c r="K680" s="804"/>
      <c r="L680" s="804"/>
      <c r="M680" s="804"/>
      <c r="N680" s="804"/>
      <c r="O680" s="804"/>
      <c r="P680" s="804">
        <v>1237000000</v>
      </c>
      <c r="Q680" s="804">
        <f t="shared" si="163"/>
        <v>1237000000</v>
      </c>
      <c r="R680" s="804">
        <v>1237000000</v>
      </c>
      <c r="S680" s="804"/>
      <c r="T680" s="804"/>
      <c r="U680" s="747"/>
      <c r="V680" s="747">
        <f>I680+L680+R680</f>
        <v>3332766000</v>
      </c>
      <c r="W680" s="747">
        <f>G680-H680-I680+M680+S680</f>
        <v>845985000</v>
      </c>
      <c r="X680" s="747">
        <f>F680+K680+Q680</f>
        <v>5289210000</v>
      </c>
    </row>
    <row r="681" spans="1:25" s="658" customFormat="1" ht="22.5">
      <c r="A681" s="803" t="s">
        <v>1088</v>
      </c>
      <c r="B681" s="764" t="s">
        <v>2347</v>
      </c>
      <c r="C681" s="779" t="s">
        <v>777</v>
      </c>
      <c r="D681" s="780" t="s">
        <v>2253</v>
      </c>
      <c r="E681" s="804">
        <v>63060304000</v>
      </c>
      <c r="F681" s="804">
        <v>7844425000</v>
      </c>
      <c r="G681" s="804">
        <v>2916429000</v>
      </c>
      <c r="H681" s="804"/>
      <c r="I681" s="804">
        <v>2916429000</v>
      </c>
      <c r="J681" s="804"/>
      <c r="K681" s="804"/>
      <c r="L681" s="804"/>
      <c r="M681" s="804"/>
      <c r="N681" s="804"/>
      <c r="O681" s="804"/>
      <c r="P681" s="804">
        <v>2000000000</v>
      </c>
      <c r="Q681" s="804">
        <f t="shared" si="163"/>
        <v>2000000000</v>
      </c>
      <c r="R681" s="804">
        <v>2000000000</v>
      </c>
      <c r="S681" s="804"/>
      <c r="T681" s="804"/>
      <c r="U681" s="747"/>
      <c r="V681" s="747">
        <f>I681+L681+R681</f>
        <v>4916429000</v>
      </c>
      <c r="W681" s="747"/>
      <c r="X681" s="747">
        <f>F681+K681+Q681</f>
        <v>9844425000</v>
      </c>
    </row>
    <row r="682" spans="1:25" s="660" customFormat="1" ht="22.5">
      <c r="A682" s="803"/>
      <c r="B682" s="853" t="s">
        <v>2348</v>
      </c>
      <c r="C682" s="779"/>
      <c r="D682" s="780"/>
      <c r="E682" s="804"/>
      <c r="F682" s="804"/>
      <c r="G682" s="804"/>
      <c r="H682" s="804"/>
      <c r="I682" s="804"/>
      <c r="J682" s="804"/>
      <c r="K682" s="804"/>
      <c r="L682" s="804"/>
      <c r="M682" s="804"/>
      <c r="N682" s="804"/>
      <c r="O682" s="804"/>
      <c r="P682" s="804">
        <v>12144000000</v>
      </c>
      <c r="Q682" s="804">
        <f t="shared" si="163"/>
        <v>0</v>
      </c>
      <c r="R682" s="804"/>
      <c r="S682" s="804"/>
      <c r="T682" s="804"/>
      <c r="U682" s="747"/>
      <c r="V682" s="747"/>
      <c r="W682" s="747"/>
      <c r="X682" s="747"/>
    </row>
    <row r="683" spans="1:25" s="658" customFormat="1" ht="21">
      <c r="A683" s="848" t="s">
        <v>320</v>
      </c>
      <c r="B683" s="849" t="s">
        <v>2349</v>
      </c>
      <c r="C683" s="779"/>
      <c r="D683" s="780"/>
      <c r="E683" s="799">
        <f>SUM(E686:E690)</f>
        <v>1499197262000</v>
      </c>
      <c r="F683" s="799">
        <f>SUM(F686:F690)</f>
        <v>69807142393</v>
      </c>
      <c r="G683" s="799">
        <f t="shared" ref="G683:X683" si="166">SUM(G686:G690)</f>
        <v>21336527728</v>
      </c>
      <c r="H683" s="799">
        <f t="shared" si="166"/>
        <v>0</v>
      </c>
      <c r="I683" s="799">
        <f t="shared" si="166"/>
        <v>17861847922</v>
      </c>
      <c r="J683" s="799">
        <f t="shared" si="166"/>
        <v>0</v>
      </c>
      <c r="K683" s="799">
        <f t="shared" si="166"/>
        <v>0</v>
      </c>
      <c r="L683" s="799">
        <f t="shared" si="166"/>
        <v>0</v>
      </c>
      <c r="M683" s="799">
        <f t="shared" si="166"/>
        <v>0</v>
      </c>
      <c r="N683" s="799">
        <f t="shared" si="166"/>
        <v>0</v>
      </c>
      <c r="O683" s="799">
        <f t="shared" si="166"/>
        <v>0</v>
      </c>
      <c r="P683" s="799">
        <f t="shared" si="166"/>
        <v>73503000000</v>
      </c>
      <c r="Q683" s="799">
        <f t="shared" si="166"/>
        <v>73503000000</v>
      </c>
      <c r="R683" s="799">
        <f t="shared" si="166"/>
        <v>73299511651</v>
      </c>
      <c r="S683" s="799">
        <f t="shared" si="166"/>
        <v>203488349</v>
      </c>
      <c r="T683" s="799">
        <f t="shared" si="166"/>
        <v>0</v>
      </c>
      <c r="U683" s="799">
        <f t="shared" si="166"/>
        <v>0</v>
      </c>
      <c r="V683" s="799">
        <f t="shared" si="166"/>
        <v>91161359573</v>
      </c>
      <c r="W683" s="799">
        <f t="shared" si="166"/>
        <v>3678168155</v>
      </c>
      <c r="X683" s="799">
        <f t="shared" si="166"/>
        <v>143310142393</v>
      </c>
    </row>
    <row r="684" spans="1:25" s="658" customFormat="1">
      <c r="A684" s="736" t="s">
        <v>771</v>
      </c>
      <c r="B684" s="737" t="s">
        <v>2298</v>
      </c>
      <c r="C684" s="779"/>
      <c r="D684" s="780"/>
      <c r="E684" s="804"/>
      <c r="F684" s="804"/>
      <c r="G684" s="804"/>
      <c r="H684" s="804"/>
      <c r="I684" s="804"/>
      <c r="J684" s="804"/>
      <c r="K684" s="804"/>
      <c r="L684" s="804"/>
      <c r="M684" s="804"/>
      <c r="N684" s="804"/>
      <c r="O684" s="804"/>
      <c r="P684" s="804"/>
      <c r="Q684" s="804">
        <f t="shared" si="163"/>
        <v>0</v>
      </c>
      <c r="R684" s="804"/>
      <c r="S684" s="804"/>
      <c r="T684" s="804"/>
      <c r="U684" s="747"/>
      <c r="V684" s="747"/>
      <c r="W684" s="747"/>
      <c r="X684" s="747"/>
    </row>
    <row r="685" spans="1:25" s="658" customFormat="1">
      <c r="A685" s="808" t="s">
        <v>743</v>
      </c>
      <c r="B685" s="851" t="s">
        <v>2299</v>
      </c>
      <c r="C685" s="779"/>
      <c r="D685" s="780"/>
      <c r="E685" s="804"/>
      <c r="F685" s="804"/>
      <c r="G685" s="804"/>
      <c r="H685" s="804"/>
      <c r="I685" s="804"/>
      <c r="J685" s="804"/>
      <c r="K685" s="804"/>
      <c r="L685" s="804"/>
      <c r="M685" s="804"/>
      <c r="N685" s="804"/>
      <c r="O685" s="804"/>
      <c r="P685" s="804"/>
      <c r="Q685" s="804">
        <f t="shared" si="163"/>
        <v>0</v>
      </c>
      <c r="R685" s="804"/>
      <c r="S685" s="804"/>
      <c r="T685" s="804"/>
      <c r="U685" s="747"/>
      <c r="V685" s="747"/>
      <c r="W685" s="747"/>
      <c r="X685" s="747"/>
    </row>
    <row r="686" spans="1:25" s="658" customFormat="1">
      <c r="A686" s="803" t="s">
        <v>1088</v>
      </c>
      <c r="B686" s="785" t="s">
        <v>2350</v>
      </c>
      <c r="C686" s="779" t="s">
        <v>777</v>
      </c>
      <c r="D686" s="780" t="s">
        <v>2351</v>
      </c>
      <c r="E686" s="804">
        <v>764864310000</v>
      </c>
      <c r="F686" s="804">
        <v>30000000</v>
      </c>
      <c r="G686" s="804">
        <v>30000000</v>
      </c>
      <c r="H686" s="804"/>
      <c r="I686" s="804"/>
      <c r="J686" s="804"/>
      <c r="K686" s="804"/>
      <c r="L686" s="804"/>
      <c r="M686" s="804"/>
      <c r="N686" s="804"/>
      <c r="O686" s="804"/>
      <c r="P686" s="804">
        <v>3503000000</v>
      </c>
      <c r="Q686" s="804">
        <f t="shared" si="163"/>
        <v>3503000000</v>
      </c>
      <c r="R686" s="804">
        <v>3503000000</v>
      </c>
      <c r="S686" s="804"/>
      <c r="T686" s="804"/>
      <c r="U686" s="747"/>
      <c r="V686" s="747">
        <f>I686+L686+R686</f>
        <v>3503000000</v>
      </c>
      <c r="W686" s="747">
        <f>G686-H686-I686+M686+S686</f>
        <v>30000000</v>
      </c>
      <c r="X686" s="747">
        <f>F686+K686+Q686</f>
        <v>3533000000</v>
      </c>
    </row>
    <row r="687" spans="1:25" s="665" customFormat="1">
      <c r="A687" s="848" t="s">
        <v>772</v>
      </c>
      <c r="B687" s="787" t="s">
        <v>2324</v>
      </c>
      <c r="C687" s="779"/>
      <c r="D687" s="780"/>
      <c r="E687" s="804"/>
      <c r="F687" s="804"/>
      <c r="G687" s="804"/>
      <c r="H687" s="804"/>
      <c r="I687" s="804"/>
      <c r="J687" s="804"/>
      <c r="K687" s="804"/>
      <c r="L687" s="804"/>
      <c r="M687" s="804"/>
      <c r="N687" s="804"/>
      <c r="O687" s="804"/>
      <c r="P687" s="804"/>
      <c r="Q687" s="804">
        <f t="shared" si="163"/>
        <v>0</v>
      </c>
      <c r="R687" s="804"/>
      <c r="S687" s="804"/>
      <c r="T687" s="804"/>
      <c r="U687" s="747"/>
      <c r="V687" s="747"/>
      <c r="W687" s="747"/>
      <c r="X687" s="747"/>
    </row>
    <row r="688" spans="1:25" s="665" customFormat="1">
      <c r="A688" s="808" t="s">
        <v>743</v>
      </c>
      <c r="B688" s="851" t="s">
        <v>2299</v>
      </c>
      <c r="C688" s="779"/>
      <c r="D688" s="780"/>
      <c r="E688" s="804"/>
      <c r="F688" s="804"/>
      <c r="G688" s="804"/>
      <c r="H688" s="804"/>
      <c r="I688" s="804"/>
      <c r="J688" s="804"/>
      <c r="K688" s="804"/>
      <c r="L688" s="804"/>
      <c r="M688" s="804"/>
      <c r="N688" s="804"/>
      <c r="O688" s="804"/>
      <c r="P688" s="804"/>
      <c r="Q688" s="804">
        <f t="shared" si="163"/>
        <v>0</v>
      </c>
      <c r="R688" s="804"/>
      <c r="S688" s="804"/>
      <c r="T688" s="804"/>
      <c r="U688" s="747"/>
      <c r="V688" s="747"/>
      <c r="W688" s="747"/>
      <c r="X688" s="747"/>
    </row>
    <row r="689" spans="1:24" s="665" customFormat="1" ht="22.5">
      <c r="A689" s="803" t="s">
        <v>1088</v>
      </c>
      <c r="B689" s="764" t="s">
        <v>471</v>
      </c>
      <c r="C689" s="779" t="s">
        <v>777</v>
      </c>
      <c r="D689" s="780" t="s">
        <v>2352</v>
      </c>
      <c r="E689" s="804">
        <v>569333000000</v>
      </c>
      <c r="F689" s="804">
        <v>50138903640</v>
      </c>
      <c r="G689" s="804">
        <v>13039392483</v>
      </c>
      <c r="H689" s="804">
        <v>0</v>
      </c>
      <c r="I689" s="804">
        <v>10269712677</v>
      </c>
      <c r="J689" s="804"/>
      <c r="K689" s="804"/>
      <c r="L689" s="804"/>
      <c r="M689" s="804"/>
      <c r="N689" s="804"/>
      <c r="O689" s="804"/>
      <c r="P689" s="804">
        <v>50000000000</v>
      </c>
      <c r="Q689" s="804">
        <f t="shared" si="163"/>
        <v>50000000000</v>
      </c>
      <c r="R689" s="804">
        <v>50000000000</v>
      </c>
      <c r="S689" s="804"/>
      <c r="T689" s="804"/>
      <c r="U689" s="747"/>
      <c r="V689" s="747">
        <f>I689+L689+R689</f>
        <v>60269712677</v>
      </c>
      <c r="W689" s="747">
        <f>G689-H689-I689+M689+S689</f>
        <v>2769679806</v>
      </c>
      <c r="X689" s="747">
        <f>F689+K689+Q689</f>
        <v>100138903640</v>
      </c>
    </row>
    <row r="690" spans="1:24" s="658" customFormat="1" ht="22.5">
      <c r="A690" s="803" t="s">
        <v>1088</v>
      </c>
      <c r="B690" s="764" t="s">
        <v>2353</v>
      </c>
      <c r="C690" s="779" t="s">
        <v>777</v>
      </c>
      <c r="D690" s="780" t="s">
        <v>2354</v>
      </c>
      <c r="E690" s="804">
        <v>164999952000</v>
      </c>
      <c r="F690" s="804">
        <v>19638238753</v>
      </c>
      <c r="G690" s="804">
        <v>8267135245</v>
      </c>
      <c r="H690" s="804"/>
      <c r="I690" s="804">
        <v>7592135245</v>
      </c>
      <c r="J690" s="804"/>
      <c r="K690" s="804"/>
      <c r="L690" s="804"/>
      <c r="M690" s="804"/>
      <c r="N690" s="804"/>
      <c r="O690" s="804"/>
      <c r="P690" s="804">
        <v>20000000000</v>
      </c>
      <c r="Q690" s="804">
        <f t="shared" si="163"/>
        <v>20000000000</v>
      </c>
      <c r="R690" s="804">
        <v>19796511651</v>
      </c>
      <c r="S690" s="804">
        <v>203488349</v>
      </c>
      <c r="T690" s="804"/>
      <c r="U690" s="747"/>
      <c r="V690" s="747">
        <f>I690+L690+R690</f>
        <v>27388646896</v>
      </c>
      <c r="W690" s="747">
        <f>G690-H690-I690+M690+S690</f>
        <v>878488349</v>
      </c>
      <c r="X690" s="747">
        <f>F690+K690+Q690</f>
        <v>39638238753</v>
      </c>
    </row>
    <row r="691" spans="1:24" s="658" customFormat="1">
      <c r="A691" s="848" t="s">
        <v>321</v>
      </c>
      <c r="B691" s="849" t="s">
        <v>965</v>
      </c>
      <c r="C691" s="779"/>
      <c r="D691" s="780"/>
      <c r="E691" s="799">
        <f t="shared" ref="E691:X691" si="167">E693</f>
        <v>18000000000</v>
      </c>
      <c r="F691" s="799">
        <f t="shared" si="167"/>
        <v>0</v>
      </c>
      <c r="G691" s="799">
        <f t="shared" si="167"/>
        <v>0</v>
      </c>
      <c r="H691" s="799">
        <f t="shared" si="167"/>
        <v>0</v>
      </c>
      <c r="I691" s="799">
        <f t="shared" si="167"/>
        <v>0</v>
      </c>
      <c r="J691" s="799">
        <f t="shared" si="167"/>
        <v>0</v>
      </c>
      <c r="K691" s="799">
        <f t="shared" si="167"/>
        <v>0</v>
      </c>
      <c r="L691" s="799">
        <f t="shared" si="167"/>
        <v>0</v>
      </c>
      <c r="M691" s="799">
        <f t="shared" si="167"/>
        <v>0</v>
      </c>
      <c r="N691" s="799">
        <f t="shared" si="167"/>
        <v>0</v>
      </c>
      <c r="O691" s="799">
        <f t="shared" si="167"/>
        <v>0</v>
      </c>
      <c r="P691" s="799">
        <f t="shared" si="167"/>
        <v>5458000000</v>
      </c>
      <c r="Q691" s="799">
        <f t="shared" si="167"/>
        <v>5458000000</v>
      </c>
      <c r="R691" s="799">
        <f t="shared" si="167"/>
        <v>4914578000</v>
      </c>
      <c r="S691" s="799">
        <f t="shared" si="167"/>
        <v>543422000</v>
      </c>
      <c r="T691" s="799">
        <f t="shared" si="167"/>
        <v>0</v>
      </c>
      <c r="U691" s="799">
        <f t="shared" si="167"/>
        <v>0</v>
      </c>
      <c r="V691" s="799">
        <f t="shared" si="167"/>
        <v>4914578000</v>
      </c>
      <c r="W691" s="799">
        <f t="shared" si="167"/>
        <v>543422000</v>
      </c>
      <c r="X691" s="799">
        <f t="shared" si="167"/>
        <v>5458000000</v>
      </c>
    </row>
    <row r="692" spans="1:24" s="658" customFormat="1">
      <c r="A692" s="808" t="s">
        <v>743</v>
      </c>
      <c r="B692" s="851" t="s">
        <v>2301</v>
      </c>
      <c r="C692" s="779"/>
      <c r="D692" s="780"/>
      <c r="E692" s="804"/>
      <c r="F692" s="804"/>
      <c r="G692" s="804"/>
      <c r="H692" s="804"/>
      <c r="I692" s="804"/>
      <c r="J692" s="804"/>
      <c r="K692" s="804"/>
      <c r="L692" s="804"/>
      <c r="M692" s="804"/>
      <c r="N692" s="804"/>
      <c r="O692" s="804"/>
      <c r="P692" s="804"/>
      <c r="Q692" s="804">
        <f t="shared" si="163"/>
        <v>0</v>
      </c>
      <c r="R692" s="804"/>
      <c r="S692" s="804"/>
      <c r="T692" s="804"/>
      <c r="U692" s="747"/>
      <c r="V692" s="747"/>
      <c r="W692" s="747"/>
      <c r="X692" s="747"/>
    </row>
    <row r="693" spans="1:24" s="658" customFormat="1">
      <c r="A693" s="803" t="s">
        <v>1088</v>
      </c>
      <c r="B693" s="764" t="s">
        <v>2355</v>
      </c>
      <c r="C693" s="779" t="s">
        <v>777</v>
      </c>
      <c r="D693" s="780" t="s">
        <v>2356</v>
      </c>
      <c r="E693" s="804">
        <v>18000000000</v>
      </c>
      <c r="F693" s="804"/>
      <c r="G693" s="804"/>
      <c r="H693" s="804"/>
      <c r="I693" s="804"/>
      <c r="J693" s="804"/>
      <c r="K693" s="804"/>
      <c r="L693" s="804"/>
      <c r="M693" s="804"/>
      <c r="N693" s="804"/>
      <c r="O693" s="804"/>
      <c r="P693" s="804">
        <v>5458000000</v>
      </c>
      <c r="Q693" s="804">
        <f t="shared" si="163"/>
        <v>5458000000</v>
      </c>
      <c r="R693" s="804">
        <v>4914578000</v>
      </c>
      <c r="S693" s="804">
        <v>543422000</v>
      </c>
      <c r="T693" s="804"/>
      <c r="U693" s="747"/>
      <c r="V693" s="747">
        <f>I693+L693+R693</f>
        <v>4914578000</v>
      </c>
      <c r="W693" s="747">
        <f>G693-H693-I693+M693+S693</f>
        <v>543422000</v>
      </c>
      <c r="X693" s="747">
        <f>F693+K693+Q693</f>
        <v>5458000000</v>
      </c>
    </row>
    <row r="694" spans="1:24" s="658" customFormat="1">
      <c r="A694" s="848" t="s">
        <v>323</v>
      </c>
      <c r="B694" s="849" t="s">
        <v>388</v>
      </c>
      <c r="C694" s="779"/>
      <c r="D694" s="780"/>
      <c r="E694" s="799">
        <f>E697</f>
        <v>115525399635</v>
      </c>
      <c r="F694" s="799">
        <f>F697</f>
        <v>24841350825</v>
      </c>
      <c r="G694" s="799">
        <f t="shared" ref="G694:X694" si="168">G697</f>
        <v>8533640553</v>
      </c>
      <c r="H694" s="799">
        <f t="shared" si="168"/>
        <v>0</v>
      </c>
      <c r="I694" s="799">
        <f t="shared" si="168"/>
        <v>8533640553</v>
      </c>
      <c r="J694" s="799">
        <f t="shared" si="168"/>
        <v>0</v>
      </c>
      <c r="K694" s="799">
        <f t="shared" si="168"/>
        <v>0</v>
      </c>
      <c r="L694" s="799">
        <f t="shared" si="168"/>
        <v>0</v>
      </c>
      <c r="M694" s="799">
        <f t="shared" si="168"/>
        <v>0</v>
      </c>
      <c r="N694" s="799">
        <f t="shared" si="168"/>
        <v>0</v>
      </c>
      <c r="O694" s="799">
        <f t="shared" si="168"/>
        <v>0</v>
      </c>
      <c r="P694" s="799">
        <f t="shared" si="168"/>
        <v>27000000000</v>
      </c>
      <c r="Q694" s="799">
        <f t="shared" si="168"/>
        <v>27000000000</v>
      </c>
      <c r="R694" s="799">
        <f t="shared" si="168"/>
        <v>26031250000</v>
      </c>
      <c r="S694" s="799">
        <f t="shared" si="168"/>
        <v>968750000</v>
      </c>
      <c r="T694" s="799">
        <f t="shared" si="168"/>
        <v>0</v>
      </c>
      <c r="U694" s="799">
        <f t="shared" si="168"/>
        <v>0</v>
      </c>
      <c r="V694" s="799">
        <f t="shared" si="168"/>
        <v>34564890553</v>
      </c>
      <c r="W694" s="799">
        <f t="shared" si="168"/>
        <v>968750000</v>
      </c>
      <c r="X694" s="799">
        <f t="shared" si="168"/>
        <v>51841350825</v>
      </c>
    </row>
    <row r="695" spans="1:24" s="658" customFormat="1">
      <c r="A695" s="808" t="s">
        <v>743</v>
      </c>
      <c r="B695" s="851" t="s">
        <v>2299</v>
      </c>
      <c r="C695" s="779"/>
      <c r="D695" s="780"/>
      <c r="E695" s="804"/>
      <c r="F695" s="804"/>
      <c r="G695" s="804"/>
      <c r="H695" s="804"/>
      <c r="I695" s="804"/>
      <c r="J695" s="804"/>
      <c r="K695" s="804"/>
      <c r="L695" s="804"/>
      <c r="M695" s="804"/>
      <c r="N695" s="804"/>
      <c r="O695" s="804"/>
      <c r="P695" s="804"/>
      <c r="Q695" s="804"/>
      <c r="R695" s="804"/>
      <c r="S695" s="804"/>
      <c r="T695" s="804"/>
      <c r="U695" s="747"/>
      <c r="V695" s="747"/>
      <c r="W695" s="747"/>
      <c r="X695" s="747"/>
    </row>
    <row r="696" spans="1:24" s="658" customFormat="1">
      <c r="A696" s="848" t="s">
        <v>771</v>
      </c>
      <c r="B696" s="787" t="s">
        <v>2324</v>
      </c>
      <c r="C696" s="779"/>
      <c r="D696" s="780"/>
      <c r="E696" s="804"/>
      <c r="F696" s="804"/>
      <c r="G696" s="804"/>
      <c r="H696" s="804"/>
      <c r="I696" s="804"/>
      <c r="J696" s="804"/>
      <c r="K696" s="804"/>
      <c r="L696" s="804"/>
      <c r="M696" s="804"/>
      <c r="N696" s="804"/>
      <c r="O696" s="804"/>
      <c r="P696" s="804"/>
      <c r="Q696" s="804"/>
      <c r="R696" s="804"/>
      <c r="S696" s="804"/>
      <c r="T696" s="804"/>
      <c r="U696" s="747"/>
      <c r="V696" s="747"/>
      <c r="W696" s="747"/>
      <c r="X696" s="747"/>
    </row>
    <row r="697" spans="1:24" s="658" customFormat="1" ht="33.75">
      <c r="A697" s="803"/>
      <c r="B697" s="764" t="s">
        <v>2357</v>
      </c>
      <c r="C697" s="779">
        <v>961</v>
      </c>
      <c r="D697" s="780">
        <v>7498224</v>
      </c>
      <c r="E697" s="804">
        <v>115525399635</v>
      </c>
      <c r="F697" s="804">
        <v>24841350825</v>
      </c>
      <c r="G697" s="804">
        <v>8533640553</v>
      </c>
      <c r="H697" s="804"/>
      <c r="I697" s="804">
        <v>8533640553</v>
      </c>
      <c r="J697" s="804"/>
      <c r="K697" s="804"/>
      <c r="L697" s="804"/>
      <c r="M697" s="804"/>
      <c r="N697" s="804"/>
      <c r="O697" s="804"/>
      <c r="P697" s="804">
        <v>27000000000</v>
      </c>
      <c r="Q697" s="804">
        <f t="shared" si="163"/>
        <v>27000000000</v>
      </c>
      <c r="R697" s="804">
        <v>26031250000</v>
      </c>
      <c r="S697" s="804">
        <v>968750000</v>
      </c>
      <c r="T697" s="804"/>
      <c r="U697" s="747">
        <f>P697-Q697-T697</f>
        <v>0</v>
      </c>
      <c r="V697" s="747">
        <f>I697+L697+R697</f>
        <v>34564890553</v>
      </c>
      <c r="W697" s="747">
        <f>G697-H697-I697+M697+S697</f>
        <v>968750000</v>
      </c>
      <c r="X697" s="747">
        <f>F697+K697+Q697</f>
        <v>51841350825</v>
      </c>
    </row>
    <row r="698" spans="1:24" s="658" customFormat="1">
      <c r="A698" s="848" t="s">
        <v>325</v>
      </c>
      <c r="B698" s="849" t="s">
        <v>2358</v>
      </c>
      <c r="C698" s="779"/>
      <c r="D698" s="780"/>
      <c r="E698" s="799">
        <f>SUM(E701)</f>
        <v>24814000000</v>
      </c>
      <c r="F698" s="799">
        <f>SUM(F701)</f>
        <v>0</v>
      </c>
      <c r="G698" s="799">
        <f t="shared" ref="G698:X698" si="169">SUM(G701)</f>
        <v>0</v>
      </c>
      <c r="H698" s="799">
        <f t="shared" si="169"/>
        <v>0</v>
      </c>
      <c r="I698" s="799">
        <f t="shared" si="169"/>
        <v>0</v>
      </c>
      <c r="J698" s="799">
        <f t="shared" si="169"/>
        <v>0</v>
      </c>
      <c r="K698" s="799">
        <f t="shared" si="169"/>
        <v>0</v>
      </c>
      <c r="L698" s="799">
        <f t="shared" si="169"/>
        <v>0</v>
      </c>
      <c r="M698" s="799">
        <f t="shared" si="169"/>
        <v>0</v>
      </c>
      <c r="N698" s="799">
        <f t="shared" si="169"/>
        <v>0</v>
      </c>
      <c r="O698" s="799">
        <f t="shared" si="169"/>
        <v>0</v>
      </c>
      <c r="P698" s="799">
        <f t="shared" si="169"/>
        <v>8000000000</v>
      </c>
      <c r="Q698" s="799">
        <f t="shared" si="169"/>
        <v>0</v>
      </c>
      <c r="R698" s="799">
        <f t="shared" si="169"/>
        <v>0</v>
      </c>
      <c r="S698" s="799">
        <f t="shared" si="169"/>
        <v>0</v>
      </c>
      <c r="T698" s="799">
        <f t="shared" si="169"/>
        <v>8000000000</v>
      </c>
      <c r="U698" s="799">
        <f t="shared" si="169"/>
        <v>0</v>
      </c>
      <c r="V698" s="799">
        <f t="shared" si="169"/>
        <v>0</v>
      </c>
      <c r="W698" s="799">
        <f t="shared" si="169"/>
        <v>0</v>
      </c>
      <c r="X698" s="799">
        <f t="shared" si="169"/>
        <v>0</v>
      </c>
    </row>
    <row r="699" spans="1:24" s="658" customFormat="1">
      <c r="A699" s="808" t="s">
        <v>743</v>
      </c>
      <c r="B699" s="851" t="s">
        <v>2299</v>
      </c>
      <c r="C699" s="779"/>
      <c r="D699" s="780"/>
      <c r="E699" s="804"/>
      <c r="F699" s="804"/>
      <c r="G699" s="804"/>
      <c r="H699" s="804"/>
      <c r="I699" s="804"/>
      <c r="J699" s="804"/>
      <c r="K699" s="804"/>
      <c r="L699" s="804"/>
      <c r="M699" s="804"/>
      <c r="N699" s="804"/>
      <c r="O699" s="804"/>
      <c r="P699" s="804"/>
      <c r="Q699" s="804"/>
      <c r="R699" s="804"/>
      <c r="S699" s="804"/>
      <c r="T699" s="804"/>
      <c r="U699" s="747"/>
      <c r="V699" s="747"/>
      <c r="W699" s="747"/>
      <c r="X699" s="747"/>
    </row>
    <row r="700" spans="1:24" s="658" customFormat="1">
      <c r="A700" s="848" t="s">
        <v>771</v>
      </c>
      <c r="B700" s="787" t="s">
        <v>2359</v>
      </c>
      <c r="C700" s="779"/>
      <c r="D700" s="780"/>
      <c r="E700" s="804"/>
      <c r="F700" s="804"/>
      <c r="G700" s="804"/>
      <c r="H700" s="804"/>
      <c r="I700" s="804"/>
      <c r="J700" s="804"/>
      <c r="K700" s="804"/>
      <c r="L700" s="804"/>
      <c r="M700" s="804"/>
      <c r="N700" s="804"/>
      <c r="O700" s="804"/>
      <c r="P700" s="804"/>
      <c r="Q700" s="804"/>
      <c r="R700" s="804"/>
      <c r="S700" s="804"/>
      <c r="T700" s="804"/>
      <c r="U700" s="747"/>
      <c r="V700" s="747"/>
      <c r="W700" s="747"/>
      <c r="X700" s="747"/>
    </row>
    <row r="701" spans="1:24" s="658" customFormat="1" ht="22.5">
      <c r="A701" s="803" t="s">
        <v>1088</v>
      </c>
      <c r="B701" s="764" t="s">
        <v>2360</v>
      </c>
      <c r="C701" s="779" t="s">
        <v>777</v>
      </c>
      <c r="D701" s="780" t="s">
        <v>2361</v>
      </c>
      <c r="E701" s="804">
        <v>24814000000</v>
      </c>
      <c r="F701" s="804"/>
      <c r="G701" s="804"/>
      <c r="H701" s="804"/>
      <c r="I701" s="804"/>
      <c r="J701" s="804"/>
      <c r="K701" s="804"/>
      <c r="L701" s="804"/>
      <c r="M701" s="804"/>
      <c r="N701" s="804"/>
      <c r="O701" s="804"/>
      <c r="P701" s="804">
        <v>8000000000</v>
      </c>
      <c r="Q701" s="804"/>
      <c r="R701" s="804"/>
      <c r="S701" s="804"/>
      <c r="T701" s="804">
        <v>8000000000</v>
      </c>
      <c r="U701" s="747"/>
      <c r="V701" s="747"/>
      <c r="W701" s="747"/>
      <c r="X701" s="747"/>
    </row>
    <row r="702" spans="1:24" s="658" customFormat="1">
      <c r="A702" s="848" t="s">
        <v>360</v>
      </c>
      <c r="B702" s="849" t="s">
        <v>2362</v>
      </c>
      <c r="C702" s="779"/>
      <c r="D702" s="780"/>
      <c r="E702" s="799">
        <f t="shared" ref="E702:X702" si="170">SUM(E705:E710)</f>
        <v>470999961650</v>
      </c>
      <c r="F702" s="799">
        <f t="shared" si="170"/>
        <v>30086107000</v>
      </c>
      <c r="G702" s="799">
        <f t="shared" si="170"/>
        <v>25006479000</v>
      </c>
      <c r="H702" s="799">
        <f t="shared" si="170"/>
        <v>0</v>
      </c>
      <c r="I702" s="799">
        <f t="shared" si="170"/>
        <v>20605294000</v>
      </c>
      <c r="J702" s="799">
        <f t="shared" si="170"/>
        <v>0</v>
      </c>
      <c r="K702" s="799">
        <f t="shared" si="170"/>
        <v>0</v>
      </c>
      <c r="L702" s="799">
        <f t="shared" si="170"/>
        <v>0</v>
      </c>
      <c r="M702" s="799">
        <f t="shared" si="170"/>
        <v>0</v>
      </c>
      <c r="N702" s="799">
        <f t="shared" si="170"/>
        <v>0</v>
      </c>
      <c r="O702" s="799">
        <f t="shared" si="170"/>
        <v>0</v>
      </c>
      <c r="P702" s="799">
        <f t="shared" si="170"/>
        <v>30574000000</v>
      </c>
      <c r="Q702" s="799">
        <f t="shared" si="170"/>
        <v>30562596500</v>
      </c>
      <c r="R702" s="799">
        <f t="shared" si="170"/>
        <v>30216262261</v>
      </c>
      <c r="S702" s="799">
        <f t="shared" si="170"/>
        <v>346334239</v>
      </c>
      <c r="T702" s="799">
        <f t="shared" si="170"/>
        <v>11403000</v>
      </c>
      <c r="U702" s="799">
        <f t="shared" si="170"/>
        <v>500</v>
      </c>
      <c r="V702" s="799">
        <f t="shared" si="170"/>
        <v>50821556261</v>
      </c>
      <c r="W702" s="799">
        <f t="shared" si="170"/>
        <v>4747519239</v>
      </c>
      <c r="X702" s="799">
        <f t="shared" si="170"/>
        <v>60648703500</v>
      </c>
    </row>
    <row r="703" spans="1:24" s="658" customFormat="1">
      <c r="A703" s="848" t="s">
        <v>771</v>
      </c>
      <c r="B703" s="787" t="s">
        <v>2324</v>
      </c>
      <c r="C703" s="779"/>
      <c r="D703" s="780"/>
      <c r="E703" s="804"/>
      <c r="F703" s="799"/>
      <c r="G703" s="799"/>
      <c r="H703" s="799"/>
      <c r="I703" s="799"/>
      <c r="J703" s="799"/>
      <c r="K703" s="804"/>
      <c r="L703" s="799"/>
      <c r="M703" s="799"/>
      <c r="N703" s="799"/>
      <c r="O703" s="804"/>
      <c r="P703" s="799"/>
      <c r="Q703" s="804"/>
      <c r="R703" s="799"/>
      <c r="S703" s="799"/>
      <c r="T703" s="799"/>
      <c r="U703" s="747"/>
      <c r="V703" s="747"/>
      <c r="W703" s="747"/>
      <c r="X703" s="747"/>
    </row>
    <row r="704" spans="1:24" s="658" customFormat="1">
      <c r="A704" s="808" t="s">
        <v>743</v>
      </c>
      <c r="B704" s="851" t="s">
        <v>2299</v>
      </c>
      <c r="C704" s="779"/>
      <c r="D704" s="780"/>
      <c r="E704" s="804"/>
      <c r="F704" s="804"/>
      <c r="G704" s="804"/>
      <c r="H704" s="804"/>
      <c r="I704" s="804"/>
      <c r="J704" s="804"/>
      <c r="K704" s="804"/>
      <c r="L704" s="804"/>
      <c r="M704" s="804"/>
      <c r="N704" s="804"/>
      <c r="O704" s="804"/>
      <c r="P704" s="804"/>
      <c r="Q704" s="804"/>
      <c r="R704" s="804"/>
      <c r="S704" s="804"/>
      <c r="T704" s="804"/>
      <c r="U704" s="747"/>
      <c r="V704" s="747"/>
      <c r="W704" s="747"/>
      <c r="X704" s="747"/>
    </row>
    <row r="705" spans="1:24" s="658" customFormat="1">
      <c r="A705" s="803" t="s">
        <v>1088</v>
      </c>
      <c r="B705" s="764" t="s">
        <v>469</v>
      </c>
      <c r="C705" s="779" t="s">
        <v>777</v>
      </c>
      <c r="D705" s="780" t="s">
        <v>2363</v>
      </c>
      <c r="E705" s="804">
        <v>144560101000</v>
      </c>
      <c r="F705" s="804">
        <v>2030000000</v>
      </c>
      <c r="G705" s="804">
        <v>30000000</v>
      </c>
      <c r="H705" s="804"/>
      <c r="I705" s="804"/>
      <c r="J705" s="804"/>
      <c r="K705" s="804"/>
      <c r="L705" s="804"/>
      <c r="M705" s="804"/>
      <c r="N705" s="804"/>
      <c r="O705" s="804"/>
      <c r="P705" s="804">
        <v>574000000</v>
      </c>
      <c r="Q705" s="804">
        <f>R705+S705</f>
        <v>574000000</v>
      </c>
      <c r="R705" s="804">
        <v>574000000</v>
      </c>
      <c r="S705" s="804"/>
      <c r="T705" s="804"/>
      <c r="U705" s="747"/>
      <c r="V705" s="747">
        <f>I705+L705+R705</f>
        <v>574000000</v>
      </c>
      <c r="W705" s="747">
        <f>G705-H705-I705+M705+S705</f>
        <v>30000000</v>
      </c>
      <c r="X705" s="747">
        <f>F705+K705+Q705</f>
        <v>2604000000</v>
      </c>
    </row>
    <row r="706" spans="1:24" s="658" customFormat="1" ht="22.5">
      <c r="A706" s="803" t="s">
        <v>1088</v>
      </c>
      <c r="B706" s="764" t="s">
        <v>2364</v>
      </c>
      <c r="C706" s="779" t="s">
        <v>777</v>
      </c>
      <c r="D706" s="780" t="s">
        <v>2365</v>
      </c>
      <c r="E706" s="804">
        <v>71988746000</v>
      </c>
      <c r="F706" s="804">
        <v>25330902000</v>
      </c>
      <c r="G706" s="804">
        <v>24976479000</v>
      </c>
      <c r="H706" s="804">
        <v>0</v>
      </c>
      <c r="I706" s="804">
        <v>20605294000</v>
      </c>
      <c r="J706" s="804"/>
      <c r="K706" s="804"/>
      <c r="L706" s="804"/>
      <c r="M706" s="804"/>
      <c r="N706" s="804"/>
      <c r="O706" s="804"/>
      <c r="P706" s="804">
        <v>20000000000</v>
      </c>
      <c r="Q706" s="804">
        <f>R706+S706</f>
        <v>19999999500</v>
      </c>
      <c r="R706" s="804">
        <v>19999999500</v>
      </c>
      <c r="S706" s="804"/>
      <c r="T706" s="804"/>
      <c r="U706" s="747">
        <f>P706-Q706-T706</f>
        <v>500</v>
      </c>
      <c r="V706" s="747">
        <f>I706+L706+R706</f>
        <v>40605293500</v>
      </c>
      <c r="W706" s="747">
        <f>G706-H706-I706+M706+S706</f>
        <v>4371185000</v>
      </c>
      <c r="X706" s="747">
        <f>F706+K706+Q706</f>
        <v>45330901500</v>
      </c>
    </row>
    <row r="707" spans="1:24" s="658" customFormat="1">
      <c r="A707" s="803" t="s">
        <v>1088</v>
      </c>
      <c r="B707" s="764" t="s">
        <v>2366</v>
      </c>
      <c r="C707" s="779" t="s">
        <v>777</v>
      </c>
      <c r="D707" s="780" t="s">
        <v>2367</v>
      </c>
      <c r="E707" s="804">
        <v>106000000000</v>
      </c>
      <c r="F707" s="804"/>
      <c r="G707" s="804"/>
      <c r="H707" s="804"/>
      <c r="I707" s="804"/>
      <c r="J707" s="804"/>
      <c r="K707" s="804"/>
      <c r="L707" s="804"/>
      <c r="M707" s="804"/>
      <c r="N707" s="804"/>
      <c r="O707" s="804"/>
      <c r="P707" s="804">
        <v>5000000000</v>
      </c>
      <c r="Q707" s="804">
        <f>R707+S707</f>
        <v>5000000000</v>
      </c>
      <c r="R707" s="804">
        <v>4653665761</v>
      </c>
      <c r="S707" s="804">
        <v>346334239</v>
      </c>
      <c r="T707" s="804"/>
      <c r="U707" s="747"/>
      <c r="V707" s="747">
        <f>I707+L707+R707</f>
        <v>4653665761</v>
      </c>
      <c r="W707" s="747">
        <f>G707-H707-I707+M707+S707</f>
        <v>346334239</v>
      </c>
      <c r="X707" s="747">
        <f>F707+K707+Q707</f>
        <v>5000000000</v>
      </c>
    </row>
    <row r="708" spans="1:24" s="658" customFormat="1">
      <c r="A708" s="808" t="s">
        <v>745</v>
      </c>
      <c r="B708" s="851" t="s">
        <v>2301</v>
      </c>
      <c r="C708" s="779"/>
      <c r="D708" s="780"/>
      <c r="E708" s="804"/>
      <c r="F708" s="804"/>
      <c r="G708" s="804"/>
      <c r="H708" s="804"/>
      <c r="I708" s="804"/>
      <c r="J708" s="804"/>
      <c r="K708" s="804"/>
      <c r="L708" s="804"/>
      <c r="M708" s="804"/>
      <c r="N708" s="804"/>
      <c r="O708" s="804"/>
      <c r="P708" s="804"/>
      <c r="Q708" s="804"/>
      <c r="R708" s="804"/>
      <c r="S708" s="804"/>
      <c r="T708" s="804"/>
      <c r="U708" s="747"/>
      <c r="V708" s="747"/>
      <c r="W708" s="747"/>
      <c r="X708" s="747"/>
    </row>
    <row r="709" spans="1:24" s="658" customFormat="1">
      <c r="A709" s="803" t="s">
        <v>1088</v>
      </c>
      <c r="B709" s="745" t="s">
        <v>19</v>
      </c>
      <c r="C709" s="779" t="s">
        <v>777</v>
      </c>
      <c r="D709" s="780" t="s">
        <v>2368</v>
      </c>
      <c r="E709" s="804">
        <v>65732650000</v>
      </c>
      <c r="F709" s="804">
        <v>2399000000</v>
      </c>
      <c r="G709" s="804"/>
      <c r="H709" s="804"/>
      <c r="I709" s="804"/>
      <c r="J709" s="804"/>
      <c r="K709" s="804"/>
      <c r="L709" s="804"/>
      <c r="M709" s="804"/>
      <c r="N709" s="804"/>
      <c r="O709" s="804"/>
      <c r="P709" s="804">
        <v>1000000000</v>
      </c>
      <c r="Q709" s="804">
        <f>R709+S709</f>
        <v>988597000</v>
      </c>
      <c r="R709" s="804">
        <v>988597000</v>
      </c>
      <c r="S709" s="804"/>
      <c r="T709" s="804">
        <v>11403000</v>
      </c>
      <c r="U709" s="747"/>
      <c r="V709" s="747">
        <f>I709+L709+R709</f>
        <v>988597000</v>
      </c>
      <c r="W709" s="747"/>
      <c r="X709" s="747">
        <f>F709+K709+Q709</f>
        <v>3387597000</v>
      </c>
    </row>
    <row r="710" spans="1:24" s="658" customFormat="1">
      <c r="A710" s="803" t="s">
        <v>1088</v>
      </c>
      <c r="B710" s="745" t="s">
        <v>2369</v>
      </c>
      <c r="C710" s="779" t="s">
        <v>777</v>
      </c>
      <c r="D710" s="780" t="s">
        <v>2370</v>
      </c>
      <c r="E710" s="804">
        <v>82718464650</v>
      </c>
      <c r="F710" s="804">
        <v>326205000</v>
      </c>
      <c r="G710" s="804"/>
      <c r="H710" s="804"/>
      <c r="I710" s="804"/>
      <c r="J710" s="804"/>
      <c r="K710" s="804"/>
      <c r="L710" s="804"/>
      <c r="M710" s="804"/>
      <c r="N710" s="804"/>
      <c r="O710" s="804"/>
      <c r="P710" s="804">
        <v>4000000000</v>
      </c>
      <c r="Q710" s="804">
        <f>R710+S710</f>
        <v>4000000000</v>
      </c>
      <c r="R710" s="804">
        <v>4000000000</v>
      </c>
      <c r="S710" s="804"/>
      <c r="T710" s="804"/>
      <c r="U710" s="747"/>
      <c r="V710" s="747">
        <f>I710+L710+R710</f>
        <v>4000000000</v>
      </c>
      <c r="W710" s="747"/>
      <c r="X710" s="747">
        <f>F710+K710+Q710</f>
        <v>4326205000</v>
      </c>
    </row>
    <row r="711" spans="1:24" s="658" customFormat="1" ht="21">
      <c r="A711" s="848" t="s">
        <v>327</v>
      </c>
      <c r="B711" s="849" t="s">
        <v>2371</v>
      </c>
      <c r="C711" s="779"/>
      <c r="D711" s="780"/>
      <c r="E711" s="799">
        <f t="shared" ref="E711:X711" si="171">E714+E717</f>
        <v>1274645519141</v>
      </c>
      <c r="F711" s="799">
        <f t="shared" si="171"/>
        <v>19653716747</v>
      </c>
      <c r="G711" s="799">
        <f t="shared" si="171"/>
        <v>1928987746</v>
      </c>
      <c r="H711" s="799">
        <f t="shared" si="171"/>
        <v>0</v>
      </c>
      <c r="I711" s="799">
        <f t="shared" si="171"/>
        <v>1599934699</v>
      </c>
      <c r="J711" s="799">
        <f t="shared" si="171"/>
        <v>29000000</v>
      </c>
      <c r="K711" s="799">
        <f t="shared" si="171"/>
        <v>29000000</v>
      </c>
      <c r="L711" s="799">
        <f t="shared" si="171"/>
        <v>0</v>
      </c>
      <c r="M711" s="799">
        <f t="shared" si="171"/>
        <v>29000000</v>
      </c>
      <c r="N711" s="799">
        <f t="shared" si="171"/>
        <v>0</v>
      </c>
      <c r="O711" s="799">
        <f t="shared" si="171"/>
        <v>0</v>
      </c>
      <c r="P711" s="799">
        <f t="shared" si="171"/>
        <v>26800000000</v>
      </c>
      <c r="Q711" s="799">
        <f t="shared" si="171"/>
        <v>15100000000</v>
      </c>
      <c r="R711" s="799">
        <f t="shared" si="171"/>
        <v>15100000000</v>
      </c>
      <c r="S711" s="799">
        <f t="shared" si="171"/>
        <v>0</v>
      </c>
      <c r="T711" s="799">
        <f t="shared" si="171"/>
        <v>11700000000</v>
      </c>
      <c r="U711" s="799">
        <f t="shared" si="171"/>
        <v>0</v>
      </c>
      <c r="V711" s="799">
        <f t="shared" si="171"/>
        <v>16699934699</v>
      </c>
      <c r="W711" s="799">
        <f t="shared" si="171"/>
        <v>358053047</v>
      </c>
      <c r="X711" s="799">
        <f t="shared" si="171"/>
        <v>34782716747</v>
      </c>
    </row>
    <row r="712" spans="1:24" s="658" customFormat="1">
      <c r="A712" s="848" t="s">
        <v>771</v>
      </c>
      <c r="B712" s="787" t="s">
        <v>2372</v>
      </c>
      <c r="C712" s="779"/>
      <c r="D712" s="821"/>
      <c r="E712" s="804"/>
      <c r="F712" s="804"/>
      <c r="G712" s="804"/>
      <c r="H712" s="804"/>
      <c r="I712" s="804"/>
      <c r="J712" s="804"/>
      <c r="K712" s="804">
        <f t="shared" ref="K712:K722" si="172">L712+M712</f>
        <v>0</v>
      </c>
      <c r="L712" s="804"/>
      <c r="M712" s="804"/>
      <c r="N712" s="804"/>
      <c r="O712" s="804"/>
      <c r="P712" s="804"/>
      <c r="Q712" s="804"/>
      <c r="R712" s="804"/>
      <c r="S712" s="804"/>
      <c r="T712" s="804"/>
      <c r="U712" s="747"/>
      <c r="V712" s="747"/>
      <c r="W712" s="747"/>
      <c r="X712" s="747"/>
    </row>
    <row r="713" spans="1:24" s="658" customFormat="1">
      <c r="A713" s="808" t="s">
        <v>743</v>
      </c>
      <c r="B713" s="851" t="s">
        <v>2299</v>
      </c>
      <c r="C713" s="779"/>
      <c r="D713" s="780"/>
      <c r="E713" s="804"/>
      <c r="F713" s="804"/>
      <c r="G713" s="804"/>
      <c r="H713" s="804"/>
      <c r="I713" s="804"/>
      <c r="J713" s="804"/>
      <c r="K713" s="804">
        <f t="shared" si="172"/>
        <v>0</v>
      </c>
      <c r="L713" s="804"/>
      <c r="M713" s="804"/>
      <c r="N713" s="804"/>
      <c r="O713" s="804"/>
      <c r="P713" s="804"/>
      <c r="Q713" s="804"/>
      <c r="R713" s="804"/>
      <c r="S713" s="804"/>
      <c r="T713" s="804"/>
      <c r="U713" s="747"/>
      <c r="V713" s="747"/>
      <c r="W713" s="747"/>
      <c r="X713" s="747"/>
    </row>
    <row r="714" spans="1:24" s="658" customFormat="1">
      <c r="A714" s="803" t="s">
        <v>1088</v>
      </c>
      <c r="B714" s="856" t="s">
        <v>2373</v>
      </c>
      <c r="C714" s="779" t="s">
        <v>777</v>
      </c>
      <c r="D714" s="780" t="s">
        <v>32</v>
      </c>
      <c r="E714" s="804">
        <v>1204455192237</v>
      </c>
      <c r="F714" s="804">
        <v>18381674747</v>
      </c>
      <c r="G714" s="804">
        <v>1759089746</v>
      </c>
      <c r="H714" s="804">
        <v>0</v>
      </c>
      <c r="I714" s="804">
        <v>1599934699</v>
      </c>
      <c r="J714" s="804">
        <v>29000000</v>
      </c>
      <c r="K714" s="804">
        <f t="shared" si="172"/>
        <v>29000000</v>
      </c>
      <c r="L714" s="804"/>
      <c r="M714" s="804">
        <v>29000000</v>
      </c>
      <c r="N714" s="804"/>
      <c r="O714" s="804"/>
      <c r="P714" s="804">
        <v>14800000000</v>
      </c>
      <c r="Q714" s="804">
        <f>R714+S714</f>
        <v>14800000000</v>
      </c>
      <c r="R714" s="804">
        <v>14800000000</v>
      </c>
      <c r="S714" s="804"/>
      <c r="T714" s="804"/>
      <c r="U714" s="747"/>
      <c r="V714" s="747">
        <f>I714+L714+R714</f>
        <v>16399934699</v>
      </c>
      <c r="W714" s="747">
        <f>G714-H714-I714+M714+S714</f>
        <v>188155047</v>
      </c>
      <c r="X714" s="747">
        <f>F714+K714+Q714</f>
        <v>33210674747</v>
      </c>
    </row>
    <row r="715" spans="1:24" s="658" customFormat="1">
      <c r="A715" s="848" t="s">
        <v>772</v>
      </c>
      <c r="B715" s="787" t="s">
        <v>2324</v>
      </c>
      <c r="C715" s="779"/>
      <c r="D715" s="780"/>
      <c r="E715" s="804"/>
      <c r="F715" s="804"/>
      <c r="G715" s="804"/>
      <c r="H715" s="804"/>
      <c r="I715" s="804"/>
      <c r="J715" s="804"/>
      <c r="K715" s="804">
        <f t="shared" si="172"/>
        <v>0</v>
      </c>
      <c r="L715" s="804"/>
      <c r="M715" s="804"/>
      <c r="N715" s="804"/>
      <c r="O715" s="804"/>
      <c r="P715" s="804"/>
      <c r="Q715" s="804"/>
      <c r="R715" s="804"/>
      <c r="S715" s="804"/>
      <c r="T715" s="804"/>
      <c r="U715" s="747"/>
      <c r="V715" s="747"/>
      <c r="W715" s="747"/>
      <c r="X715" s="747"/>
    </row>
    <row r="716" spans="1:24" s="658" customFormat="1">
      <c r="A716" s="808" t="s">
        <v>743</v>
      </c>
      <c r="B716" s="851" t="s">
        <v>2299</v>
      </c>
      <c r="C716" s="779"/>
      <c r="D716" s="780"/>
      <c r="E716" s="804"/>
      <c r="F716" s="804"/>
      <c r="G716" s="804"/>
      <c r="H716" s="804"/>
      <c r="I716" s="804"/>
      <c r="J716" s="804"/>
      <c r="K716" s="804">
        <f t="shared" si="172"/>
        <v>0</v>
      </c>
      <c r="L716" s="804"/>
      <c r="M716" s="804"/>
      <c r="N716" s="804"/>
      <c r="O716" s="804"/>
      <c r="P716" s="804"/>
      <c r="Q716" s="804"/>
      <c r="R716" s="804"/>
      <c r="S716" s="804"/>
      <c r="T716" s="804"/>
      <c r="U716" s="747"/>
      <c r="V716" s="747"/>
      <c r="W716" s="747"/>
      <c r="X716" s="747"/>
    </row>
    <row r="717" spans="1:24" s="658" customFormat="1" ht="23.25">
      <c r="A717" s="803" t="s">
        <v>1088</v>
      </c>
      <c r="B717" s="856" t="s">
        <v>2374</v>
      </c>
      <c r="C717" s="779" t="s">
        <v>777</v>
      </c>
      <c r="D717" s="780" t="s">
        <v>410</v>
      </c>
      <c r="E717" s="804">
        <v>70190326904</v>
      </c>
      <c r="F717" s="804">
        <v>1272042000</v>
      </c>
      <c r="G717" s="804">
        <v>169898000</v>
      </c>
      <c r="H717" s="804"/>
      <c r="I717" s="804"/>
      <c r="J717" s="804"/>
      <c r="K717" s="804">
        <f t="shared" si="172"/>
        <v>0</v>
      </c>
      <c r="L717" s="804"/>
      <c r="M717" s="804"/>
      <c r="N717" s="804"/>
      <c r="O717" s="804"/>
      <c r="P717" s="804">
        <v>12000000000</v>
      </c>
      <c r="Q717" s="804">
        <f>R717+S717</f>
        <v>300000000</v>
      </c>
      <c r="R717" s="804">
        <v>300000000</v>
      </c>
      <c r="S717" s="804"/>
      <c r="T717" s="804">
        <v>11700000000</v>
      </c>
      <c r="U717" s="747"/>
      <c r="V717" s="747">
        <f>I717+L717+R717</f>
        <v>300000000</v>
      </c>
      <c r="W717" s="747">
        <f>G717-H717-I717+M717+S717</f>
        <v>169898000</v>
      </c>
      <c r="X717" s="747">
        <f>F717+K717+Q717</f>
        <v>1572042000</v>
      </c>
    </row>
    <row r="718" spans="1:24" s="693" customFormat="1">
      <c r="A718" s="857" t="s">
        <v>2375</v>
      </c>
      <c r="B718" s="858" t="s">
        <v>2376</v>
      </c>
      <c r="C718" s="859"/>
      <c r="D718" s="860"/>
      <c r="E718" s="861">
        <f>E719+E723</f>
        <v>1200000000000</v>
      </c>
      <c r="F718" s="861">
        <f>F719+F723</f>
        <v>13076909000</v>
      </c>
      <c r="G718" s="861">
        <f t="shared" ref="G718:X718" si="173">G719+G723</f>
        <v>6777668000</v>
      </c>
      <c r="H718" s="861">
        <f t="shared" si="173"/>
        <v>0</v>
      </c>
      <c r="I718" s="861">
        <f t="shared" si="173"/>
        <v>6777668000</v>
      </c>
      <c r="J718" s="861">
        <f>J719+J723</f>
        <v>36923000000</v>
      </c>
      <c r="K718" s="861">
        <f t="shared" si="173"/>
        <v>36923000000</v>
      </c>
      <c r="L718" s="861">
        <f t="shared" si="173"/>
        <v>31665214303</v>
      </c>
      <c r="M718" s="861">
        <f t="shared" si="173"/>
        <v>5257785697</v>
      </c>
      <c r="N718" s="861">
        <f t="shared" si="173"/>
        <v>0</v>
      </c>
      <c r="O718" s="861">
        <f t="shared" si="173"/>
        <v>0</v>
      </c>
      <c r="P718" s="861">
        <f t="shared" si="173"/>
        <v>432000000000</v>
      </c>
      <c r="Q718" s="861">
        <f t="shared" si="173"/>
        <v>423061373800</v>
      </c>
      <c r="R718" s="861">
        <f t="shared" si="173"/>
        <v>126904677870</v>
      </c>
      <c r="S718" s="861">
        <f t="shared" si="173"/>
        <v>296156695930</v>
      </c>
      <c r="T718" s="861">
        <f t="shared" si="173"/>
        <v>8938626200</v>
      </c>
      <c r="U718" s="861">
        <f t="shared" si="173"/>
        <v>0</v>
      </c>
      <c r="V718" s="861">
        <f t="shared" si="173"/>
        <v>165347560173</v>
      </c>
      <c r="W718" s="861">
        <f t="shared" si="173"/>
        <v>301414481627</v>
      </c>
      <c r="X718" s="861">
        <f t="shared" si="173"/>
        <v>473061282800</v>
      </c>
    </row>
    <row r="719" spans="1:24" s="658" customFormat="1">
      <c r="A719" s="848" t="s">
        <v>57</v>
      </c>
      <c r="B719" s="849" t="s">
        <v>2377</v>
      </c>
      <c r="C719" s="788"/>
      <c r="D719" s="789"/>
      <c r="E719" s="799">
        <f>E722</f>
        <v>1200000000000</v>
      </c>
      <c r="F719" s="799">
        <f>F722</f>
        <v>13076909000</v>
      </c>
      <c r="G719" s="799">
        <f t="shared" ref="G719:X719" si="174">G722</f>
        <v>6777668000</v>
      </c>
      <c r="H719" s="799">
        <f t="shared" si="174"/>
        <v>0</v>
      </c>
      <c r="I719" s="799">
        <f t="shared" si="174"/>
        <v>6777668000</v>
      </c>
      <c r="J719" s="799">
        <f t="shared" si="174"/>
        <v>36923000000</v>
      </c>
      <c r="K719" s="799">
        <f t="shared" si="174"/>
        <v>36923000000</v>
      </c>
      <c r="L719" s="799">
        <f t="shared" si="174"/>
        <v>31665214303</v>
      </c>
      <c r="M719" s="799">
        <f t="shared" si="174"/>
        <v>5257785697</v>
      </c>
      <c r="N719" s="799">
        <f t="shared" si="174"/>
        <v>0</v>
      </c>
      <c r="O719" s="799">
        <f t="shared" si="174"/>
        <v>0</v>
      </c>
      <c r="P719" s="799">
        <f t="shared" si="174"/>
        <v>376700000000</v>
      </c>
      <c r="Q719" s="799">
        <f t="shared" si="174"/>
        <v>376700000000</v>
      </c>
      <c r="R719" s="799">
        <f t="shared" si="174"/>
        <v>85978261070</v>
      </c>
      <c r="S719" s="799">
        <f t="shared" si="174"/>
        <v>290721738930</v>
      </c>
      <c r="T719" s="799">
        <f t="shared" si="174"/>
        <v>0</v>
      </c>
      <c r="U719" s="799">
        <f t="shared" si="174"/>
        <v>0</v>
      </c>
      <c r="V719" s="799">
        <f t="shared" si="174"/>
        <v>124421143373</v>
      </c>
      <c r="W719" s="799">
        <f t="shared" si="174"/>
        <v>295979524627</v>
      </c>
      <c r="X719" s="799">
        <f t="shared" si="174"/>
        <v>426699909000</v>
      </c>
    </row>
    <row r="720" spans="1:24" s="658" customFormat="1">
      <c r="A720" s="848" t="s">
        <v>771</v>
      </c>
      <c r="B720" s="787" t="s">
        <v>2359</v>
      </c>
      <c r="C720" s="779"/>
      <c r="D720" s="780"/>
      <c r="E720" s="804"/>
      <c r="F720" s="804"/>
      <c r="G720" s="804"/>
      <c r="H720" s="804"/>
      <c r="I720" s="804"/>
      <c r="J720" s="804"/>
      <c r="K720" s="804">
        <f t="shared" si="172"/>
        <v>0</v>
      </c>
      <c r="L720" s="804"/>
      <c r="M720" s="804"/>
      <c r="N720" s="804"/>
      <c r="O720" s="804"/>
      <c r="P720" s="804"/>
      <c r="Q720" s="804">
        <f>R720+S720</f>
        <v>0</v>
      </c>
      <c r="R720" s="804"/>
      <c r="S720" s="804"/>
      <c r="T720" s="804"/>
      <c r="U720" s="747"/>
      <c r="V720" s="747"/>
      <c r="W720" s="747"/>
      <c r="X720" s="747"/>
    </row>
    <row r="721" spans="1:24" s="658" customFormat="1">
      <c r="A721" s="808" t="s">
        <v>743</v>
      </c>
      <c r="B721" s="851" t="s">
        <v>2299</v>
      </c>
      <c r="C721" s="779"/>
      <c r="D721" s="780"/>
      <c r="E721" s="804"/>
      <c r="F721" s="804"/>
      <c r="G721" s="804"/>
      <c r="H721" s="804"/>
      <c r="I721" s="804"/>
      <c r="J721" s="804"/>
      <c r="K721" s="804">
        <f t="shared" si="172"/>
        <v>0</v>
      </c>
      <c r="L721" s="804"/>
      <c r="M721" s="804"/>
      <c r="N721" s="804"/>
      <c r="O721" s="804"/>
      <c r="P721" s="804"/>
      <c r="Q721" s="804">
        <f>R721+S721</f>
        <v>0</v>
      </c>
      <c r="R721" s="804"/>
      <c r="S721" s="804"/>
      <c r="T721" s="804"/>
      <c r="U721" s="747"/>
      <c r="V721" s="747"/>
      <c r="W721" s="747"/>
      <c r="X721" s="747"/>
    </row>
    <row r="722" spans="1:24" s="658" customFormat="1" ht="22.5">
      <c r="A722" s="803"/>
      <c r="B722" s="785" t="s">
        <v>2378</v>
      </c>
      <c r="C722" s="779">
        <v>961</v>
      </c>
      <c r="D722" s="780" t="s">
        <v>2379</v>
      </c>
      <c r="E722" s="804">
        <v>1200000000000</v>
      </c>
      <c r="F722" s="804">
        <v>13076909000</v>
      </c>
      <c r="G722" s="804">
        <v>6777668000</v>
      </c>
      <c r="H722" s="804"/>
      <c r="I722" s="804">
        <v>6777668000</v>
      </c>
      <c r="J722" s="804">
        <v>36923000000</v>
      </c>
      <c r="K722" s="804">
        <f t="shared" si="172"/>
        <v>36923000000</v>
      </c>
      <c r="L722" s="804">
        <v>31665214303</v>
      </c>
      <c r="M722" s="804">
        <v>5257785697</v>
      </c>
      <c r="N722" s="804"/>
      <c r="O722" s="804"/>
      <c r="P722" s="804">
        <v>376700000000</v>
      </c>
      <c r="Q722" s="804">
        <f>R722+S722</f>
        <v>376700000000</v>
      </c>
      <c r="R722" s="804">
        <v>85978261070</v>
      </c>
      <c r="S722" s="804">
        <v>290721738930</v>
      </c>
      <c r="T722" s="804"/>
      <c r="U722" s="747"/>
      <c r="V722" s="747">
        <f>I722+L722+R722</f>
        <v>124421143373</v>
      </c>
      <c r="W722" s="747">
        <f>G722-H722-I722+M722+S722</f>
        <v>295979524627</v>
      </c>
      <c r="X722" s="747">
        <f t="shared" ref="X722:X784" si="175">F722+K722+Q722</f>
        <v>426699909000</v>
      </c>
    </row>
    <row r="723" spans="1:24" s="658" customFormat="1">
      <c r="A723" s="848" t="s">
        <v>80</v>
      </c>
      <c r="B723" s="849" t="s">
        <v>2380</v>
      </c>
      <c r="C723" s="788"/>
      <c r="D723" s="789"/>
      <c r="E723" s="799"/>
      <c r="F723" s="799"/>
      <c r="G723" s="799"/>
      <c r="H723" s="799"/>
      <c r="I723" s="799"/>
      <c r="J723" s="799"/>
      <c r="K723" s="804"/>
      <c r="L723" s="799"/>
      <c r="M723" s="799"/>
      <c r="N723" s="799"/>
      <c r="O723" s="804"/>
      <c r="P723" s="799">
        <f>P725+P728+P732+P735+P738+P740</f>
        <v>55300000000</v>
      </c>
      <c r="Q723" s="799">
        <f>R723+S723</f>
        <v>46361373800</v>
      </c>
      <c r="R723" s="799">
        <f>R725+R728+R732+R735+R738+R740</f>
        <v>40926416800</v>
      </c>
      <c r="S723" s="799">
        <f>S725+S728+S732+S735+S738+S740</f>
        <v>5434957000</v>
      </c>
      <c r="T723" s="799">
        <f>T725+T728+T732+T735+T738+T740</f>
        <v>8938626200</v>
      </c>
      <c r="U723" s="747"/>
      <c r="V723" s="747">
        <f>I723+L723+R723</f>
        <v>40926416800</v>
      </c>
      <c r="W723" s="747">
        <f>G723-H723-I723+M723+S723</f>
        <v>5434957000</v>
      </c>
      <c r="X723" s="747">
        <f t="shared" si="175"/>
        <v>46361373800</v>
      </c>
    </row>
    <row r="724" spans="1:24" s="658" customFormat="1">
      <c r="A724" s="808" t="s">
        <v>743</v>
      </c>
      <c r="B724" s="851" t="s">
        <v>2381</v>
      </c>
      <c r="C724" s="779"/>
      <c r="D724" s="780"/>
      <c r="E724" s="804"/>
      <c r="F724" s="804"/>
      <c r="G724" s="804"/>
      <c r="H724" s="804"/>
      <c r="I724" s="804"/>
      <c r="J724" s="804"/>
      <c r="K724" s="804"/>
      <c r="L724" s="804"/>
      <c r="M724" s="804"/>
      <c r="N724" s="804"/>
      <c r="O724" s="804"/>
      <c r="P724" s="804"/>
      <c r="Q724" s="804">
        <f>R724+S724</f>
        <v>0</v>
      </c>
      <c r="R724" s="804"/>
      <c r="S724" s="804"/>
      <c r="T724" s="804"/>
      <c r="U724" s="747"/>
      <c r="V724" s="747"/>
      <c r="W724" s="747"/>
      <c r="X724" s="747"/>
    </row>
    <row r="725" spans="1:24" s="658" customFormat="1" ht="21">
      <c r="A725" s="848"/>
      <c r="B725" s="849" t="s">
        <v>2382</v>
      </c>
      <c r="C725" s="788"/>
      <c r="D725" s="789"/>
      <c r="E725" s="799">
        <f>SUM(E726:E727)</f>
        <v>11927092000</v>
      </c>
      <c r="F725" s="799">
        <f>SUM(F726:F727)</f>
        <v>0</v>
      </c>
      <c r="G725" s="799">
        <f t="shared" ref="G725:X725" si="176">SUM(G726:G727)</f>
        <v>0</v>
      </c>
      <c r="H725" s="799">
        <f t="shared" si="176"/>
        <v>0</v>
      </c>
      <c r="I725" s="799">
        <f t="shared" si="176"/>
        <v>0</v>
      </c>
      <c r="J725" s="799">
        <f t="shared" si="176"/>
        <v>0</v>
      </c>
      <c r="K725" s="799">
        <f t="shared" si="176"/>
        <v>0</v>
      </c>
      <c r="L725" s="799">
        <f t="shared" si="176"/>
        <v>0</v>
      </c>
      <c r="M725" s="799">
        <f t="shared" si="176"/>
        <v>0</v>
      </c>
      <c r="N725" s="799">
        <f t="shared" si="176"/>
        <v>0</v>
      </c>
      <c r="O725" s="799">
        <f t="shared" si="176"/>
        <v>0</v>
      </c>
      <c r="P725" s="799">
        <f t="shared" si="176"/>
        <v>11800000000</v>
      </c>
      <c r="Q725" s="799">
        <f t="shared" si="176"/>
        <v>10844272990</v>
      </c>
      <c r="R725" s="799">
        <f t="shared" si="176"/>
        <v>10844272990</v>
      </c>
      <c r="S725" s="799">
        <f t="shared" si="176"/>
        <v>0</v>
      </c>
      <c r="T725" s="799">
        <f t="shared" si="176"/>
        <v>955727010</v>
      </c>
      <c r="U725" s="799">
        <f t="shared" si="176"/>
        <v>0</v>
      </c>
      <c r="V725" s="799">
        <f t="shared" si="176"/>
        <v>10844272990</v>
      </c>
      <c r="W725" s="799">
        <f t="shared" si="176"/>
        <v>0</v>
      </c>
      <c r="X725" s="799">
        <f t="shared" si="176"/>
        <v>10844272990</v>
      </c>
    </row>
    <row r="726" spans="1:24" s="658" customFormat="1">
      <c r="A726" s="803" t="s">
        <v>1088</v>
      </c>
      <c r="B726" s="785" t="s">
        <v>2383</v>
      </c>
      <c r="C726" s="779" t="s">
        <v>777</v>
      </c>
      <c r="D726" s="780" t="s">
        <v>2384</v>
      </c>
      <c r="E726" s="804">
        <v>7137757000</v>
      </c>
      <c r="F726" s="804"/>
      <c r="G726" s="804"/>
      <c r="H726" s="804"/>
      <c r="I726" s="804"/>
      <c r="J726" s="804"/>
      <c r="K726" s="804"/>
      <c r="L726" s="804"/>
      <c r="M726" s="804"/>
      <c r="N726" s="804"/>
      <c r="O726" s="804"/>
      <c r="P726" s="804">
        <v>7100000000</v>
      </c>
      <c r="Q726" s="804">
        <f>R726+S726</f>
        <v>6449755990</v>
      </c>
      <c r="R726" s="804">
        <v>6449755990</v>
      </c>
      <c r="S726" s="804"/>
      <c r="T726" s="804">
        <v>650244010</v>
      </c>
      <c r="U726" s="747"/>
      <c r="V726" s="747">
        <f>I726+L726+R726</f>
        <v>6449755990</v>
      </c>
      <c r="W726" s="747"/>
      <c r="X726" s="747">
        <f t="shared" si="175"/>
        <v>6449755990</v>
      </c>
    </row>
    <row r="727" spans="1:24" s="658" customFormat="1">
      <c r="A727" s="803" t="s">
        <v>1088</v>
      </c>
      <c r="B727" s="785" t="s">
        <v>2385</v>
      </c>
      <c r="C727" s="779" t="s">
        <v>777</v>
      </c>
      <c r="D727" s="780" t="s">
        <v>2386</v>
      </c>
      <c r="E727" s="804">
        <v>4789335000</v>
      </c>
      <c r="F727" s="804"/>
      <c r="G727" s="804"/>
      <c r="H727" s="804"/>
      <c r="I727" s="804"/>
      <c r="J727" s="804"/>
      <c r="K727" s="804"/>
      <c r="L727" s="804"/>
      <c r="M727" s="804"/>
      <c r="N727" s="804"/>
      <c r="O727" s="804"/>
      <c r="P727" s="804">
        <v>4700000000</v>
      </c>
      <c r="Q727" s="804">
        <f>R727+S727</f>
        <v>4394517000</v>
      </c>
      <c r="R727" s="804">
        <v>4394517000</v>
      </c>
      <c r="S727" s="804"/>
      <c r="T727" s="804">
        <v>305483000</v>
      </c>
      <c r="U727" s="747"/>
      <c r="V727" s="747">
        <f>I727+L727+R727</f>
        <v>4394517000</v>
      </c>
      <c r="W727" s="747"/>
      <c r="X727" s="747">
        <f t="shared" si="175"/>
        <v>4394517000</v>
      </c>
    </row>
    <row r="728" spans="1:24" s="658" customFormat="1" ht="21">
      <c r="A728" s="848"/>
      <c r="B728" s="849" t="s">
        <v>2387</v>
      </c>
      <c r="C728" s="788"/>
      <c r="D728" s="789"/>
      <c r="E728" s="799">
        <f>SUM(E729:E731)</f>
        <v>9505466000</v>
      </c>
      <c r="F728" s="799">
        <f>SUM(F729:F731)</f>
        <v>0</v>
      </c>
      <c r="G728" s="799">
        <f t="shared" ref="G728:X728" si="177">SUM(G729:G731)</f>
        <v>0</v>
      </c>
      <c r="H728" s="799">
        <f t="shared" si="177"/>
        <v>0</v>
      </c>
      <c r="I728" s="799">
        <f t="shared" si="177"/>
        <v>0</v>
      </c>
      <c r="J728" s="799">
        <f t="shared" si="177"/>
        <v>0</v>
      </c>
      <c r="K728" s="799">
        <f t="shared" si="177"/>
        <v>0</v>
      </c>
      <c r="L728" s="799">
        <f t="shared" si="177"/>
        <v>0</v>
      </c>
      <c r="M728" s="799">
        <f t="shared" si="177"/>
        <v>0</v>
      </c>
      <c r="N728" s="799">
        <f t="shared" si="177"/>
        <v>0</v>
      </c>
      <c r="O728" s="799">
        <f t="shared" si="177"/>
        <v>0</v>
      </c>
      <c r="P728" s="799">
        <f t="shared" si="177"/>
        <v>8600000000</v>
      </c>
      <c r="Q728" s="799">
        <f t="shared" si="177"/>
        <v>5472668000</v>
      </c>
      <c r="R728" s="799">
        <f t="shared" si="177"/>
        <v>3472668000</v>
      </c>
      <c r="S728" s="799">
        <f t="shared" si="177"/>
        <v>2000000000</v>
      </c>
      <c r="T728" s="799">
        <f t="shared" si="177"/>
        <v>3127332000</v>
      </c>
      <c r="U728" s="799">
        <f t="shared" si="177"/>
        <v>0</v>
      </c>
      <c r="V728" s="799">
        <f t="shared" si="177"/>
        <v>3472668000</v>
      </c>
      <c r="W728" s="799">
        <f t="shared" si="177"/>
        <v>2000000000</v>
      </c>
      <c r="X728" s="799">
        <f t="shared" si="177"/>
        <v>5472668000</v>
      </c>
    </row>
    <row r="729" spans="1:24" s="658" customFormat="1">
      <c r="A729" s="803" t="s">
        <v>1088</v>
      </c>
      <c r="B729" s="785" t="s">
        <v>2388</v>
      </c>
      <c r="C729" s="779" t="s">
        <v>777</v>
      </c>
      <c r="D729" s="780" t="s">
        <v>2389</v>
      </c>
      <c r="E729" s="804">
        <v>2736930000</v>
      </c>
      <c r="F729" s="804"/>
      <c r="G729" s="804"/>
      <c r="H729" s="804"/>
      <c r="I729" s="804"/>
      <c r="J729" s="804"/>
      <c r="K729" s="804"/>
      <c r="L729" s="804"/>
      <c r="M729" s="804"/>
      <c r="N729" s="804"/>
      <c r="O729" s="804"/>
      <c r="P729" s="804">
        <v>2400000000</v>
      </c>
      <c r="Q729" s="804">
        <f>R729+S729</f>
        <v>1980734000</v>
      </c>
      <c r="R729" s="804">
        <v>1980734000</v>
      </c>
      <c r="S729" s="804"/>
      <c r="T729" s="804">
        <v>419266000</v>
      </c>
      <c r="U729" s="747"/>
      <c r="V729" s="747">
        <f>I729+L729+R729</f>
        <v>1980734000</v>
      </c>
      <c r="W729" s="747"/>
      <c r="X729" s="747">
        <f t="shared" si="175"/>
        <v>1980734000</v>
      </c>
    </row>
    <row r="730" spans="1:24" s="658" customFormat="1">
      <c r="A730" s="803" t="s">
        <v>1088</v>
      </c>
      <c r="B730" s="785" t="s">
        <v>2390</v>
      </c>
      <c r="C730" s="779" t="s">
        <v>777</v>
      </c>
      <c r="D730" s="780" t="s">
        <v>2391</v>
      </c>
      <c r="E730" s="804">
        <v>1611233000</v>
      </c>
      <c r="F730" s="804"/>
      <c r="G730" s="804"/>
      <c r="H730" s="804"/>
      <c r="I730" s="804"/>
      <c r="J730" s="804"/>
      <c r="K730" s="804"/>
      <c r="L730" s="804"/>
      <c r="M730" s="804"/>
      <c r="N730" s="804"/>
      <c r="O730" s="804"/>
      <c r="P730" s="804">
        <v>1500000000</v>
      </c>
      <c r="Q730" s="804">
        <f>R730+S730</f>
        <v>1157417000</v>
      </c>
      <c r="R730" s="804">
        <v>1157417000</v>
      </c>
      <c r="S730" s="804"/>
      <c r="T730" s="804">
        <v>342583000</v>
      </c>
      <c r="U730" s="747"/>
      <c r="V730" s="747">
        <f>I730+L730+R730</f>
        <v>1157417000</v>
      </c>
      <c r="W730" s="747"/>
      <c r="X730" s="747">
        <f t="shared" si="175"/>
        <v>1157417000</v>
      </c>
    </row>
    <row r="731" spans="1:24" s="658" customFormat="1">
      <c r="A731" s="803" t="s">
        <v>1088</v>
      </c>
      <c r="B731" s="785" t="s">
        <v>2392</v>
      </c>
      <c r="C731" s="779" t="s">
        <v>777</v>
      </c>
      <c r="D731" s="780" t="s">
        <v>2393</v>
      </c>
      <c r="E731" s="804">
        <v>5157303000</v>
      </c>
      <c r="F731" s="804"/>
      <c r="G731" s="804"/>
      <c r="H731" s="804"/>
      <c r="I731" s="804"/>
      <c r="J731" s="804"/>
      <c r="K731" s="804"/>
      <c r="L731" s="804"/>
      <c r="M731" s="804"/>
      <c r="N731" s="804"/>
      <c r="O731" s="804"/>
      <c r="P731" s="804">
        <v>4700000000</v>
      </c>
      <c r="Q731" s="804">
        <f>R731+S731</f>
        <v>2334517000</v>
      </c>
      <c r="R731" s="804">
        <v>334517000</v>
      </c>
      <c r="S731" s="804">
        <v>2000000000</v>
      </c>
      <c r="T731" s="804">
        <v>2365483000</v>
      </c>
      <c r="U731" s="747"/>
      <c r="V731" s="747">
        <f>I731+L731+R731</f>
        <v>334517000</v>
      </c>
      <c r="W731" s="747">
        <f>G731-H731-I731+M731+S731</f>
        <v>2000000000</v>
      </c>
      <c r="X731" s="747">
        <f t="shared" si="175"/>
        <v>2334517000</v>
      </c>
    </row>
    <row r="732" spans="1:24" s="658" customFormat="1" ht="21">
      <c r="A732" s="848"/>
      <c r="B732" s="849" t="s">
        <v>2394</v>
      </c>
      <c r="C732" s="788"/>
      <c r="D732" s="789"/>
      <c r="E732" s="799">
        <f>SUM(E733:E734)</f>
        <v>12827358000</v>
      </c>
      <c r="F732" s="799">
        <f>SUM(F733:F734)</f>
        <v>0</v>
      </c>
      <c r="G732" s="799">
        <f t="shared" ref="G732:W732" si="178">SUM(G733:G734)</f>
        <v>0</v>
      </c>
      <c r="H732" s="799">
        <f t="shared" si="178"/>
        <v>0</v>
      </c>
      <c r="I732" s="799">
        <f t="shared" si="178"/>
        <v>0</v>
      </c>
      <c r="J732" s="799">
        <f t="shared" si="178"/>
        <v>0</v>
      </c>
      <c r="K732" s="799">
        <f t="shared" si="178"/>
        <v>0</v>
      </c>
      <c r="L732" s="799">
        <f t="shared" si="178"/>
        <v>0</v>
      </c>
      <c r="M732" s="799">
        <f t="shared" si="178"/>
        <v>0</v>
      </c>
      <c r="N732" s="799">
        <f t="shared" si="178"/>
        <v>0</v>
      </c>
      <c r="O732" s="799">
        <f t="shared" si="178"/>
        <v>0</v>
      </c>
      <c r="P732" s="799">
        <f t="shared" si="178"/>
        <v>12000000000</v>
      </c>
      <c r="Q732" s="799">
        <f t="shared" si="178"/>
        <v>8683741810</v>
      </c>
      <c r="R732" s="799">
        <f t="shared" si="178"/>
        <v>5361741810</v>
      </c>
      <c r="S732" s="799">
        <f t="shared" si="178"/>
        <v>3322000000</v>
      </c>
      <c r="T732" s="799">
        <f t="shared" si="178"/>
        <v>3316258190</v>
      </c>
      <c r="U732" s="799">
        <f t="shared" si="178"/>
        <v>0</v>
      </c>
      <c r="V732" s="799">
        <f t="shared" si="178"/>
        <v>5361741810</v>
      </c>
      <c r="W732" s="799">
        <f t="shared" si="178"/>
        <v>3322000000</v>
      </c>
      <c r="X732" s="799">
        <f>SUM(X733:X734)</f>
        <v>8683741810</v>
      </c>
    </row>
    <row r="733" spans="1:24" s="658" customFormat="1" ht="22.5">
      <c r="A733" s="803"/>
      <c r="B733" s="785" t="s">
        <v>2395</v>
      </c>
      <c r="C733" s="779">
        <v>961</v>
      </c>
      <c r="D733" s="780" t="s">
        <v>2396</v>
      </c>
      <c r="E733" s="804">
        <v>7214255000</v>
      </c>
      <c r="F733" s="804"/>
      <c r="G733" s="804"/>
      <c r="H733" s="804"/>
      <c r="I733" s="804"/>
      <c r="J733" s="804"/>
      <c r="K733" s="804"/>
      <c r="L733" s="804"/>
      <c r="M733" s="804"/>
      <c r="N733" s="804"/>
      <c r="O733" s="804">
        <f>J733-K733-N733</f>
        <v>0</v>
      </c>
      <c r="P733" s="804">
        <v>6800000000</v>
      </c>
      <c r="Q733" s="804">
        <f>R733+S733</f>
        <v>3655857178</v>
      </c>
      <c r="R733" s="804">
        <v>333857178</v>
      </c>
      <c r="S733" s="804">
        <v>3322000000</v>
      </c>
      <c r="T733" s="804">
        <v>3144142822</v>
      </c>
      <c r="U733" s="747"/>
      <c r="V733" s="747">
        <f>I733+L733+R733</f>
        <v>333857178</v>
      </c>
      <c r="W733" s="747">
        <f>G733-H733-I733+M733+S733</f>
        <v>3322000000</v>
      </c>
      <c r="X733" s="747">
        <f t="shared" si="175"/>
        <v>3655857178</v>
      </c>
    </row>
    <row r="734" spans="1:24" s="658" customFormat="1" ht="22.5">
      <c r="A734" s="803" t="s">
        <v>1088</v>
      </c>
      <c r="B734" s="785" t="s">
        <v>2397</v>
      </c>
      <c r="C734" s="779" t="s">
        <v>777</v>
      </c>
      <c r="D734" s="780" t="s">
        <v>2398</v>
      </c>
      <c r="E734" s="804">
        <v>5613103000</v>
      </c>
      <c r="F734" s="804"/>
      <c r="G734" s="804"/>
      <c r="H734" s="804"/>
      <c r="I734" s="804"/>
      <c r="J734" s="804"/>
      <c r="K734" s="804"/>
      <c r="L734" s="804"/>
      <c r="M734" s="804"/>
      <c r="N734" s="804"/>
      <c r="O734" s="804"/>
      <c r="P734" s="804">
        <v>5200000000</v>
      </c>
      <c r="Q734" s="804">
        <f>R734+S734</f>
        <v>5027884632</v>
      </c>
      <c r="R734" s="804">
        <v>5027884632</v>
      </c>
      <c r="S734" s="804"/>
      <c r="T734" s="804">
        <v>172115368</v>
      </c>
      <c r="U734" s="747"/>
      <c r="V734" s="747">
        <f>I734+L734+R734</f>
        <v>5027884632</v>
      </c>
      <c r="W734" s="747"/>
      <c r="X734" s="747">
        <f t="shared" si="175"/>
        <v>5027884632</v>
      </c>
    </row>
    <row r="735" spans="1:24" s="658" customFormat="1" ht="21">
      <c r="A735" s="848"/>
      <c r="B735" s="849" t="s">
        <v>2399</v>
      </c>
      <c r="C735" s="788"/>
      <c r="D735" s="789"/>
      <c r="E735" s="799"/>
      <c r="F735" s="799"/>
      <c r="G735" s="799"/>
      <c r="H735" s="799"/>
      <c r="I735" s="799"/>
      <c r="J735" s="799"/>
      <c r="K735" s="804"/>
      <c r="L735" s="799"/>
      <c r="M735" s="799"/>
      <c r="N735" s="799"/>
      <c r="O735" s="804"/>
      <c r="P735" s="799">
        <f>SUM(P736:P737)</f>
        <v>5500000000</v>
      </c>
      <c r="Q735" s="799">
        <f t="shared" ref="Q735:X735" si="179">SUM(Q736:Q737)</f>
        <v>5169964000</v>
      </c>
      <c r="R735" s="799">
        <f t="shared" si="179"/>
        <v>5057007000</v>
      </c>
      <c r="S735" s="799">
        <f t="shared" si="179"/>
        <v>112957000</v>
      </c>
      <c r="T735" s="799">
        <f t="shared" si="179"/>
        <v>330036000</v>
      </c>
      <c r="U735" s="799">
        <f t="shared" si="179"/>
        <v>0</v>
      </c>
      <c r="V735" s="799">
        <f t="shared" si="179"/>
        <v>5057007000</v>
      </c>
      <c r="W735" s="799">
        <f t="shared" si="179"/>
        <v>112957000</v>
      </c>
      <c r="X735" s="799">
        <f t="shared" si="179"/>
        <v>5169964000</v>
      </c>
    </row>
    <row r="736" spans="1:24" s="658" customFormat="1" ht="22.5">
      <c r="A736" s="803" t="s">
        <v>1088</v>
      </c>
      <c r="B736" s="785" t="s">
        <v>2400</v>
      </c>
      <c r="C736" s="779" t="s">
        <v>777</v>
      </c>
      <c r="D736" s="780" t="s">
        <v>2401</v>
      </c>
      <c r="E736" s="804">
        <v>2066344000</v>
      </c>
      <c r="F736" s="804"/>
      <c r="G736" s="804"/>
      <c r="H736" s="804"/>
      <c r="I736" s="804"/>
      <c r="J736" s="804"/>
      <c r="K736" s="804"/>
      <c r="L736" s="804"/>
      <c r="M736" s="804"/>
      <c r="N736" s="804"/>
      <c r="O736" s="804"/>
      <c r="P736" s="804">
        <v>1800000000</v>
      </c>
      <c r="Q736" s="804">
        <f>R736+S736</f>
        <v>1536499000</v>
      </c>
      <c r="R736" s="804">
        <v>1500041000</v>
      </c>
      <c r="S736" s="804">
        <v>36458000</v>
      </c>
      <c r="T736" s="804">
        <v>263501000</v>
      </c>
      <c r="U736" s="747"/>
      <c r="V736" s="747">
        <f>I736+L736+R736</f>
        <v>1500041000</v>
      </c>
      <c r="W736" s="747">
        <f>G736-H736-I736+M736+S736</f>
        <v>36458000</v>
      </c>
      <c r="X736" s="747">
        <f t="shared" si="175"/>
        <v>1536499000</v>
      </c>
    </row>
    <row r="737" spans="1:24" s="658" customFormat="1">
      <c r="A737" s="803" t="s">
        <v>1088</v>
      </c>
      <c r="B737" s="785" t="s">
        <v>2402</v>
      </c>
      <c r="C737" s="779" t="s">
        <v>777</v>
      </c>
      <c r="D737" s="780" t="s">
        <v>2403</v>
      </c>
      <c r="E737" s="804">
        <v>4130656000</v>
      </c>
      <c r="F737" s="804"/>
      <c r="G737" s="804"/>
      <c r="H737" s="804"/>
      <c r="I737" s="804"/>
      <c r="J737" s="804"/>
      <c r="K737" s="804"/>
      <c r="L737" s="804"/>
      <c r="M737" s="804"/>
      <c r="N737" s="804"/>
      <c r="O737" s="804"/>
      <c r="P737" s="804">
        <v>3700000000</v>
      </c>
      <c r="Q737" s="804">
        <f>R737+S737</f>
        <v>3633465000</v>
      </c>
      <c r="R737" s="804">
        <v>3556966000</v>
      </c>
      <c r="S737" s="804">
        <v>76499000</v>
      </c>
      <c r="T737" s="804">
        <v>66535000</v>
      </c>
      <c r="U737" s="747"/>
      <c r="V737" s="747">
        <f>I737+L737+R737</f>
        <v>3556966000</v>
      </c>
      <c r="W737" s="747">
        <f>G737-H737-I737+M737+S737</f>
        <v>76499000</v>
      </c>
      <c r="X737" s="747">
        <f t="shared" si="175"/>
        <v>3633465000</v>
      </c>
    </row>
    <row r="738" spans="1:24" s="658" customFormat="1" ht="21">
      <c r="A738" s="848"/>
      <c r="B738" s="849" t="s">
        <v>2404</v>
      </c>
      <c r="C738" s="788"/>
      <c r="D738" s="789"/>
      <c r="E738" s="799"/>
      <c r="F738" s="799"/>
      <c r="G738" s="799"/>
      <c r="H738" s="799"/>
      <c r="I738" s="799"/>
      <c r="J738" s="799"/>
      <c r="K738" s="804"/>
      <c r="L738" s="799"/>
      <c r="M738" s="799"/>
      <c r="N738" s="799"/>
      <c r="O738" s="804"/>
      <c r="P738" s="799">
        <f>P739</f>
        <v>5400000000</v>
      </c>
      <c r="Q738" s="799">
        <f t="shared" ref="Q738:X738" si="180">Q739</f>
        <v>5400000000</v>
      </c>
      <c r="R738" s="799">
        <f t="shared" si="180"/>
        <v>5400000000</v>
      </c>
      <c r="S738" s="799">
        <f t="shared" si="180"/>
        <v>0</v>
      </c>
      <c r="T738" s="799">
        <f t="shared" si="180"/>
        <v>0</v>
      </c>
      <c r="U738" s="799">
        <f t="shared" si="180"/>
        <v>0</v>
      </c>
      <c r="V738" s="799">
        <f t="shared" si="180"/>
        <v>5400000000</v>
      </c>
      <c r="W738" s="799">
        <f t="shared" si="180"/>
        <v>0</v>
      </c>
      <c r="X738" s="799">
        <f t="shared" si="180"/>
        <v>5400000000</v>
      </c>
    </row>
    <row r="739" spans="1:24" s="658" customFormat="1">
      <c r="A739" s="803" t="s">
        <v>1088</v>
      </c>
      <c r="B739" s="785" t="s">
        <v>2405</v>
      </c>
      <c r="C739" s="779" t="s">
        <v>777</v>
      </c>
      <c r="D739" s="780" t="s">
        <v>2406</v>
      </c>
      <c r="E739" s="804">
        <v>6497986000</v>
      </c>
      <c r="F739" s="804"/>
      <c r="G739" s="804"/>
      <c r="H739" s="804"/>
      <c r="I739" s="804"/>
      <c r="J739" s="804"/>
      <c r="K739" s="804"/>
      <c r="L739" s="804"/>
      <c r="M739" s="804"/>
      <c r="N739" s="804"/>
      <c r="O739" s="804"/>
      <c r="P739" s="804">
        <v>5400000000</v>
      </c>
      <c r="Q739" s="804">
        <f>R739+S739</f>
        <v>5400000000</v>
      </c>
      <c r="R739" s="804">
        <v>5400000000</v>
      </c>
      <c r="S739" s="804"/>
      <c r="T739" s="804"/>
      <c r="U739" s="747"/>
      <c r="V739" s="747">
        <f>I739+L739+R739</f>
        <v>5400000000</v>
      </c>
      <c r="W739" s="747"/>
      <c r="X739" s="747">
        <f t="shared" si="175"/>
        <v>5400000000</v>
      </c>
    </row>
    <row r="740" spans="1:24" s="658" customFormat="1" ht="21">
      <c r="A740" s="848"/>
      <c r="B740" s="849" t="s">
        <v>2407</v>
      </c>
      <c r="C740" s="788"/>
      <c r="D740" s="789"/>
      <c r="E740" s="799"/>
      <c r="F740" s="799"/>
      <c r="G740" s="799"/>
      <c r="H740" s="799"/>
      <c r="I740" s="799"/>
      <c r="J740" s="799"/>
      <c r="K740" s="804"/>
      <c r="L740" s="799"/>
      <c r="M740" s="799"/>
      <c r="N740" s="799"/>
      <c r="O740" s="804"/>
      <c r="P740" s="799">
        <f>SUM(P741:P742)</f>
        <v>12000000000</v>
      </c>
      <c r="Q740" s="799">
        <f t="shared" ref="Q740:X740" si="181">SUM(Q741:Q742)</f>
        <v>10790727000</v>
      </c>
      <c r="R740" s="799">
        <f t="shared" si="181"/>
        <v>10790727000</v>
      </c>
      <c r="S740" s="799">
        <f t="shared" si="181"/>
        <v>0</v>
      </c>
      <c r="T740" s="799">
        <f t="shared" si="181"/>
        <v>1209273000</v>
      </c>
      <c r="U740" s="799">
        <f t="shared" si="181"/>
        <v>0</v>
      </c>
      <c r="V740" s="799">
        <f t="shared" si="181"/>
        <v>10790727000</v>
      </c>
      <c r="W740" s="799">
        <f t="shared" si="181"/>
        <v>0</v>
      </c>
      <c r="X740" s="799">
        <f t="shared" si="181"/>
        <v>10790727000</v>
      </c>
    </row>
    <row r="741" spans="1:24" s="658" customFormat="1">
      <c r="A741" s="803" t="s">
        <v>1088</v>
      </c>
      <c r="B741" s="785" t="s">
        <v>2408</v>
      </c>
      <c r="C741" s="779" t="s">
        <v>777</v>
      </c>
      <c r="D741" s="780" t="s">
        <v>2409</v>
      </c>
      <c r="E741" s="804">
        <v>7484590205</v>
      </c>
      <c r="F741" s="804"/>
      <c r="G741" s="804"/>
      <c r="H741" s="804"/>
      <c r="I741" s="804"/>
      <c r="J741" s="804"/>
      <c r="K741" s="804"/>
      <c r="L741" s="804"/>
      <c r="M741" s="804"/>
      <c r="N741" s="804"/>
      <c r="O741" s="804"/>
      <c r="P741" s="804">
        <v>7000000000</v>
      </c>
      <c r="Q741" s="804">
        <f>R741+S741</f>
        <v>6376922000</v>
      </c>
      <c r="R741" s="804">
        <v>6376922000</v>
      </c>
      <c r="S741" s="804"/>
      <c r="T741" s="804">
        <v>623078000</v>
      </c>
      <c r="U741" s="747"/>
      <c r="V741" s="747">
        <f>I741+L741+R741</f>
        <v>6376922000</v>
      </c>
      <c r="W741" s="747"/>
      <c r="X741" s="747">
        <f t="shared" si="175"/>
        <v>6376922000</v>
      </c>
    </row>
    <row r="742" spans="1:24" s="658" customFormat="1">
      <c r="A742" s="803" t="s">
        <v>1088</v>
      </c>
      <c r="B742" s="785" t="s">
        <v>2410</v>
      </c>
      <c r="C742" s="779" t="s">
        <v>777</v>
      </c>
      <c r="D742" s="780" t="s">
        <v>2411</v>
      </c>
      <c r="E742" s="804">
        <v>5637111000</v>
      </c>
      <c r="F742" s="804"/>
      <c r="G742" s="804"/>
      <c r="H742" s="804"/>
      <c r="I742" s="804"/>
      <c r="J742" s="804"/>
      <c r="K742" s="804"/>
      <c r="L742" s="804"/>
      <c r="M742" s="804"/>
      <c r="N742" s="804"/>
      <c r="O742" s="804"/>
      <c r="P742" s="804">
        <v>5000000000</v>
      </c>
      <c r="Q742" s="804">
        <f>R742+S742</f>
        <v>4413805000</v>
      </c>
      <c r="R742" s="804">
        <v>4413805000</v>
      </c>
      <c r="S742" s="804"/>
      <c r="T742" s="804">
        <v>586195000</v>
      </c>
      <c r="U742" s="747"/>
      <c r="V742" s="747">
        <f>I742+L742+R742</f>
        <v>4413805000</v>
      </c>
      <c r="W742" s="747"/>
      <c r="X742" s="747">
        <f t="shared" si="175"/>
        <v>4413805000</v>
      </c>
    </row>
    <row r="743" spans="1:24" s="693" customFormat="1">
      <c r="A743" s="862" t="s">
        <v>2412</v>
      </c>
      <c r="B743" s="863" t="s">
        <v>2413</v>
      </c>
      <c r="C743" s="864"/>
      <c r="D743" s="865"/>
      <c r="E743" s="798">
        <f>SUM(E744:E745)</f>
        <v>112323488000</v>
      </c>
      <c r="F743" s="798">
        <f>SUM(F744:F745)</f>
        <v>0</v>
      </c>
      <c r="G743" s="798">
        <f t="shared" ref="G743:X743" si="182">SUM(G744:G745)</f>
        <v>0</v>
      </c>
      <c r="H743" s="798">
        <f t="shared" si="182"/>
        <v>0</v>
      </c>
      <c r="I743" s="798">
        <f t="shared" si="182"/>
        <v>0</v>
      </c>
      <c r="J743" s="798">
        <f t="shared" si="182"/>
        <v>0</v>
      </c>
      <c r="K743" s="798">
        <f t="shared" si="182"/>
        <v>0</v>
      </c>
      <c r="L743" s="798">
        <f t="shared" si="182"/>
        <v>0</v>
      </c>
      <c r="M743" s="798">
        <f t="shared" si="182"/>
        <v>0</v>
      </c>
      <c r="N743" s="798">
        <f t="shared" si="182"/>
        <v>0</v>
      </c>
      <c r="O743" s="798">
        <f t="shared" si="182"/>
        <v>0</v>
      </c>
      <c r="P743" s="798">
        <f t="shared" si="182"/>
        <v>170000000000</v>
      </c>
      <c r="Q743" s="798">
        <f t="shared" si="182"/>
        <v>79315353770</v>
      </c>
      <c r="R743" s="798">
        <f t="shared" si="182"/>
        <v>65883045770</v>
      </c>
      <c r="S743" s="798">
        <f t="shared" si="182"/>
        <v>13432308000</v>
      </c>
      <c r="T743" s="798">
        <f t="shared" si="182"/>
        <v>90684646230</v>
      </c>
      <c r="U743" s="798">
        <f t="shared" si="182"/>
        <v>0</v>
      </c>
      <c r="V743" s="798">
        <f t="shared" si="182"/>
        <v>65883045770</v>
      </c>
      <c r="W743" s="798">
        <f t="shared" si="182"/>
        <v>13432308000</v>
      </c>
      <c r="X743" s="798">
        <f t="shared" si="182"/>
        <v>79315353770</v>
      </c>
    </row>
    <row r="744" spans="1:24" s="658" customFormat="1" ht="34.5">
      <c r="A744" s="803" t="s">
        <v>104</v>
      </c>
      <c r="B744" s="866" t="s">
        <v>2414</v>
      </c>
      <c r="C744" s="779" t="s">
        <v>777</v>
      </c>
      <c r="D744" s="780" t="s">
        <v>2415</v>
      </c>
      <c r="E744" s="804">
        <v>45135485000</v>
      </c>
      <c r="F744" s="804"/>
      <c r="G744" s="804"/>
      <c r="H744" s="804"/>
      <c r="I744" s="804"/>
      <c r="J744" s="804"/>
      <c r="K744" s="804"/>
      <c r="L744" s="804"/>
      <c r="M744" s="804"/>
      <c r="N744" s="804"/>
      <c r="O744" s="804"/>
      <c r="P744" s="804">
        <v>60000000000</v>
      </c>
      <c r="Q744" s="804">
        <f>R744+S744</f>
        <v>43315353770</v>
      </c>
      <c r="R744" s="804">
        <v>38001853770</v>
      </c>
      <c r="S744" s="804">
        <v>5313500000</v>
      </c>
      <c r="T744" s="804">
        <v>16684646230</v>
      </c>
      <c r="U744" s="747"/>
      <c r="V744" s="747">
        <f>I744+L744+R744</f>
        <v>38001853770</v>
      </c>
      <c r="W744" s="747">
        <f>G744-H744-I744+M744+S744</f>
        <v>5313500000</v>
      </c>
      <c r="X744" s="747">
        <f t="shared" si="175"/>
        <v>43315353770</v>
      </c>
    </row>
    <row r="745" spans="1:24" s="658" customFormat="1" ht="23.25">
      <c r="A745" s="803" t="s">
        <v>105</v>
      </c>
      <c r="B745" s="867" t="s">
        <v>2416</v>
      </c>
      <c r="C745" s="779" t="s">
        <v>777</v>
      </c>
      <c r="D745" s="780" t="s">
        <v>2417</v>
      </c>
      <c r="E745" s="804">
        <v>67188003000</v>
      </c>
      <c r="F745" s="804"/>
      <c r="G745" s="804"/>
      <c r="H745" s="804"/>
      <c r="I745" s="804"/>
      <c r="J745" s="804"/>
      <c r="K745" s="804"/>
      <c r="L745" s="804"/>
      <c r="M745" s="804"/>
      <c r="N745" s="804"/>
      <c r="O745" s="804"/>
      <c r="P745" s="804">
        <v>110000000000</v>
      </c>
      <c r="Q745" s="804">
        <f>R745+S745</f>
        <v>36000000000</v>
      </c>
      <c r="R745" s="804">
        <v>27881192000</v>
      </c>
      <c r="S745" s="804">
        <v>8118808000</v>
      </c>
      <c r="T745" s="804">
        <v>74000000000</v>
      </c>
      <c r="U745" s="747"/>
      <c r="V745" s="747">
        <f>I745+L745+R745</f>
        <v>27881192000</v>
      </c>
      <c r="W745" s="747">
        <f>G745-H745-I745+M745+S745</f>
        <v>8118808000</v>
      </c>
      <c r="X745" s="747">
        <f t="shared" si="175"/>
        <v>36000000000</v>
      </c>
    </row>
    <row r="746" spans="1:24" s="698" customFormat="1">
      <c r="A746" s="842" t="s">
        <v>2418</v>
      </c>
      <c r="B746" s="843" t="s">
        <v>2419</v>
      </c>
      <c r="C746" s="844"/>
      <c r="D746" s="845"/>
      <c r="E746" s="846">
        <f>E747+E760</f>
        <v>1644234438231</v>
      </c>
      <c r="F746" s="846">
        <f>F747+F760</f>
        <v>168712126607</v>
      </c>
      <c r="G746" s="846">
        <f t="shared" ref="G746:X746" si="183">G747+G760</f>
        <v>37950403309</v>
      </c>
      <c r="H746" s="846">
        <f t="shared" si="183"/>
        <v>0</v>
      </c>
      <c r="I746" s="846">
        <f t="shared" si="183"/>
        <v>29770177986</v>
      </c>
      <c r="J746" s="846">
        <f t="shared" si="183"/>
        <v>17921000000</v>
      </c>
      <c r="K746" s="846">
        <f t="shared" si="183"/>
        <v>17827258000</v>
      </c>
      <c r="L746" s="846">
        <f t="shared" si="183"/>
        <v>16431258000</v>
      </c>
      <c r="M746" s="846">
        <f t="shared" si="183"/>
        <v>1396000000</v>
      </c>
      <c r="N746" s="846">
        <f t="shared" si="183"/>
        <v>0</v>
      </c>
      <c r="O746" s="846">
        <f t="shared" si="183"/>
        <v>93742000</v>
      </c>
      <c r="P746" s="846">
        <f t="shared" si="183"/>
        <v>477117000000</v>
      </c>
      <c r="Q746" s="846">
        <f t="shared" si="183"/>
        <v>160472406000</v>
      </c>
      <c r="R746" s="846">
        <f t="shared" si="183"/>
        <v>129291103000</v>
      </c>
      <c r="S746" s="846">
        <f t="shared" si="183"/>
        <v>31181303000</v>
      </c>
      <c r="T746" s="846">
        <f>T747+T760</f>
        <v>233308594000</v>
      </c>
      <c r="U746" s="846">
        <f t="shared" si="183"/>
        <v>83336000000</v>
      </c>
      <c r="V746" s="846">
        <f>V747+V760</f>
        <v>175492538986</v>
      </c>
      <c r="W746" s="846">
        <f>W747+W760</f>
        <v>40757528323</v>
      </c>
      <c r="X746" s="846">
        <f t="shared" si="183"/>
        <v>351749255607</v>
      </c>
    </row>
    <row r="747" spans="1:24" s="658" customFormat="1" ht="21">
      <c r="A747" s="848" t="s">
        <v>57</v>
      </c>
      <c r="B747" s="849" t="s">
        <v>2420</v>
      </c>
      <c r="C747" s="788"/>
      <c r="D747" s="789"/>
      <c r="E747" s="799">
        <f>E748+E752+E756</f>
        <v>596016000000</v>
      </c>
      <c r="F747" s="799">
        <f>F748+F752+F756</f>
        <v>44094944298</v>
      </c>
      <c r="G747" s="799">
        <f t="shared" ref="G747:W747" si="184">G748+G752+G756</f>
        <v>0</v>
      </c>
      <c r="H747" s="799">
        <f t="shared" si="184"/>
        <v>0</v>
      </c>
      <c r="I747" s="799">
        <f t="shared" si="184"/>
        <v>0</v>
      </c>
      <c r="J747" s="799">
        <f t="shared" si="184"/>
        <v>0</v>
      </c>
      <c r="K747" s="799">
        <f t="shared" si="184"/>
        <v>0</v>
      </c>
      <c r="L747" s="799">
        <f t="shared" si="184"/>
        <v>0</v>
      </c>
      <c r="M747" s="799">
        <f t="shared" si="184"/>
        <v>0</v>
      </c>
      <c r="N747" s="799">
        <f t="shared" si="184"/>
        <v>0</v>
      </c>
      <c r="O747" s="799">
        <f t="shared" si="184"/>
        <v>0</v>
      </c>
      <c r="P747" s="799">
        <f>P748+P752+P756</f>
        <v>83336000000</v>
      </c>
      <c r="Q747" s="799">
        <f t="shared" si="184"/>
        <v>0</v>
      </c>
      <c r="R747" s="799">
        <f t="shared" si="184"/>
        <v>0</v>
      </c>
      <c r="S747" s="799">
        <f t="shared" si="184"/>
        <v>0</v>
      </c>
      <c r="T747" s="799">
        <f t="shared" si="184"/>
        <v>0</v>
      </c>
      <c r="U747" s="799">
        <f t="shared" si="184"/>
        <v>83336000000</v>
      </c>
      <c r="V747" s="799">
        <f t="shared" si="184"/>
        <v>0</v>
      </c>
      <c r="W747" s="799">
        <f t="shared" si="184"/>
        <v>0</v>
      </c>
      <c r="X747" s="799">
        <f>X748+X752+X756</f>
        <v>44094944298</v>
      </c>
    </row>
    <row r="748" spans="1:24" s="658" customFormat="1">
      <c r="A748" s="848" t="s">
        <v>108</v>
      </c>
      <c r="B748" s="787" t="s">
        <v>2421</v>
      </c>
      <c r="C748" s="788"/>
      <c r="D748" s="789"/>
      <c r="E748" s="799"/>
      <c r="F748" s="799"/>
      <c r="G748" s="799"/>
      <c r="H748" s="799"/>
      <c r="I748" s="799"/>
      <c r="J748" s="799"/>
      <c r="K748" s="804"/>
      <c r="L748" s="799"/>
      <c r="M748" s="799"/>
      <c r="N748" s="799"/>
      <c r="O748" s="804"/>
      <c r="P748" s="799">
        <f>P751</f>
        <v>28348000000</v>
      </c>
      <c r="Q748" s="799">
        <f>R748+S748</f>
        <v>0</v>
      </c>
      <c r="R748" s="799">
        <f t="shared" ref="R748:W748" si="185">R751</f>
        <v>0</v>
      </c>
      <c r="S748" s="799">
        <f t="shared" si="185"/>
        <v>0</v>
      </c>
      <c r="T748" s="799">
        <f t="shared" si="185"/>
        <v>0</v>
      </c>
      <c r="U748" s="799">
        <f t="shared" si="185"/>
        <v>28348000000</v>
      </c>
      <c r="V748" s="799">
        <f t="shared" si="185"/>
        <v>0</v>
      </c>
      <c r="W748" s="799">
        <f t="shared" si="185"/>
        <v>0</v>
      </c>
      <c r="X748" s="747"/>
    </row>
    <row r="749" spans="1:24" s="658" customFormat="1">
      <c r="A749" s="848" t="s">
        <v>771</v>
      </c>
      <c r="B749" s="787" t="s">
        <v>2359</v>
      </c>
      <c r="C749" s="788"/>
      <c r="D749" s="789"/>
      <c r="E749" s="799"/>
      <c r="F749" s="799"/>
      <c r="G749" s="799"/>
      <c r="H749" s="799"/>
      <c r="I749" s="799"/>
      <c r="J749" s="799"/>
      <c r="K749" s="804"/>
      <c r="L749" s="799"/>
      <c r="M749" s="799"/>
      <c r="N749" s="799"/>
      <c r="O749" s="804"/>
      <c r="P749" s="799"/>
      <c r="Q749" s="804"/>
      <c r="R749" s="799"/>
      <c r="S749" s="799"/>
      <c r="T749" s="799"/>
      <c r="U749" s="747"/>
      <c r="V749" s="747"/>
      <c r="W749" s="747"/>
      <c r="X749" s="747"/>
    </row>
    <row r="750" spans="1:24" s="658" customFormat="1">
      <c r="A750" s="808" t="s">
        <v>743</v>
      </c>
      <c r="B750" s="851" t="s">
        <v>2299</v>
      </c>
      <c r="C750" s="779"/>
      <c r="D750" s="780"/>
      <c r="E750" s="804"/>
      <c r="F750" s="804"/>
      <c r="G750" s="804"/>
      <c r="H750" s="804"/>
      <c r="I750" s="804"/>
      <c r="J750" s="804"/>
      <c r="K750" s="804"/>
      <c r="L750" s="804"/>
      <c r="M750" s="804"/>
      <c r="N750" s="804"/>
      <c r="O750" s="804"/>
      <c r="P750" s="804"/>
      <c r="Q750" s="804"/>
      <c r="R750" s="804"/>
      <c r="S750" s="804"/>
      <c r="T750" s="804"/>
      <c r="U750" s="747"/>
      <c r="V750" s="747"/>
      <c r="W750" s="747"/>
      <c r="X750" s="747"/>
    </row>
    <row r="751" spans="1:24" s="658" customFormat="1" ht="22.5">
      <c r="A751" s="803" t="s">
        <v>104</v>
      </c>
      <c r="B751" s="853" t="s">
        <v>2422</v>
      </c>
      <c r="C751" s="779"/>
      <c r="D751" s="868">
        <v>7605935</v>
      </c>
      <c r="E751" s="804"/>
      <c r="F751" s="804"/>
      <c r="G751" s="804"/>
      <c r="H751" s="804"/>
      <c r="I751" s="804"/>
      <c r="J751" s="804"/>
      <c r="K751" s="804"/>
      <c r="L751" s="804"/>
      <c r="M751" s="804"/>
      <c r="N751" s="804"/>
      <c r="O751" s="804"/>
      <c r="P751" s="804">
        <f>4324000000+24024000000</f>
        <v>28348000000</v>
      </c>
      <c r="Q751" s="804"/>
      <c r="R751" s="804"/>
      <c r="S751" s="804"/>
      <c r="T751" s="804">
        <v>0</v>
      </c>
      <c r="U751" s="804">
        <f>4324000000+24024000000</f>
        <v>28348000000</v>
      </c>
      <c r="V751" s="747"/>
      <c r="W751" s="747"/>
      <c r="X751" s="747"/>
    </row>
    <row r="752" spans="1:24" s="658" customFormat="1">
      <c r="A752" s="848" t="s">
        <v>109</v>
      </c>
      <c r="B752" s="849" t="s">
        <v>823</v>
      </c>
      <c r="C752" s="788"/>
      <c r="D752" s="789"/>
      <c r="E752" s="799">
        <f t="shared" ref="E752:X752" si="186">E755</f>
        <v>45301000000</v>
      </c>
      <c r="F752" s="799">
        <f t="shared" si="186"/>
        <v>30100511500</v>
      </c>
      <c r="G752" s="799">
        <f t="shared" si="186"/>
        <v>0</v>
      </c>
      <c r="H752" s="799">
        <f t="shared" si="186"/>
        <v>0</v>
      </c>
      <c r="I752" s="799">
        <f t="shared" si="186"/>
        <v>0</v>
      </c>
      <c r="J752" s="799">
        <f t="shared" si="186"/>
        <v>0</v>
      </c>
      <c r="K752" s="799">
        <f t="shared" si="186"/>
        <v>0</v>
      </c>
      <c r="L752" s="799">
        <f t="shared" si="186"/>
        <v>0</v>
      </c>
      <c r="M752" s="799">
        <f t="shared" si="186"/>
        <v>0</v>
      </c>
      <c r="N752" s="799">
        <f t="shared" si="186"/>
        <v>0</v>
      </c>
      <c r="O752" s="799">
        <f t="shared" si="186"/>
        <v>0</v>
      </c>
      <c r="P752" s="799">
        <f t="shared" si="186"/>
        <v>4988000000</v>
      </c>
      <c r="Q752" s="799">
        <f t="shared" si="186"/>
        <v>0</v>
      </c>
      <c r="R752" s="799">
        <f t="shared" si="186"/>
        <v>0</v>
      </c>
      <c r="S752" s="799">
        <f t="shared" si="186"/>
        <v>0</v>
      </c>
      <c r="T752" s="799">
        <f t="shared" si="186"/>
        <v>0</v>
      </c>
      <c r="U752" s="799">
        <f t="shared" si="186"/>
        <v>4988000000</v>
      </c>
      <c r="V752" s="799">
        <f t="shared" si="186"/>
        <v>0</v>
      </c>
      <c r="W752" s="799">
        <f t="shared" si="186"/>
        <v>0</v>
      </c>
      <c r="X752" s="799">
        <f t="shared" si="186"/>
        <v>30100511500</v>
      </c>
    </row>
    <row r="753" spans="1:24" s="658" customFormat="1">
      <c r="A753" s="848" t="s">
        <v>771</v>
      </c>
      <c r="B753" s="787" t="s">
        <v>2423</v>
      </c>
      <c r="C753" s="779"/>
      <c r="D753" s="780"/>
      <c r="E753" s="804"/>
      <c r="F753" s="804"/>
      <c r="G753" s="804"/>
      <c r="H753" s="804"/>
      <c r="I753" s="804"/>
      <c r="J753" s="804"/>
      <c r="K753" s="804"/>
      <c r="L753" s="804"/>
      <c r="M753" s="804"/>
      <c r="N753" s="804"/>
      <c r="O753" s="804"/>
      <c r="P753" s="804"/>
      <c r="Q753" s="804"/>
      <c r="R753" s="804"/>
      <c r="S753" s="804"/>
      <c r="T753" s="804"/>
      <c r="U753" s="747"/>
      <c r="V753" s="747"/>
      <c r="W753" s="747"/>
      <c r="X753" s="747"/>
    </row>
    <row r="754" spans="1:24" s="658" customFormat="1">
      <c r="A754" s="808" t="s">
        <v>743</v>
      </c>
      <c r="B754" s="851" t="s">
        <v>2301</v>
      </c>
      <c r="C754" s="779"/>
      <c r="D754" s="780"/>
      <c r="E754" s="804"/>
      <c r="F754" s="804"/>
      <c r="G754" s="804"/>
      <c r="H754" s="804"/>
      <c r="I754" s="804"/>
      <c r="J754" s="804"/>
      <c r="K754" s="804"/>
      <c r="L754" s="804"/>
      <c r="M754" s="804"/>
      <c r="N754" s="804"/>
      <c r="O754" s="804"/>
      <c r="P754" s="804"/>
      <c r="Q754" s="804"/>
      <c r="R754" s="804"/>
      <c r="S754" s="804"/>
      <c r="T754" s="804"/>
      <c r="U754" s="747"/>
      <c r="V754" s="747"/>
      <c r="W754" s="747"/>
      <c r="X754" s="747"/>
    </row>
    <row r="755" spans="1:24" s="658" customFormat="1">
      <c r="A755" s="803" t="s">
        <v>104</v>
      </c>
      <c r="B755" s="853" t="s">
        <v>824</v>
      </c>
      <c r="C755" s="779"/>
      <c r="D755" s="780"/>
      <c r="E755" s="804">
        <v>45301000000</v>
      </c>
      <c r="F755" s="804">
        <v>30100511500</v>
      </c>
      <c r="G755" s="804"/>
      <c r="H755" s="804"/>
      <c r="I755" s="804"/>
      <c r="J755" s="804"/>
      <c r="K755" s="804"/>
      <c r="L755" s="804"/>
      <c r="M755" s="804"/>
      <c r="N755" s="804"/>
      <c r="O755" s="804"/>
      <c r="P755" s="804">
        <v>4988000000</v>
      </c>
      <c r="Q755" s="804"/>
      <c r="R755" s="804"/>
      <c r="S755" s="804"/>
      <c r="T755" s="804">
        <v>0</v>
      </c>
      <c r="U755" s="804">
        <v>4988000000</v>
      </c>
      <c r="V755" s="747"/>
      <c r="W755" s="747"/>
      <c r="X755" s="747">
        <f t="shared" si="175"/>
        <v>30100511500</v>
      </c>
    </row>
    <row r="756" spans="1:24" s="658" customFormat="1">
      <c r="A756" s="848" t="s">
        <v>118</v>
      </c>
      <c r="B756" s="849" t="s">
        <v>2424</v>
      </c>
      <c r="C756" s="788"/>
      <c r="D756" s="789"/>
      <c r="E756" s="799">
        <f>E759</f>
        <v>550715000000</v>
      </c>
      <c r="F756" s="799">
        <f>F759</f>
        <v>13994432798</v>
      </c>
      <c r="G756" s="799">
        <f t="shared" ref="G756:X756" si="187">G759</f>
        <v>0</v>
      </c>
      <c r="H756" s="799">
        <f t="shared" si="187"/>
        <v>0</v>
      </c>
      <c r="I756" s="799">
        <f t="shared" si="187"/>
        <v>0</v>
      </c>
      <c r="J756" s="799">
        <f t="shared" si="187"/>
        <v>0</v>
      </c>
      <c r="K756" s="799">
        <f t="shared" si="187"/>
        <v>0</v>
      </c>
      <c r="L756" s="799">
        <f t="shared" si="187"/>
        <v>0</v>
      </c>
      <c r="M756" s="799">
        <f t="shared" si="187"/>
        <v>0</v>
      </c>
      <c r="N756" s="799">
        <f t="shared" si="187"/>
        <v>0</v>
      </c>
      <c r="O756" s="799">
        <f t="shared" si="187"/>
        <v>0</v>
      </c>
      <c r="P756" s="799">
        <f t="shared" si="187"/>
        <v>50000000000</v>
      </c>
      <c r="Q756" s="799">
        <f t="shared" si="187"/>
        <v>0</v>
      </c>
      <c r="R756" s="799">
        <f t="shared" si="187"/>
        <v>0</v>
      </c>
      <c r="S756" s="799">
        <f t="shared" si="187"/>
        <v>0</v>
      </c>
      <c r="T756" s="799">
        <f t="shared" si="187"/>
        <v>0</v>
      </c>
      <c r="U756" s="799">
        <f t="shared" si="187"/>
        <v>50000000000</v>
      </c>
      <c r="V756" s="799">
        <f t="shared" si="187"/>
        <v>0</v>
      </c>
      <c r="W756" s="799">
        <f t="shared" si="187"/>
        <v>0</v>
      </c>
      <c r="X756" s="799">
        <f t="shared" si="187"/>
        <v>13994432798</v>
      </c>
    </row>
    <row r="757" spans="1:24" s="658" customFormat="1">
      <c r="A757" s="848" t="s">
        <v>771</v>
      </c>
      <c r="B757" s="787" t="s">
        <v>2324</v>
      </c>
      <c r="C757" s="779"/>
      <c r="D757" s="780"/>
      <c r="E757" s="804"/>
      <c r="F757" s="804"/>
      <c r="G757" s="804"/>
      <c r="H757" s="804"/>
      <c r="I757" s="804"/>
      <c r="J757" s="804"/>
      <c r="K757" s="804"/>
      <c r="L757" s="804"/>
      <c r="M757" s="804"/>
      <c r="N757" s="804"/>
      <c r="O757" s="804"/>
      <c r="P757" s="804"/>
      <c r="Q757" s="804"/>
      <c r="R757" s="804"/>
      <c r="S757" s="804"/>
      <c r="T757" s="804"/>
      <c r="U757" s="747"/>
      <c r="V757" s="747"/>
      <c r="W757" s="747"/>
      <c r="X757" s="747"/>
    </row>
    <row r="758" spans="1:24" s="658" customFormat="1">
      <c r="A758" s="808" t="s">
        <v>743</v>
      </c>
      <c r="B758" s="851" t="s">
        <v>2299</v>
      </c>
      <c r="C758" s="779"/>
      <c r="D758" s="780"/>
      <c r="E758" s="804"/>
      <c r="F758" s="804"/>
      <c r="G758" s="804"/>
      <c r="H758" s="804"/>
      <c r="I758" s="804"/>
      <c r="J758" s="804"/>
      <c r="K758" s="804"/>
      <c r="L758" s="804"/>
      <c r="M758" s="804"/>
      <c r="N758" s="804"/>
      <c r="O758" s="804"/>
      <c r="P758" s="804"/>
      <c r="Q758" s="804"/>
      <c r="R758" s="804"/>
      <c r="S758" s="804"/>
      <c r="T758" s="804"/>
      <c r="U758" s="747"/>
      <c r="V758" s="747"/>
      <c r="W758" s="747"/>
      <c r="X758" s="747"/>
    </row>
    <row r="759" spans="1:24" s="658" customFormat="1" ht="22.5">
      <c r="A759" s="803" t="s">
        <v>104</v>
      </c>
      <c r="B759" s="853" t="s">
        <v>2425</v>
      </c>
      <c r="C759" s="779"/>
      <c r="D759" s="780">
        <v>7007279</v>
      </c>
      <c r="E759" s="804">
        <v>550715000000</v>
      </c>
      <c r="F759" s="804">
        <v>13994432798</v>
      </c>
      <c r="G759" s="804"/>
      <c r="H759" s="804"/>
      <c r="I759" s="804"/>
      <c r="J759" s="804"/>
      <c r="K759" s="804"/>
      <c r="L759" s="804"/>
      <c r="M759" s="804"/>
      <c r="N759" s="804"/>
      <c r="O759" s="804"/>
      <c r="P759" s="804">
        <v>50000000000</v>
      </c>
      <c r="Q759" s="804"/>
      <c r="R759" s="804"/>
      <c r="S759" s="804"/>
      <c r="T759" s="804">
        <v>0</v>
      </c>
      <c r="U759" s="804">
        <v>50000000000</v>
      </c>
      <c r="V759" s="747"/>
      <c r="W759" s="747"/>
      <c r="X759" s="747">
        <f t="shared" si="175"/>
        <v>13994432798</v>
      </c>
    </row>
    <row r="760" spans="1:24" s="658" customFormat="1" ht="21">
      <c r="A760" s="848" t="s">
        <v>80</v>
      </c>
      <c r="B760" s="849" t="s">
        <v>2426</v>
      </c>
      <c r="C760" s="788"/>
      <c r="D760" s="789"/>
      <c r="E760" s="799">
        <f>SUM(E764:E768)</f>
        <v>1048218438231</v>
      </c>
      <c r="F760" s="799">
        <f>SUM(F764:F768)</f>
        <v>124617182309</v>
      </c>
      <c r="G760" s="799">
        <f t="shared" ref="G760:X760" si="188">SUM(G764:G768)</f>
        <v>37950403309</v>
      </c>
      <c r="H760" s="799">
        <f t="shared" si="188"/>
        <v>0</v>
      </c>
      <c r="I760" s="799">
        <f t="shared" si="188"/>
        <v>29770177986</v>
      </c>
      <c r="J760" s="799">
        <f t="shared" si="188"/>
        <v>17921000000</v>
      </c>
      <c r="K760" s="799">
        <f t="shared" si="188"/>
        <v>17827258000</v>
      </c>
      <c r="L760" s="799">
        <f t="shared" si="188"/>
        <v>16431258000</v>
      </c>
      <c r="M760" s="799">
        <f t="shared" si="188"/>
        <v>1396000000</v>
      </c>
      <c r="N760" s="799">
        <f t="shared" si="188"/>
        <v>0</v>
      </c>
      <c r="O760" s="799">
        <f t="shared" si="188"/>
        <v>93742000</v>
      </c>
      <c r="P760" s="799">
        <f t="shared" si="188"/>
        <v>393781000000</v>
      </c>
      <c r="Q760" s="799">
        <f t="shared" si="188"/>
        <v>160472406000</v>
      </c>
      <c r="R760" s="799">
        <f t="shared" si="188"/>
        <v>129291103000</v>
      </c>
      <c r="S760" s="799">
        <f t="shared" si="188"/>
        <v>31181303000</v>
      </c>
      <c r="T760" s="799">
        <f t="shared" si="188"/>
        <v>233308594000</v>
      </c>
      <c r="U760" s="799">
        <f t="shared" si="188"/>
        <v>0</v>
      </c>
      <c r="V760" s="799">
        <f>SUM(V764:V768)</f>
        <v>175492538986</v>
      </c>
      <c r="W760" s="799">
        <f>SUM(W764:W768)</f>
        <v>40757528323</v>
      </c>
      <c r="X760" s="799">
        <f t="shared" si="188"/>
        <v>307654311309</v>
      </c>
    </row>
    <row r="761" spans="1:24" s="658" customFormat="1" ht="21">
      <c r="A761" s="848" t="s">
        <v>108</v>
      </c>
      <c r="B761" s="849" t="s">
        <v>967</v>
      </c>
      <c r="C761" s="788"/>
      <c r="D761" s="789"/>
      <c r="E761" s="799"/>
      <c r="F761" s="799"/>
      <c r="G761" s="799"/>
      <c r="H761" s="799"/>
      <c r="I761" s="799"/>
      <c r="J761" s="799"/>
      <c r="K761" s="804"/>
      <c r="L761" s="799"/>
      <c r="M761" s="799"/>
      <c r="N761" s="799"/>
      <c r="O761" s="804"/>
      <c r="P761" s="799"/>
      <c r="Q761" s="804"/>
      <c r="R761" s="799"/>
      <c r="S761" s="799"/>
      <c r="T761" s="799"/>
      <c r="U761" s="747"/>
      <c r="V761" s="747"/>
      <c r="W761" s="747"/>
      <c r="X761" s="747"/>
    </row>
    <row r="762" spans="1:24" s="658" customFormat="1">
      <c r="A762" s="848" t="s">
        <v>771</v>
      </c>
      <c r="B762" s="787" t="s">
        <v>2372</v>
      </c>
      <c r="C762" s="779"/>
      <c r="D762" s="780"/>
      <c r="E762" s="804"/>
      <c r="F762" s="804"/>
      <c r="G762" s="804"/>
      <c r="H762" s="804"/>
      <c r="I762" s="804"/>
      <c r="J762" s="804"/>
      <c r="K762" s="804"/>
      <c r="L762" s="804"/>
      <c r="M762" s="804"/>
      <c r="N762" s="804"/>
      <c r="O762" s="804"/>
      <c r="P762" s="804"/>
      <c r="Q762" s="804"/>
      <c r="R762" s="804"/>
      <c r="S762" s="804"/>
      <c r="T762" s="804"/>
      <c r="U762" s="747"/>
      <c r="V762" s="747"/>
      <c r="W762" s="747"/>
      <c r="X762" s="747"/>
    </row>
    <row r="763" spans="1:24" s="658" customFormat="1">
      <c r="A763" s="808" t="s">
        <v>743</v>
      </c>
      <c r="B763" s="851" t="s">
        <v>2299</v>
      </c>
      <c r="C763" s="779"/>
      <c r="D763" s="780"/>
      <c r="E763" s="804"/>
      <c r="F763" s="804"/>
      <c r="G763" s="804"/>
      <c r="H763" s="804"/>
      <c r="I763" s="804"/>
      <c r="J763" s="804"/>
      <c r="K763" s="804"/>
      <c r="L763" s="804"/>
      <c r="M763" s="804"/>
      <c r="N763" s="804"/>
      <c r="O763" s="804"/>
      <c r="P763" s="804"/>
      <c r="Q763" s="804"/>
      <c r="R763" s="804"/>
      <c r="S763" s="804"/>
      <c r="T763" s="804"/>
      <c r="U763" s="747"/>
      <c r="V763" s="747"/>
      <c r="W763" s="747"/>
      <c r="X763" s="747"/>
    </row>
    <row r="764" spans="1:24" s="658" customFormat="1" ht="23.25">
      <c r="A764" s="803" t="s">
        <v>1088</v>
      </c>
      <c r="B764" s="866" t="s">
        <v>2427</v>
      </c>
      <c r="C764" s="779" t="s">
        <v>777</v>
      </c>
      <c r="D764" s="780" t="s">
        <v>2428</v>
      </c>
      <c r="E764" s="804">
        <v>36000000000</v>
      </c>
      <c r="F764" s="804">
        <v>1400000000</v>
      </c>
      <c r="G764" s="804"/>
      <c r="H764" s="804"/>
      <c r="I764" s="804"/>
      <c r="J764" s="804"/>
      <c r="K764" s="804"/>
      <c r="L764" s="804"/>
      <c r="M764" s="804"/>
      <c r="N764" s="804"/>
      <c r="O764" s="804"/>
      <c r="P764" s="804">
        <v>329000000</v>
      </c>
      <c r="Q764" s="804">
        <f>R764+S764</f>
        <v>329000000</v>
      </c>
      <c r="R764" s="804">
        <v>129000000</v>
      </c>
      <c r="S764" s="804">
        <v>200000000</v>
      </c>
      <c r="T764" s="804"/>
      <c r="U764" s="747"/>
      <c r="V764" s="747">
        <f>I764+L764+R764</f>
        <v>129000000</v>
      </c>
      <c r="W764" s="747">
        <f>G764-H764-I764+M764+S764</f>
        <v>200000000</v>
      </c>
      <c r="X764" s="747">
        <f t="shared" si="175"/>
        <v>1729000000</v>
      </c>
    </row>
    <row r="765" spans="1:24" s="658" customFormat="1" ht="23.25">
      <c r="A765" s="803" t="s">
        <v>1088</v>
      </c>
      <c r="B765" s="866" t="s">
        <v>2429</v>
      </c>
      <c r="C765" s="779" t="s">
        <v>777</v>
      </c>
      <c r="D765" s="780" t="s">
        <v>2430</v>
      </c>
      <c r="E765" s="804">
        <v>90264841231</v>
      </c>
      <c r="F765" s="804">
        <v>24725387000</v>
      </c>
      <c r="G765" s="804">
        <v>12574175000</v>
      </c>
      <c r="H765" s="804">
        <v>0</v>
      </c>
      <c r="I765" s="804">
        <v>5227000000</v>
      </c>
      <c r="J765" s="804">
        <v>17921000000</v>
      </c>
      <c r="K765" s="804">
        <f>L765+M765</f>
        <v>17827258000</v>
      </c>
      <c r="L765" s="804">
        <v>16431258000</v>
      </c>
      <c r="M765" s="804">
        <v>1396000000</v>
      </c>
      <c r="N765" s="804"/>
      <c r="O765" s="804">
        <f>J765-K765-N765</f>
        <v>93742000</v>
      </c>
      <c r="P765" s="804">
        <v>4252000000</v>
      </c>
      <c r="Q765" s="804">
        <f>R765+S765</f>
        <v>165524000</v>
      </c>
      <c r="R765" s="804">
        <v>165524000</v>
      </c>
      <c r="S765" s="804"/>
      <c r="T765" s="804">
        <v>4086476000</v>
      </c>
      <c r="U765" s="747"/>
      <c r="V765" s="747">
        <f>I765+L765+R765</f>
        <v>21823782000</v>
      </c>
      <c r="W765" s="747">
        <f>G765-H765-I765+M765+S765</f>
        <v>8743175000</v>
      </c>
      <c r="X765" s="747">
        <f t="shared" si="175"/>
        <v>42718169000</v>
      </c>
    </row>
    <row r="766" spans="1:24" s="658" customFormat="1">
      <c r="A766" s="848" t="s">
        <v>771</v>
      </c>
      <c r="B766" s="787" t="s">
        <v>2324</v>
      </c>
      <c r="C766" s="779"/>
      <c r="D766" s="780"/>
      <c r="E766" s="804"/>
      <c r="F766" s="804"/>
      <c r="G766" s="804"/>
      <c r="H766" s="804"/>
      <c r="I766" s="804"/>
      <c r="J766" s="804"/>
      <c r="K766" s="804"/>
      <c r="L766" s="804"/>
      <c r="M766" s="804"/>
      <c r="N766" s="804"/>
      <c r="O766" s="804"/>
      <c r="P766" s="804"/>
      <c r="Q766" s="804"/>
      <c r="R766" s="804"/>
      <c r="S766" s="804"/>
      <c r="T766" s="804"/>
      <c r="U766" s="747"/>
      <c r="V766" s="747"/>
      <c r="W766" s="747"/>
      <c r="X766" s="747"/>
    </row>
    <row r="767" spans="1:24" s="658" customFormat="1">
      <c r="A767" s="808" t="s">
        <v>743</v>
      </c>
      <c r="B767" s="851" t="s">
        <v>2325</v>
      </c>
      <c r="C767" s="779"/>
      <c r="D767" s="780"/>
      <c r="E767" s="804"/>
      <c r="F767" s="804"/>
      <c r="G767" s="804"/>
      <c r="H767" s="804"/>
      <c r="I767" s="804"/>
      <c r="J767" s="804"/>
      <c r="K767" s="804"/>
      <c r="L767" s="804"/>
      <c r="M767" s="804"/>
      <c r="N767" s="804"/>
      <c r="O767" s="804"/>
      <c r="P767" s="804"/>
      <c r="Q767" s="804"/>
      <c r="R767" s="804"/>
      <c r="S767" s="804"/>
      <c r="T767" s="804"/>
      <c r="U767" s="747"/>
      <c r="V767" s="747"/>
      <c r="W767" s="747"/>
      <c r="X767" s="747"/>
    </row>
    <row r="768" spans="1:24" s="658" customFormat="1">
      <c r="A768" s="803" t="s">
        <v>1088</v>
      </c>
      <c r="B768" s="764" t="s">
        <v>470</v>
      </c>
      <c r="C768" s="779" t="s">
        <v>777</v>
      </c>
      <c r="D768" s="780" t="s">
        <v>2346</v>
      </c>
      <c r="E768" s="804">
        <v>921953597000</v>
      </c>
      <c r="F768" s="804">
        <v>98491795309</v>
      </c>
      <c r="G768" s="804">
        <v>25376228309</v>
      </c>
      <c r="H768" s="804">
        <v>0</v>
      </c>
      <c r="I768" s="804">
        <v>24543177986</v>
      </c>
      <c r="J768" s="804"/>
      <c r="K768" s="804"/>
      <c r="L768" s="804"/>
      <c r="M768" s="804"/>
      <c r="N768" s="804"/>
      <c r="O768" s="804"/>
      <c r="P768" s="804">
        <v>389200000000</v>
      </c>
      <c r="Q768" s="804">
        <f>R768+S768</f>
        <v>159977882000</v>
      </c>
      <c r="R768" s="804">
        <v>128996579000</v>
      </c>
      <c r="S768" s="804">
        <v>30981303000</v>
      </c>
      <c r="T768" s="804">
        <v>229222118000</v>
      </c>
      <c r="U768" s="747"/>
      <c r="V768" s="747">
        <f>I768+L768+R768</f>
        <v>153539756986</v>
      </c>
      <c r="W768" s="747">
        <f>G768-H768-I768+M768+S768</f>
        <v>31814353323</v>
      </c>
      <c r="X768" s="747">
        <v>263207142309</v>
      </c>
    </row>
    <row r="769" spans="1:25" s="659" customFormat="1" ht="21">
      <c r="A769" s="796" t="s">
        <v>80</v>
      </c>
      <c r="B769" s="858" t="s">
        <v>2431</v>
      </c>
      <c r="C769" s="733"/>
      <c r="D769" s="869"/>
      <c r="E769" s="735"/>
      <c r="F769" s="735">
        <f>F770+F860</f>
        <v>362978608517</v>
      </c>
      <c r="G769" s="735">
        <f>G770+G860</f>
        <v>120444147172</v>
      </c>
      <c r="H769" s="735">
        <f>H770+H860</f>
        <v>1938633925</v>
      </c>
      <c r="I769" s="735">
        <f>I770+I860</f>
        <v>26376384063</v>
      </c>
      <c r="J769" s="735"/>
      <c r="K769" s="735"/>
      <c r="L769" s="735"/>
      <c r="M769" s="735"/>
      <c r="N769" s="735"/>
      <c r="O769" s="735"/>
      <c r="P769" s="735"/>
      <c r="Q769" s="735"/>
      <c r="R769" s="735"/>
      <c r="S769" s="735"/>
      <c r="T769" s="735"/>
      <c r="U769" s="735"/>
      <c r="V769" s="735">
        <f>V770+V860</f>
        <v>26376384063</v>
      </c>
      <c r="W769" s="735">
        <f>W770+W860</f>
        <v>92129129184</v>
      </c>
      <c r="X769" s="735">
        <f>X770+X860</f>
        <v>361039974592</v>
      </c>
    </row>
    <row r="770" spans="1:25" s="658" customFormat="1">
      <c r="A770" s="836" t="s">
        <v>108</v>
      </c>
      <c r="B770" s="775" t="s">
        <v>2432</v>
      </c>
      <c r="C770" s="870"/>
      <c r="D770" s="782"/>
      <c r="E770" s="871"/>
      <c r="F770" s="871">
        <f>F771</f>
        <v>55165836491</v>
      </c>
      <c r="G770" s="871">
        <f t="shared" ref="G770:U770" si="189">G771</f>
        <v>27370464826</v>
      </c>
      <c r="H770" s="871">
        <f t="shared" si="189"/>
        <v>220727343</v>
      </c>
      <c r="I770" s="871">
        <f t="shared" si="189"/>
        <v>5800997445</v>
      </c>
      <c r="J770" s="871">
        <f t="shared" si="189"/>
        <v>0</v>
      </c>
      <c r="K770" s="871">
        <f t="shared" si="189"/>
        <v>0</v>
      </c>
      <c r="L770" s="871">
        <f t="shared" si="189"/>
        <v>0</v>
      </c>
      <c r="M770" s="871">
        <f t="shared" si="189"/>
        <v>0</v>
      </c>
      <c r="N770" s="871">
        <f t="shared" si="189"/>
        <v>0</v>
      </c>
      <c r="O770" s="871">
        <f t="shared" si="189"/>
        <v>0</v>
      </c>
      <c r="P770" s="871">
        <f t="shared" si="189"/>
        <v>0</v>
      </c>
      <c r="Q770" s="871">
        <f t="shared" si="189"/>
        <v>0</v>
      </c>
      <c r="R770" s="871">
        <f t="shared" si="189"/>
        <v>0</v>
      </c>
      <c r="S770" s="871">
        <f t="shared" si="189"/>
        <v>0</v>
      </c>
      <c r="T770" s="871">
        <f t="shared" si="189"/>
        <v>0</v>
      </c>
      <c r="U770" s="871">
        <f t="shared" si="189"/>
        <v>0</v>
      </c>
      <c r="V770" s="871">
        <f>V771</f>
        <v>5800997445</v>
      </c>
      <c r="W770" s="871">
        <f>W771</f>
        <v>21348740038</v>
      </c>
      <c r="X770" s="871">
        <f>X771</f>
        <v>54945109148</v>
      </c>
    </row>
    <row r="771" spans="1:25" s="658" customFormat="1" ht="22.5">
      <c r="A771" s="872"/>
      <c r="B771" s="873" t="s">
        <v>2433</v>
      </c>
      <c r="C771" s="874"/>
      <c r="D771" s="875"/>
      <c r="E771" s="876"/>
      <c r="F771" s="876">
        <f>SUM(F772:F859)</f>
        <v>55165836491</v>
      </c>
      <c r="G771" s="876">
        <f t="shared" ref="G771:U771" si="190">SUM(G772:G859)</f>
        <v>27370464826</v>
      </c>
      <c r="H771" s="876">
        <f t="shared" si="190"/>
        <v>220727343</v>
      </c>
      <c r="I771" s="876">
        <f t="shared" si="190"/>
        <v>5800997445</v>
      </c>
      <c r="J771" s="876">
        <f t="shared" si="190"/>
        <v>0</v>
      </c>
      <c r="K771" s="876">
        <f t="shared" si="190"/>
        <v>0</v>
      </c>
      <c r="L771" s="876">
        <f t="shared" si="190"/>
        <v>0</v>
      </c>
      <c r="M771" s="876">
        <f t="shared" si="190"/>
        <v>0</v>
      </c>
      <c r="N771" s="876">
        <f t="shared" si="190"/>
        <v>0</v>
      </c>
      <c r="O771" s="876">
        <f t="shared" si="190"/>
        <v>0</v>
      </c>
      <c r="P771" s="876">
        <f t="shared" si="190"/>
        <v>0</v>
      </c>
      <c r="Q771" s="876">
        <f t="shared" si="190"/>
        <v>0</v>
      </c>
      <c r="R771" s="876">
        <f t="shared" si="190"/>
        <v>0</v>
      </c>
      <c r="S771" s="876">
        <f t="shared" si="190"/>
        <v>0</v>
      </c>
      <c r="T771" s="876">
        <f t="shared" si="190"/>
        <v>0</v>
      </c>
      <c r="U771" s="876">
        <f t="shared" si="190"/>
        <v>0</v>
      </c>
      <c r="V771" s="876">
        <f>SUM(V772:V859)</f>
        <v>5800997445</v>
      </c>
      <c r="W771" s="876">
        <f>SUM(W772:W859)</f>
        <v>21348740038</v>
      </c>
      <c r="X771" s="876">
        <f>SUM(X772:X859)</f>
        <v>54945109148</v>
      </c>
    </row>
    <row r="772" spans="1:25" s="658" customFormat="1">
      <c r="A772" s="803" t="s">
        <v>104</v>
      </c>
      <c r="B772" s="853" t="s">
        <v>2434</v>
      </c>
      <c r="C772" s="877" t="s">
        <v>777</v>
      </c>
      <c r="D772" s="780" t="s">
        <v>444</v>
      </c>
      <c r="E772" s="878">
        <v>152614248000</v>
      </c>
      <c r="F772" s="878">
        <v>1030365870</v>
      </c>
      <c r="G772" s="878">
        <v>346000000</v>
      </c>
      <c r="H772" s="878"/>
      <c r="I772" s="878">
        <v>200000000</v>
      </c>
      <c r="J772" s="878"/>
      <c r="K772" s="878"/>
      <c r="L772" s="878"/>
      <c r="M772" s="878"/>
      <c r="N772" s="878"/>
      <c r="O772" s="878"/>
      <c r="P772" s="878"/>
      <c r="Q772" s="878"/>
      <c r="R772" s="878"/>
      <c r="S772" s="878"/>
      <c r="T772" s="878"/>
      <c r="U772" s="878"/>
      <c r="V772" s="747">
        <f>I772+L772+R772</f>
        <v>200000000</v>
      </c>
      <c r="W772" s="747">
        <f>G772-H772-I772+M772+S772</f>
        <v>146000000</v>
      </c>
      <c r="X772" s="747">
        <f t="shared" si="175"/>
        <v>1030365870</v>
      </c>
      <c r="Y772" s="699"/>
    </row>
    <row r="773" spans="1:25" s="658" customFormat="1">
      <c r="A773" s="803" t="s">
        <v>105</v>
      </c>
      <c r="B773" s="853" t="s">
        <v>2435</v>
      </c>
      <c r="C773" s="877" t="s">
        <v>777</v>
      </c>
      <c r="D773" s="780" t="s">
        <v>2436</v>
      </c>
      <c r="E773" s="878">
        <v>45000000000</v>
      </c>
      <c r="F773" s="878">
        <v>180001444</v>
      </c>
      <c r="G773" s="878">
        <v>1444</v>
      </c>
      <c r="H773" s="878"/>
      <c r="I773" s="878"/>
      <c r="J773" s="878"/>
      <c r="K773" s="878"/>
      <c r="L773" s="878"/>
      <c r="M773" s="878"/>
      <c r="N773" s="878"/>
      <c r="O773" s="878"/>
      <c r="P773" s="878"/>
      <c r="Q773" s="878"/>
      <c r="R773" s="878"/>
      <c r="S773" s="878"/>
      <c r="T773" s="878"/>
      <c r="U773" s="878"/>
      <c r="V773" s="747"/>
      <c r="W773" s="747">
        <f t="shared" ref="W773:W836" si="191">G773-H773-I773+M773+S773</f>
        <v>1444</v>
      </c>
      <c r="X773" s="747">
        <f t="shared" si="175"/>
        <v>180001444</v>
      </c>
      <c r="Y773" s="699"/>
    </row>
    <row r="774" spans="1:25" s="658" customFormat="1">
      <c r="A774" s="803" t="s">
        <v>106</v>
      </c>
      <c r="B774" s="853" t="s">
        <v>2437</v>
      </c>
      <c r="C774" s="877" t="s">
        <v>777</v>
      </c>
      <c r="D774" s="780" t="s">
        <v>2438</v>
      </c>
      <c r="E774" s="878">
        <v>49856292672</v>
      </c>
      <c r="F774" s="878">
        <v>78149000</v>
      </c>
      <c r="G774" s="878">
        <v>78149000</v>
      </c>
      <c r="H774" s="878"/>
      <c r="I774" s="878">
        <v>78149000</v>
      </c>
      <c r="J774" s="878"/>
      <c r="K774" s="878"/>
      <c r="L774" s="878"/>
      <c r="M774" s="878"/>
      <c r="N774" s="878"/>
      <c r="O774" s="878"/>
      <c r="P774" s="878"/>
      <c r="Q774" s="878"/>
      <c r="R774" s="878"/>
      <c r="S774" s="878"/>
      <c r="T774" s="878"/>
      <c r="U774" s="878"/>
      <c r="V774" s="747">
        <f>I774+L774+R774</f>
        <v>78149000</v>
      </c>
      <c r="W774" s="747"/>
      <c r="X774" s="747">
        <f t="shared" si="175"/>
        <v>78149000</v>
      </c>
      <c r="Y774" s="699"/>
    </row>
    <row r="775" spans="1:25" s="658" customFormat="1">
      <c r="A775" s="803" t="s">
        <v>128</v>
      </c>
      <c r="B775" s="853" t="s">
        <v>2439</v>
      </c>
      <c r="C775" s="877" t="s">
        <v>777</v>
      </c>
      <c r="D775" s="780" t="s">
        <v>2440</v>
      </c>
      <c r="E775" s="878">
        <v>19731111000</v>
      </c>
      <c r="F775" s="878">
        <v>55758700</v>
      </c>
      <c r="G775" s="878">
        <v>55758700</v>
      </c>
      <c r="H775" s="878"/>
      <c r="I775" s="878"/>
      <c r="J775" s="878"/>
      <c r="K775" s="878"/>
      <c r="L775" s="878"/>
      <c r="M775" s="878"/>
      <c r="N775" s="878"/>
      <c r="O775" s="878"/>
      <c r="P775" s="878"/>
      <c r="Q775" s="878"/>
      <c r="R775" s="878"/>
      <c r="S775" s="878"/>
      <c r="T775" s="878"/>
      <c r="U775" s="878"/>
      <c r="V775" s="747"/>
      <c r="W775" s="747">
        <f t="shared" si="191"/>
        <v>55758700</v>
      </c>
      <c r="X775" s="747">
        <f t="shared" si="175"/>
        <v>55758700</v>
      </c>
      <c r="Y775" s="699"/>
    </row>
    <row r="776" spans="1:25" s="658" customFormat="1">
      <c r="A776" s="803" t="s">
        <v>359</v>
      </c>
      <c r="B776" s="853" t="s">
        <v>2441</v>
      </c>
      <c r="C776" s="877" t="s">
        <v>777</v>
      </c>
      <c r="D776" s="780" t="s">
        <v>2442</v>
      </c>
      <c r="E776" s="878">
        <v>145228380000</v>
      </c>
      <c r="F776" s="878">
        <v>2999998600</v>
      </c>
      <c r="G776" s="878">
        <v>2999998600</v>
      </c>
      <c r="H776" s="878"/>
      <c r="I776" s="878">
        <v>2999998600</v>
      </c>
      <c r="J776" s="878"/>
      <c r="K776" s="878"/>
      <c r="L776" s="878"/>
      <c r="M776" s="878"/>
      <c r="N776" s="878"/>
      <c r="O776" s="878"/>
      <c r="P776" s="878"/>
      <c r="Q776" s="878"/>
      <c r="R776" s="878"/>
      <c r="S776" s="878"/>
      <c r="T776" s="878"/>
      <c r="U776" s="878"/>
      <c r="V776" s="747">
        <f>I776+L776+R776</f>
        <v>2999998600</v>
      </c>
      <c r="W776" s="747"/>
      <c r="X776" s="747">
        <f t="shared" si="175"/>
        <v>2999998600</v>
      </c>
      <c r="Y776" s="699"/>
    </row>
    <row r="777" spans="1:25" s="658" customFormat="1">
      <c r="A777" s="803" t="s">
        <v>107</v>
      </c>
      <c r="B777" s="853" t="s">
        <v>2443</v>
      </c>
      <c r="C777" s="877" t="s">
        <v>777</v>
      </c>
      <c r="D777" s="780" t="s">
        <v>2444</v>
      </c>
      <c r="E777" s="878">
        <v>21053541000</v>
      </c>
      <c r="F777" s="878">
        <v>1174923000</v>
      </c>
      <c r="G777" s="878">
        <v>1174923000</v>
      </c>
      <c r="H777" s="878"/>
      <c r="I777" s="878"/>
      <c r="J777" s="878"/>
      <c r="K777" s="878"/>
      <c r="L777" s="878"/>
      <c r="M777" s="878"/>
      <c r="N777" s="878"/>
      <c r="O777" s="878"/>
      <c r="P777" s="878"/>
      <c r="Q777" s="878"/>
      <c r="R777" s="878"/>
      <c r="S777" s="878"/>
      <c r="T777" s="878"/>
      <c r="U777" s="878"/>
      <c r="V777" s="747"/>
      <c r="W777" s="747">
        <f t="shared" si="191"/>
        <v>1174923000</v>
      </c>
      <c r="X777" s="747">
        <f t="shared" si="175"/>
        <v>1174923000</v>
      </c>
      <c r="Y777" s="699"/>
    </row>
    <row r="778" spans="1:25" s="658" customFormat="1">
      <c r="A778" s="803" t="s">
        <v>433</v>
      </c>
      <c r="B778" s="853" t="s">
        <v>2445</v>
      </c>
      <c r="C778" s="877" t="s">
        <v>777</v>
      </c>
      <c r="D778" s="780" t="s">
        <v>465</v>
      </c>
      <c r="E778" s="878">
        <v>209671465303</v>
      </c>
      <c r="F778" s="878">
        <v>3800000000</v>
      </c>
      <c r="G778" s="878">
        <v>3800000000</v>
      </c>
      <c r="H778" s="878"/>
      <c r="I778" s="878"/>
      <c r="J778" s="878"/>
      <c r="K778" s="878"/>
      <c r="L778" s="878"/>
      <c r="M778" s="878"/>
      <c r="N778" s="878"/>
      <c r="O778" s="878"/>
      <c r="P778" s="878"/>
      <c r="Q778" s="878"/>
      <c r="R778" s="878"/>
      <c r="S778" s="878"/>
      <c r="T778" s="878"/>
      <c r="U778" s="878"/>
      <c r="V778" s="747"/>
      <c r="W778" s="747">
        <f t="shared" si="191"/>
        <v>3800000000</v>
      </c>
      <c r="X778" s="747">
        <f t="shared" si="175"/>
        <v>3800000000</v>
      </c>
      <c r="Y778" s="699"/>
    </row>
    <row r="779" spans="1:25" s="658" customFormat="1">
      <c r="A779" s="803" t="s">
        <v>434</v>
      </c>
      <c r="B779" s="853" t="s">
        <v>2446</v>
      </c>
      <c r="C779" s="877" t="s">
        <v>777</v>
      </c>
      <c r="D779" s="780" t="s">
        <v>2447</v>
      </c>
      <c r="E779" s="878">
        <v>15535444000</v>
      </c>
      <c r="F779" s="878">
        <v>706043000</v>
      </c>
      <c r="G779" s="878">
        <v>28735000</v>
      </c>
      <c r="H779" s="878"/>
      <c r="I779" s="878"/>
      <c r="J779" s="878"/>
      <c r="K779" s="878"/>
      <c r="L779" s="878"/>
      <c r="M779" s="878"/>
      <c r="N779" s="878"/>
      <c r="O779" s="878"/>
      <c r="P779" s="878"/>
      <c r="Q779" s="878"/>
      <c r="R779" s="878"/>
      <c r="S779" s="878"/>
      <c r="T779" s="878"/>
      <c r="U779" s="878"/>
      <c r="V779" s="747"/>
      <c r="W779" s="747">
        <f t="shared" si="191"/>
        <v>28735000</v>
      </c>
      <c r="X779" s="747">
        <f t="shared" si="175"/>
        <v>706043000</v>
      </c>
      <c r="Y779" s="699"/>
    </row>
    <row r="780" spans="1:25" s="658" customFormat="1" ht="22.5">
      <c r="A780" s="803" t="s">
        <v>436</v>
      </c>
      <c r="B780" s="853" t="s">
        <v>2448</v>
      </c>
      <c r="C780" s="877" t="s">
        <v>777</v>
      </c>
      <c r="D780" s="780" t="s">
        <v>2449</v>
      </c>
      <c r="E780" s="878">
        <v>11806621000</v>
      </c>
      <c r="F780" s="878">
        <v>70602000</v>
      </c>
      <c r="G780" s="878">
        <v>70602000</v>
      </c>
      <c r="H780" s="878"/>
      <c r="I780" s="878"/>
      <c r="J780" s="878"/>
      <c r="K780" s="878"/>
      <c r="L780" s="878"/>
      <c r="M780" s="878"/>
      <c r="N780" s="878"/>
      <c r="O780" s="878"/>
      <c r="P780" s="878"/>
      <c r="Q780" s="878"/>
      <c r="R780" s="878"/>
      <c r="S780" s="878"/>
      <c r="T780" s="878"/>
      <c r="U780" s="878"/>
      <c r="V780" s="747"/>
      <c r="W780" s="747">
        <f t="shared" si="191"/>
        <v>70602000</v>
      </c>
      <c r="X780" s="747">
        <f t="shared" si="175"/>
        <v>70602000</v>
      </c>
      <c r="Y780" s="699"/>
    </row>
    <row r="781" spans="1:25" s="658" customFormat="1">
      <c r="A781" s="803" t="s">
        <v>438</v>
      </c>
      <c r="B781" s="853" t="s">
        <v>2450</v>
      </c>
      <c r="C781" s="877" t="s">
        <v>777</v>
      </c>
      <c r="D781" s="780" t="s">
        <v>2451</v>
      </c>
      <c r="E781" s="878">
        <v>6208912000</v>
      </c>
      <c r="F781" s="878">
        <v>295800000</v>
      </c>
      <c r="G781" s="878">
        <v>295800000</v>
      </c>
      <c r="H781" s="878"/>
      <c r="I781" s="878"/>
      <c r="J781" s="878"/>
      <c r="K781" s="878"/>
      <c r="L781" s="878"/>
      <c r="M781" s="878"/>
      <c r="N781" s="878"/>
      <c r="O781" s="878"/>
      <c r="P781" s="878"/>
      <c r="Q781" s="878"/>
      <c r="R781" s="878"/>
      <c r="S781" s="878"/>
      <c r="T781" s="878"/>
      <c r="U781" s="878"/>
      <c r="V781" s="747"/>
      <c r="W781" s="747">
        <f t="shared" si="191"/>
        <v>295800000</v>
      </c>
      <c r="X781" s="747">
        <f t="shared" si="175"/>
        <v>295800000</v>
      </c>
      <c r="Y781" s="699"/>
    </row>
    <row r="782" spans="1:25" s="658" customFormat="1">
      <c r="A782" s="803" t="s">
        <v>440</v>
      </c>
      <c r="B782" s="853" t="s">
        <v>2452</v>
      </c>
      <c r="C782" s="877" t="s">
        <v>777</v>
      </c>
      <c r="D782" s="780" t="s">
        <v>2453</v>
      </c>
      <c r="E782" s="878">
        <v>5301766000</v>
      </c>
      <c r="F782" s="878">
        <v>36997500</v>
      </c>
      <c r="G782" s="878">
        <v>36997500</v>
      </c>
      <c r="H782" s="878"/>
      <c r="I782" s="878"/>
      <c r="J782" s="878"/>
      <c r="K782" s="878"/>
      <c r="L782" s="878"/>
      <c r="M782" s="878"/>
      <c r="N782" s="878"/>
      <c r="O782" s="878"/>
      <c r="P782" s="878"/>
      <c r="Q782" s="878"/>
      <c r="R782" s="878"/>
      <c r="S782" s="878"/>
      <c r="T782" s="878"/>
      <c r="U782" s="878"/>
      <c r="V782" s="747"/>
      <c r="W782" s="747">
        <f t="shared" si="191"/>
        <v>36997500</v>
      </c>
      <c r="X782" s="747">
        <f t="shared" si="175"/>
        <v>36997500</v>
      </c>
      <c r="Y782" s="699"/>
    </row>
    <row r="783" spans="1:25" s="658" customFormat="1">
      <c r="A783" s="803" t="s">
        <v>441</v>
      </c>
      <c r="B783" s="853" t="s">
        <v>2454</v>
      </c>
      <c r="C783" s="877" t="s">
        <v>777</v>
      </c>
      <c r="D783" s="780" t="s">
        <v>2455</v>
      </c>
      <c r="E783" s="878">
        <v>50982050000</v>
      </c>
      <c r="F783" s="878">
        <v>198000000</v>
      </c>
      <c r="G783" s="878">
        <v>198000000</v>
      </c>
      <c r="H783" s="878">
        <v>198000000</v>
      </c>
      <c r="I783" s="878"/>
      <c r="J783" s="878"/>
      <c r="K783" s="878"/>
      <c r="L783" s="878"/>
      <c r="M783" s="878"/>
      <c r="N783" s="878"/>
      <c r="O783" s="878"/>
      <c r="P783" s="878"/>
      <c r="Q783" s="878"/>
      <c r="R783" s="878"/>
      <c r="S783" s="878"/>
      <c r="T783" s="878"/>
      <c r="U783" s="878"/>
      <c r="V783" s="747"/>
      <c r="W783" s="747"/>
      <c r="X783" s="747">
        <f>F783+K783+Q783-H783</f>
        <v>0</v>
      </c>
      <c r="Y783" s="699"/>
    </row>
    <row r="784" spans="1:25" s="658" customFormat="1">
      <c r="A784" s="803" t="s">
        <v>442</v>
      </c>
      <c r="B784" s="853" t="s">
        <v>2456</v>
      </c>
      <c r="C784" s="877" t="s">
        <v>777</v>
      </c>
      <c r="D784" s="780" t="s">
        <v>2457</v>
      </c>
      <c r="E784" s="878">
        <v>17003914000</v>
      </c>
      <c r="F784" s="878">
        <v>39000000</v>
      </c>
      <c r="G784" s="878">
        <v>39000000</v>
      </c>
      <c r="H784" s="878"/>
      <c r="I784" s="878"/>
      <c r="J784" s="878"/>
      <c r="K784" s="878"/>
      <c r="L784" s="878"/>
      <c r="M784" s="878"/>
      <c r="N784" s="878"/>
      <c r="O784" s="878"/>
      <c r="P784" s="878"/>
      <c r="Q784" s="878"/>
      <c r="R784" s="878"/>
      <c r="S784" s="878"/>
      <c r="T784" s="878"/>
      <c r="U784" s="878"/>
      <c r="V784" s="747"/>
      <c r="W784" s="747">
        <f t="shared" si="191"/>
        <v>39000000</v>
      </c>
      <c r="X784" s="747">
        <f t="shared" si="175"/>
        <v>39000000</v>
      </c>
      <c r="Y784" s="699"/>
    </row>
    <row r="785" spans="1:25" s="658" customFormat="1">
      <c r="A785" s="803" t="s">
        <v>443</v>
      </c>
      <c r="B785" s="853" t="s">
        <v>2458</v>
      </c>
      <c r="C785" s="877" t="s">
        <v>777</v>
      </c>
      <c r="D785" s="780" t="s">
        <v>2459</v>
      </c>
      <c r="E785" s="878">
        <v>60123578000</v>
      </c>
      <c r="F785" s="878">
        <v>214289000</v>
      </c>
      <c r="G785" s="878">
        <v>214289000</v>
      </c>
      <c r="H785" s="878">
        <v>889000</v>
      </c>
      <c r="I785" s="878"/>
      <c r="J785" s="878"/>
      <c r="K785" s="878"/>
      <c r="L785" s="878"/>
      <c r="M785" s="878"/>
      <c r="N785" s="878"/>
      <c r="O785" s="878"/>
      <c r="P785" s="878"/>
      <c r="Q785" s="878"/>
      <c r="R785" s="878"/>
      <c r="S785" s="878"/>
      <c r="T785" s="878"/>
      <c r="U785" s="878"/>
      <c r="V785" s="747"/>
      <c r="W785" s="747">
        <f t="shared" si="191"/>
        <v>213400000</v>
      </c>
      <c r="X785" s="747">
        <f>F785+K785+Q785-H785</f>
        <v>213400000</v>
      </c>
      <c r="Y785" s="699"/>
    </row>
    <row r="786" spans="1:25" s="658" customFormat="1" ht="22.5">
      <c r="A786" s="803" t="s">
        <v>445</v>
      </c>
      <c r="B786" s="853" t="s">
        <v>2460</v>
      </c>
      <c r="C786" s="877" t="s">
        <v>777</v>
      </c>
      <c r="D786" s="780" t="s">
        <v>439</v>
      </c>
      <c r="E786" s="878">
        <v>53288133320</v>
      </c>
      <c r="F786" s="878">
        <v>378746800</v>
      </c>
      <c r="G786" s="878">
        <v>378746800</v>
      </c>
      <c r="H786" s="878"/>
      <c r="I786" s="878">
        <v>378746800</v>
      </c>
      <c r="J786" s="878"/>
      <c r="K786" s="878"/>
      <c r="L786" s="878"/>
      <c r="M786" s="878"/>
      <c r="N786" s="878"/>
      <c r="O786" s="878"/>
      <c r="P786" s="878"/>
      <c r="Q786" s="878"/>
      <c r="R786" s="878"/>
      <c r="S786" s="878"/>
      <c r="T786" s="878"/>
      <c r="U786" s="878"/>
      <c r="V786" s="747">
        <f>I786+L786+R786</f>
        <v>378746800</v>
      </c>
      <c r="W786" s="747"/>
      <c r="X786" s="747">
        <f t="shared" ref="X786:X849" si="192">F786+K786+Q786</f>
        <v>378746800</v>
      </c>
      <c r="Y786" s="699"/>
    </row>
    <row r="787" spans="1:25" s="658" customFormat="1" ht="22.5">
      <c r="A787" s="803" t="s">
        <v>446</v>
      </c>
      <c r="B787" s="853" t="s">
        <v>2461</v>
      </c>
      <c r="C787" s="877" t="s">
        <v>777</v>
      </c>
      <c r="D787" s="780" t="s">
        <v>2462</v>
      </c>
      <c r="E787" s="878">
        <v>1622378000</v>
      </c>
      <c r="F787" s="878">
        <v>151130000</v>
      </c>
      <c r="G787" s="878">
        <v>151130000</v>
      </c>
      <c r="H787" s="878"/>
      <c r="I787" s="878"/>
      <c r="J787" s="878"/>
      <c r="K787" s="878"/>
      <c r="L787" s="878"/>
      <c r="M787" s="878"/>
      <c r="N787" s="878"/>
      <c r="O787" s="878"/>
      <c r="P787" s="878"/>
      <c r="Q787" s="878"/>
      <c r="R787" s="878"/>
      <c r="S787" s="878"/>
      <c r="T787" s="878"/>
      <c r="U787" s="878"/>
      <c r="V787" s="747"/>
      <c r="W787" s="747">
        <f t="shared" si="191"/>
        <v>151130000</v>
      </c>
      <c r="X787" s="747">
        <f t="shared" si="192"/>
        <v>151130000</v>
      </c>
      <c r="Y787" s="699"/>
    </row>
    <row r="788" spans="1:25" s="658" customFormat="1">
      <c r="A788" s="803" t="s">
        <v>447</v>
      </c>
      <c r="B788" s="853" t="s">
        <v>2463</v>
      </c>
      <c r="C788" s="877" t="s">
        <v>777</v>
      </c>
      <c r="D788" s="780" t="s">
        <v>2464</v>
      </c>
      <c r="E788" s="878">
        <v>100500844920</v>
      </c>
      <c r="F788" s="878">
        <v>103030500</v>
      </c>
      <c r="G788" s="878">
        <v>103030500</v>
      </c>
      <c r="H788" s="878"/>
      <c r="I788" s="878"/>
      <c r="J788" s="878"/>
      <c r="K788" s="878"/>
      <c r="L788" s="878"/>
      <c r="M788" s="878"/>
      <c r="N788" s="878"/>
      <c r="O788" s="878"/>
      <c r="P788" s="878"/>
      <c r="Q788" s="878"/>
      <c r="R788" s="878"/>
      <c r="S788" s="878"/>
      <c r="T788" s="878"/>
      <c r="U788" s="878"/>
      <c r="V788" s="747"/>
      <c r="W788" s="747">
        <f t="shared" si="191"/>
        <v>103030500</v>
      </c>
      <c r="X788" s="747">
        <f t="shared" si="192"/>
        <v>103030500</v>
      </c>
      <c r="Y788" s="699"/>
    </row>
    <row r="789" spans="1:25" s="658" customFormat="1">
      <c r="A789" s="803" t="s">
        <v>449</v>
      </c>
      <c r="B789" s="853" t="s">
        <v>2465</v>
      </c>
      <c r="C789" s="877" t="s">
        <v>777</v>
      </c>
      <c r="D789" s="780" t="s">
        <v>2466</v>
      </c>
      <c r="E789" s="878">
        <v>66172301000</v>
      </c>
      <c r="F789" s="878">
        <v>350251600</v>
      </c>
      <c r="G789" s="878">
        <v>350251600</v>
      </c>
      <c r="H789" s="878"/>
      <c r="I789" s="878"/>
      <c r="J789" s="878"/>
      <c r="K789" s="878"/>
      <c r="L789" s="878"/>
      <c r="M789" s="878"/>
      <c r="N789" s="878"/>
      <c r="O789" s="878"/>
      <c r="P789" s="878"/>
      <c r="Q789" s="878"/>
      <c r="R789" s="878"/>
      <c r="S789" s="878"/>
      <c r="T789" s="878"/>
      <c r="U789" s="878"/>
      <c r="V789" s="747"/>
      <c r="W789" s="747">
        <f t="shared" si="191"/>
        <v>350251600</v>
      </c>
      <c r="X789" s="747">
        <f t="shared" si="192"/>
        <v>350251600</v>
      </c>
      <c r="Y789" s="699"/>
    </row>
    <row r="790" spans="1:25" s="658" customFormat="1">
      <c r="A790" s="803" t="s">
        <v>450</v>
      </c>
      <c r="B790" s="853" t="s">
        <v>2467</v>
      </c>
      <c r="C790" s="877" t="s">
        <v>777</v>
      </c>
      <c r="D790" s="780" t="s">
        <v>2468</v>
      </c>
      <c r="E790" s="878">
        <v>207349382</v>
      </c>
      <c r="F790" s="878">
        <v>100000000</v>
      </c>
      <c r="G790" s="878">
        <v>100000000</v>
      </c>
      <c r="H790" s="878"/>
      <c r="I790" s="878"/>
      <c r="J790" s="878"/>
      <c r="K790" s="878"/>
      <c r="L790" s="878"/>
      <c r="M790" s="878"/>
      <c r="N790" s="878"/>
      <c r="O790" s="878"/>
      <c r="P790" s="878"/>
      <c r="Q790" s="878"/>
      <c r="R790" s="878"/>
      <c r="S790" s="878"/>
      <c r="T790" s="878"/>
      <c r="U790" s="878"/>
      <c r="V790" s="747"/>
      <c r="W790" s="747">
        <f t="shared" si="191"/>
        <v>100000000</v>
      </c>
      <c r="X790" s="747">
        <f t="shared" si="192"/>
        <v>100000000</v>
      </c>
      <c r="Y790" s="699"/>
    </row>
    <row r="791" spans="1:25" s="658" customFormat="1" ht="22.5">
      <c r="A791" s="803" t="s">
        <v>451</v>
      </c>
      <c r="B791" s="853" t="s">
        <v>2469</v>
      </c>
      <c r="C791" s="877" t="s">
        <v>777</v>
      </c>
      <c r="D791" s="780" t="s">
        <v>2470</v>
      </c>
      <c r="E791" s="878">
        <v>235458069264</v>
      </c>
      <c r="F791" s="878">
        <v>67015000</v>
      </c>
      <c r="G791" s="878">
        <v>67015000</v>
      </c>
      <c r="H791" s="878"/>
      <c r="I791" s="878"/>
      <c r="J791" s="878"/>
      <c r="K791" s="878"/>
      <c r="L791" s="878"/>
      <c r="M791" s="878"/>
      <c r="N791" s="878"/>
      <c r="O791" s="878"/>
      <c r="P791" s="878"/>
      <c r="Q791" s="878"/>
      <c r="R791" s="878"/>
      <c r="S791" s="878"/>
      <c r="T791" s="878"/>
      <c r="U791" s="878"/>
      <c r="V791" s="747"/>
      <c r="W791" s="747">
        <f t="shared" si="191"/>
        <v>67015000</v>
      </c>
      <c r="X791" s="747">
        <f t="shared" si="192"/>
        <v>67015000</v>
      </c>
      <c r="Y791" s="699"/>
    </row>
    <row r="792" spans="1:25" s="658" customFormat="1">
      <c r="A792" s="803" t="s">
        <v>556</v>
      </c>
      <c r="B792" s="853" t="s">
        <v>2471</v>
      </c>
      <c r="C792" s="877" t="s">
        <v>777</v>
      </c>
      <c r="D792" s="780" t="s">
        <v>2472</v>
      </c>
      <c r="E792" s="878">
        <v>3596095272</v>
      </c>
      <c r="F792" s="878">
        <v>36000000</v>
      </c>
      <c r="G792" s="878">
        <v>36000000</v>
      </c>
      <c r="H792" s="878"/>
      <c r="I792" s="878">
        <v>36000000</v>
      </c>
      <c r="J792" s="878"/>
      <c r="K792" s="878"/>
      <c r="L792" s="878"/>
      <c r="M792" s="878"/>
      <c r="N792" s="878"/>
      <c r="O792" s="878"/>
      <c r="P792" s="878"/>
      <c r="Q792" s="878"/>
      <c r="R792" s="878"/>
      <c r="S792" s="878"/>
      <c r="T792" s="878"/>
      <c r="U792" s="878"/>
      <c r="V792" s="747">
        <f>I792+L792+R792</f>
        <v>36000000</v>
      </c>
      <c r="W792" s="747"/>
      <c r="X792" s="747">
        <f t="shared" si="192"/>
        <v>36000000</v>
      </c>
      <c r="Y792" s="699"/>
    </row>
    <row r="793" spans="1:25" s="658" customFormat="1">
      <c r="A793" s="803" t="s">
        <v>557</v>
      </c>
      <c r="B793" s="853" t="s">
        <v>2473</v>
      </c>
      <c r="C793" s="877" t="s">
        <v>777</v>
      </c>
      <c r="D793" s="780" t="s">
        <v>849</v>
      </c>
      <c r="E793" s="878">
        <v>407958362000</v>
      </c>
      <c r="F793" s="878">
        <v>100074000</v>
      </c>
      <c r="G793" s="878">
        <v>100074000</v>
      </c>
      <c r="H793" s="878"/>
      <c r="I793" s="878"/>
      <c r="J793" s="878"/>
      <c r="K793" s="878"/>
      <c r="L793" s="878"/>
      <c r="M793" s="878"/>
      <c r="N793" s="878"/>
      <c r="O793" s="878"/>
      <c r="P793" s="878"/>
      <c r="Q793" s="878"/>
      <c r="R793" s="878"/>
      <c r="S793" s="878"/>
      <c r="T793" s="878"/>
      <c r="U793" s="878"/>
      <c r="V793" s="747"/>
      <c r="W793" s="747">
        <f t="shared" si="191"/>
        <v>100074000</v>
      </c>
      <c r="X793" s="747">
        <f t="shared" si="192"/>
        <v>100074000</v>
      </c>
      <c r="Y793" s="699"/>
    </row>
    <row r="794" spans="1:25" s="658" customFormat="1">
      <c r="A794" s="803" t="s">
        <v>558</v>
      </c>
      <c r="B794" s="853" t="s">
        <v>2474</v>
      </c>
      <c r="C794" s="877" t="s">
        <v>777</v>
      </c>
      <c r="D794" s="780" t="s">
        <v>2475</v>
      </c>
      <c r="E794" s="878">
        <v>18203273000</v>
      </c>
      <c r="F794" s="878">
        <v>5109398000</v>
      </c>
      <c r="G794" s="878">
        <v>5109398000</v>
      </c>
      <c r="H794" s="878"/>
      <c r="I794" s="878"/>
      <c r="J794" s="878"/>
      <c r="K794" s="878"/>
      <c r="L794" s="878"/>
      <c r="M794" s="878"/>
      <c r="N794" s="878"/>
      <c r="O794" s="878"/>
      <c r="P794" s="878"/>
      <c r="Q794" s="878"/>
      <c r="R794" s="878"/>
      <c r="S794" s="878"/>
      <c r="T794" s="878"/>
      <c r="U794" s="878"/>
      <c r="V794" s="747"/>
      <c r="W794" s="747">
        <f t="shared" si="191"/>
        <v>5109398000</v>
      </c>
      <c r="X794" s="747">
        <f t="shared" si="192"/>
        <v>5109398000</v>
      </c>
      <c r="Y794" s="699"/>
    </row>
    <row r="795" spans="1:25" s="658" customFormat="1">
      <c r="A795" s="803" t="s">
        <v>559</v>
      </c>
      <c r="B795" s="853" t="s">
        <v>2476</v>
      </c>
      <c r="C795" s="877" t="s">
        <v>777</v>
      </c>
      <c r="D795" s="780" t="s">
        <v>2477</v>
      </c>
      <c r="E795" s="878">
        <v>4965506000</v>
      </c>
      <c r="F795" s="878">
        <v>10000000</v>
      </c>
      <c r="G795" s="878">
        <v>10000000</v>
      </c>
      <c r="H795" s="878"/>
      <c r="I795" s="878"/>
      <c r="J795" s="878"/>
      <c r="K795" s="878"/>
      <c r="L795" s="878"/>
      <c r="M795" s="878"/>
      <c r="N795" s="878"/>
      <c r="O795" s="878"/>
      <c r="P795" s="878"/>
      <c r="Q795" s="878"/>
      <c r="R795" s="878"/>
      <c r="S795" s="878"/>
      <c r="T795" s="878"/>
      <c r="U795" s="878"/>
      <c r="V795" s="747"/>
      <c r="W795" s="747">
        <f t="shared" si="191"/>
        <v>10000000</v>
      </c>
      <c r="X795" s="747">
        <f t="shared" si="192"/>
        <v>10000000</v>
      </c>
      <c r="Y795" s="699"/>
    </row>
    <row r="796" spans="1:25" s="658" customFormat="1">
      <c r="A796" s="803" t="s">
        <v>560</v>
      </c>
      <c r="B796" s="853" t="s">
        <v>2478</v>
      </c>
      <c r="C796" s="877" t="s">
        <v>777</v>
      </c>
      <c r="D796" s="780" t="s">
        <v>2479</v>
      </c>
      <c r="E796" s="878">
        <v>6567078000</v>
      </c>
      <c r="F796" s="878">
        <v>700000000</v>
      </c>
      <c r="G796" s="878">
        <v>700000000</v>
      </c>
      <c r="H796" s="878"/>
      <c r="I796" s="878"/>
      <c r="J796" s="878"/>
      <c r="K796" s="878"/>
      <c r="L796" s="878"/>
      <c r="M796" s="878"/>
      <c r="N796" s="878"/>
      <c r="O796" s="878"/>
      <c r="P796" s="878"/>
      <c r="Q796" s="878"/>
      <c r="R796" s="878"/>
      <c r="S796" s="878"/>
      <c r="T796" s="878"/>
      <c r="U796" s="878"/>
      <c r="V796" s="747"/>
      <c r="W796" s="747">
        <f t="shared" si="191"/>
        <v>700000000</v>
      </c>
      <c r="X796" s="747">
        <f t="shared" si="192"/>
        <v>700000000</v>
      </c>
      <c r="Y796" s="699"/>
    </row>
    <row r="797" spans="1:25" s="658" customFormat="1">
      <c r="A797" s="803" t="s">
        <v>561</v>
      </c>
      <c r="B797" s="853" t="s">
        <v>2480</v>
      </c>
      <c r="C797" s="877" t="s">
        <v>777</v>
      </c>
      <c r="D797" s="780" t="s">
        <v>2481</v>
      </c>
      <c r="E797" s="878">
        <v>3020616000</v>
      </c>
      <c r="F797" s="878">
        <v>105423152</v>
      </c>
      <c r="G797" s="878">
        <v>105423152</v>
      </c>
      <c r="H797" s="878"/>
      <c r="I797" s="878"/>
      <c r="J797" s="878"/>
      <c r="K797" s="878"/>
      <c r="L797" s="878"/>
      <c r="M797" s="878"/>
      <c r="N797" s="878"/>
      <c r="O797" s="878"/>
      <c r="P797" s="878"/>
      <c r="Q797" s="878"/>
      <c r="R797" s="878"/>
      <c r="S797" s="878"/>
      <c r="T797" s="878"/>
      <c r="U797" s="878"/>
      <c r="V797" s="747"/>
      <c r="W797" s="747">
        <f t="shared" si="191"/>
        <v>105423152</v>
      </c>
      <c r="X797" s="747">
        <f t="shared" si="192"/>
        <v>105423152</v>
      </c>
      <c r="Y797" s="699"/>
    </row>
    <row r="798" spans="1:25" s="658" customFormat="1">
      <c r="A798" s="803" t="s">
        <v>562</v>
      </c>
      <c r="B798" s="853" t="s">
        <v>2482</v>
      </c>
      <c r="C798" s="877" t="s">
        <v>777</v>
      </c>
      <c r="D798" s="780" t="s">
        <v>2483</v>
      </c>
      <c r="E798" s="878">
        <v>135776492000</v>
      </c>
      <c r="F798" s="878">
        <v>2826402817</v>
      </c>
      <c r="G798" s="878">
        <v>2826402817</v>
      </c>
      <c r="H798" s="878"/>
      <c r="I798" s="878"/>
      <c r="J798" s="878"/>
      <c r="K798" s="878"/>
      <c r="L798" s="878"/>
      <c r="M798" s="878"/>
      <c r="N798" s="878"/>
      <c r="O798" s="878"/>
      <c r="P798" s="878"/>
      <c r="Q798" s="878"/>
      <c r="R798" s="878"/>
      <c r="S798" s="878"/>
      <c r="T798" s="878"/>
      <c r="U798" s="878"/>
      <c r="V798" s="747"/>
      <c r="W798" s="747">
        <f t="shared" si="191"/>
        <v>2826402817</v>
      </c>
      <c r="X798" s="747">
        <f t="shared" si="192"/>
        <v>2826402817</v>
      </c>
      <c r="Y798" s="699"/>
    </row>
    <row r="799" spans="1:25" s="658" customFormat="1">
      <c r="A799" s="803" t="s">
        <v>563</v>
      </c>
      <c r="B799" s="853" t="s">
        <v>2484</v>
      </c>
      <c r="C799" s="877" t="s">
        <v>777</v>
      </c>
      <c r="D799" s="780" t="s">
        <v>2485</v>
      </c>
      <c r="E799" s="878">
        <v>23891220900</v>
      </c>
      <c r="F799" s="878">
        <v>79000000</v>
      </c>
      <c r="G799" s="878">
        <v>79000000</v>
      </c>
      <c r="H799" s="878"/>
      <c r="I799" s="878"/>
      <c r="J799" s="878"/>
      <c r="K799" s="878"/>
      <c r="L799" s="878"/>
      <c r="M799" s="878"/>
      <c r="N799" s="878"/>
      <c r="O799" s="878"/>
      <c r="P799" s="878"/>
      <c r="Q799" s="878"/>
      <c r="R799" s="878"/>
      <c r="S799" s="878"/>
      <c r="T799" s="878"/>
      <c r="U799" s="878"/>
      <c r="V799" s="747"/>
      <c r="W799" s="747">
        <f t="shared" si="191"/>
        <v>79000000</v>
      </c>
      <c r="X799" s="747">
        <f t="shared" si="192"/>
        <v>79000000</v>
      </c>
      <c r="Y799" s="699"/>
    </row>
    <row r="800" spans="1:25" s="658" customFormat="1">
      <c r="A800" s="803" t="s">
        <v>564</v>
      </c>
      <c r="B800" s="853" t="s">
        <v>2486</v>
      </c>
      <c r="C800" s="877" t="s">
        <v>777</v>
      </c>
      <c r="D800" s="780" t="s">
        <v>1516</v>
      </c>
      <c r="E800" s="878">
        <v>8442994840</v>
      </c>
      <c r="F800" s="878">
        <v>12016159</v>
      </c>
      <c r="G800" s="878">
        <v>12016159</v>
      </c>
      <c r="H800" s="878"/>
      <c r="I800" s="878"/>
      <c r="J800" s="878"/>
      <c r="K800" s="878"/>
      <c r="L800" s="878"/>
      <c r="M800" s="878"/>
      <c r="N800" s="878"/>
      <c r="O800" s="878"/>
      <c r="P800" s="878"/>
      <c r="Q800" s="878"/>
      <c r="R800" s="878"/>
      <c r="S800" s="878"/>
      <c r="T800" s="878"/>
      <c r="U800" s="878"/>
      <c r="V800" s="747"/>
      <c r="W800" s="747">
        <f t="shared" si="191"/>
        <v>12016159</v>
      </c>
      <c r="X800" s="747">
        <f t="shared" si="192"/>
        <v>12016159</v>
      </c>
      <c r="Y800" s="699"/>
    </row>
    <row r="801" spans="1:25" s="658" customFormat="1">
      <c r="A801" s="803" t="s">
        <v>565</v>
      </c>
      <c r="B801" s="853" t="s">
        <v>2487</v>
      </c>
      <c r="C801" s="877" t="s">
        <v>777</v>
      </c>
      <c r="D801" s="780" t="s">
        <v>2488</v>
      </c>
      <c r="E801" s="878">
        <v>164401000000</v>
      </c>
      <c r="F801" s="878">
        <v>181339000</v>
      </c>
      <c r="G801" s="878">
        <v>181339000</v>
      </c>
      <c r="H801" s="878"/>
      <c r="I801" s="878"/>
      <c r="J801" s="878"/>
      <c r="K801" s="878"/>
      <c r="L801" s="878"/>
      <c r="M801" s="878"/>
      <c r="N801" s="878"/>
      <c r="O801" s="878"/>
      <c r="P801" s="878"/>
      <c r="Q801" s="878"/>
      <c r="R801" s="878"/>
      <c r="S801" s="878"/>
      <c r="T801" s="878"/>
      <c r="U801" s="878"/>
      <c r="V801" s="747"/>
      <c r="W801" s="747">
        <f t="shared" si="191"/>
        <v>181339000</v>
      </c>
      <c r="X801" s="747">
        <f t="shared" si="192"/>
        <v>181339000</v>
      </c>
      <c r="Y801" s="699"/>
    </row>
    <row r="802" spans="1:25" s="658" customFormat="1" ht="22.5">
      <c r="A802" s="803" t="s">
        <v>566</v>
      </c>
      <c r="B802" s="853" t="s">
        <v>2489</v>
      </c>
      <c r="C802" s="877" t="s">
        <v>777</v>
      </c>
      <c r="D802" s="780" t="s">
        <v>2490</v>
      </c>
      <c r="E802" s="878">
        <v>552540000</v>
      </c>
      <c r="F802" s="878">
        <v>225600000</v>
      </c>
      <c r="G802" s="878">
        <v>225600000</v>
      </c>
      <c r="H802" s="878"/>
      <c r="I802" s="878"/>
      <c r="J802" s="878"/>
      <c r="K802" s="878"/>
      <c r="L802" s="878"/>
      <c r="M802" s="878"/>
      <c r="N802" s="878"/>
      <c r="O802" s="878"/>
      <c r="P802" s="878"/>
      <c r="Q802" s="878"/>
      <c r="R802" s="878"/>
      <c r="S802" s="878"/>
      <c r="T802" s="878"/>
      <c r="U802" s="878"/>
      <c r="V802" s="747"/>
      <c r="W802" s="747">
        <f t="shared" si="191"/>
        <v>225600000</v>
      </c>
      <c r="X802" s="747">
        <f t="shared" si="192"/>
        <v>225600000</v>
      </c>
      <c r="Y802" s="699"/>
    </row>
    <row r="803" spans="1:25" s="658" customFormat="1" ht="22.5">
      <c r="A803" s="803" t="s">
        <v>567</v>
      </c>
      <c r="B803" s="853" t="s">
        <v>2491</v>
      </c>
      <c r="C803" s="877" t="s">
        <v>777</v>
      </c>
      <c r="D803" s="780" t="s">
        <v>2492</v>
      </c>
      <c r="E803" s="878">
        <v>15723136809</v>
      </c>
      <c r="F803" s="878">
        <v>22376</v>
      </c>
      <c r="G803" s="878">
        <v>22376</v>
      </c>
      <c r="H803" s="878"/>
      <c r="I803" s="878"/>
      <c r="J803" s="878"/>
      <c r="K803" s="878"/>
      <c r="L803" s="878"/>
      <c r="M803" s="878"/>
      <c r="N803" s="878"/>
      <c r="O803" s="878"/>
      <c r="P803" s="878"/>
      <c r="Q803" s="878"/>
      <c r="R803" s="878"/>
      <c r="S803" s="878"/>
      <c r="T803" s="878"/>
      <c r="U803" s="878"/>
      <c r="V803" s="747"/>
      <c r="W803" s="747">
        <f t="shared" si="191"/>
        <v>22376</v>
      </c>
      <c r="X803" s="747">
        <f t="shared" si="192"/>
        <v>22376</v>
      </c>
      <c r="Y803" s="699"/>
    </row>
    <row r="804" spans="1:25" s="658" customFormat="1">
      <c r="A804" s="803" t="s">
        <v>568</v>
      </c>
      <c r="B804" s="853" t="s">
        <v>2493</v>
      </c>
      <c r="C804" s="877" t="s">
        <v>777</v>
      </c>
      <c r="D804" s="780" t="s">
        <v>2494</v>
      </c>
      <c r="E804" s="878">
        <v>9647091000</v>
      </c>
      <c r="F804" s="878">
        <v>102000000</v>
      </c>
      <c r="G804" s="878">
        <v>102000000</v>
      </c>
      <c r="H804" s="878"/>
      <c r="I804" s="878"/>
      <c r="J804" s="878"/>
      <c r="K804" s="878"/>
      <c r="L804" s="878"/>
      <c r="M804" s="878"/>
      <c r="N804" s="878"/>
      <c r="O804" s="878"/>
      <c r="P804" s="878"/>
      <c r="Q804" s="878"/>
      <c r="R804" s="878"/>
      <c r="S804" s="878"/>
      <c r="T804" s="878"/>
      <c r="U804" s="878"/>
      <c r="V804" s="747"/>
      <c r="W804" s="747">
        <f t="shared" si="191"/>
        <v>102000000</v>
      </c>
      <c r="X804" s="747">
        <f t="shared" si="192"/>
        <v>102000000</v>
      </c>
      <c r="Y804" s="699"/>
    </row>
    <row r="805" spans="1:25" s="658" customFormat="1">
      <c r="A805" s="803" t="s">
        <v>569</v>
      </c>
      <c r="B805" s="853" t="s">
        <v>2495</v>
      </c>
      <c r="C805" s="877" t="s">
        <v>777</v>
      </c>
      <c r="D805" s="780" t="s">
        <v>2496</v>
      </c>
      <c r="E805" s="878">
        <v>430000000</v>
      </c>
      <c r="F805" s="878">
        <v>100000000</v>
      </c>
      <c r="G805" s="878">
        <v>100000000</v>
      </c>
      <c r="H805" s="878"/>
      <c r="I805" s="878"/>
      <c r="J805" s="878"/>
      <c r="K805" s="878"/>
      <c r="L805" s="878"/>
      <c r="M805" s="878"/>
      <c r="N805" s="878"/>
      <c r="O805" s="878"/>
      <c r="P805" s="878"/>
      <c r="Q805" s="878"/>
      <c r="R805" s="878"/>
      <c r="S805" s="878"/>
      <c r="T805" s="878"/>
      <c r="U805" s="878"/>
      <c r="V805" s="747"/>
      <c r="W805" s="747">
        <f t="shared" si="191"/>
        <v>100000000</v>
      </c>
      <c r="X805" s="747">
        <f t="shared" si="192"/>
        <v>100000000</v>
      </c>
      <c r="Y805" s="699"/>
    </row>
    <row r="806" spans="1:25" s="658" customFormat="1">
      <c r="A806" s="803" t="s">
        <v>570</v>
      </c>
      <c r="B806" s="853" t="s">
        <v>2497</v>
      </c>
      <c r="C806" s="877" t="s">
        <v>777</v>
      </c>
      <c r="D806" s="780" t="s">
        <v>2498</v>
      </c>
      <c r="E806" s="878">
        <v>374023000</v>
      </c>
      <c r="F806" s="878">
        <v>100000000</v>
      </c>
      <c r="G806" s="878">
        <v>100000000</v>
      </c>
      <c r="H806" s="878"/>
      <c r="I806" s="878"/>
      <c r="J806" s="878"/>
      <c r="K806" s="878"/>
      <c r="L806" s="878"/>
      <c r="M806" s="878"/>
      <c r="N806" s="878"/>
      <c r="O806" s="878"/>
      <c r="P806" s="878"/>
      <c r="Q806" s="878"/>
      <c r="R806" s="878"/>
      <c r="S806" s="878"/>
      <c r="T806" s="878"/>
      <c r="U806" s="878"/>
      <c r="V806" s="747"/>
      <c r="W806" s="747">
        <f t="shared" si="191"/>
        <v>100000000</v>
      </c>
      <c r="X806" s="747">
        <f t="shared" si="192"/>
        <v>100000000</v>
      </c>
      <c r="Y806" s="699"/>
    </row>
    <row r="807" spans="1:25" s="658" customFormat="1">
      <c r="A807" s="803" t="s">
        <v>571</v>
      </c>
      <c r="B807" s="853" t="s">
        <v>2499</v>
      </c>
      <c r="C807" s="877" t="s">
        <v>777</v>
      </c>
      <c r="D807" s="780" t="s">
        <v>2500</v>
      </c>
      <c r="E807" s="878">
        <v>300000000</v>
      </c>
      <c r="F807" s="878">
        <v>150000000</v>
      </c>
      <c r="G807" s="878">
        <v>150000000</v>
      </c>
      <c r="H807" s="878"/>
      <c r="I807" s="878"/>
      <c r="J807" s="878"/>
      <c r="K807" s="878"/>
      <c r="L807" s="878"/>
      <c r="M807" s="878"/>
      <c r="N807" s="878"/>
      <c r="O807" s="878"/>
      <c r="P807" s="878"/>
      <c r="Q807" s="878"/>
      <c r="R807" s="878"/>
      <c r="S807" s="878"/>
      <c r="T807" s="878"/>
      <c r="U807" s="878"/>
      <c r="V807" s="747"/>
      <c r="W807" s="747">
        <f t="shared" si="191"/>
        <v>150000000</v>
      </c>
      <c r="X807" s="747">
        <f t="shared" si="192"/>
        <v>150000000</v>
      </c>
      <c r="Y807" s="699"/>
    </row>
    <row r="808" spans="1:25" s="658" customFormat="1">
      <c r="A808" s="803" t="s">
        <v>572</v>
      </c>
      <c r="B808" s="853" t="s">
        <v>2501</v>
      </c>
      <c r="C808" s="877" t="s">
        <v>777</v>
      </c>
      <c r="D808" s="780" t="s">
        <v>2502</v>
      </c>
      <c r="E808" s="878">
        <v>3784000000</v>
      </c>
      <c r="F808" s="878">
        <v>37717000</v>
      </c>
      <c r="G808" s="878">
        <v>37717000</v>
      </c>
      <c r="H808" s="878"/>
      <c r="I808" s="878"/>
      <c r="J808" s="878"/>
      <c r="K808" s="878"/>
      <c r="L808" s="878"/>
      <c r="M808" s="878"/>
      <c r="N808" s="878"/>
      <c r="O808" s="878"/>
      <c r="P808" s="878"/>
      <c r="Q808" s="878"/>
      <c r="R808" s="878"/>
      <c r="S808" s="878"/>
      <c r="T808" s="878"/>
      <c r="U808" s="878"/>
      <c r="V808" s="747"/>
      <c r="W808" s="747">
        <f t="shared" si="191"/>
        <v>37717000</v>
      </c>
      <c r="X808" s="747">
        <f t="shared" si="192"/>
        <v>37717000</v>
      </c>
      <c r="Y808" s="699"/>
    </row>
    <row r="809" spans="1:25" s="658" customFormat="1">
      <c r="A809" s="803" t="s">
        <v>573</v>
      </c>
      <c r="B809" s="853" t="s">
        <v>2503</v>
      </c>
      <c r="C809" s="877" t="s">
        <v>777</v>
      </c>
      <c r="D809" s="780" t="s">
        <v>2504</v>
      </c>
      <c r="E809" s="878">
        <v>166000000</v>
      </c>
      <c r="F809" s="878">
        <v>200</v>
      </c>
      <c r="G809" s="878">
        <v>200</v>
      </c>
      <c r="H809" s="878"/>
      <c r="I809" s="878"/>
      <c r="J809" s="878"/>
      <c r="K809" s="878"/>
      <c r="L809" s="878"/>
      <c r="M809" s="878"/>
      <c r="N809" s="878"/>
      <c r="O809" s="878"/>
      <c r="P809" s="878"/>
      <c r="Q809" s="878"/>
      <c r="R809" s="878"/>
      <c r="S809" s="878"/>
      <c r="T809" s="878"/>
      <c r="U809" s="878"/>
      <c r="V809" s="747"/>
      <c r="W809" s="747">
        <f t="shared" si="191"/>
        <v>200</v>
      </c>
      <c r="X809" s="747">
        <f t="shared" si="192"/>
        <v>200</v>
      </c>
      <c r="Y809" s="699"/>
    </row>
    <row r="810" spans="1:25" s="658" customFormat="1">
      <c r="A810" s="803" t="s">
        <v>574</v>
      </c>
      <c r="B810" s="853" t="s">
        <v>2505</v>
      </c>
      <c r="C810" s="877" t="s">
        <v>777</v>
      </c>
      <c r="D810" s="780" t="s">
        <v>2506</v>
      </c>
      <c r="E810" s="878">
        <v>487883200</v>
      </c>
      <c r="F810" s="878">
        <v>15848000</v>
      </c>
      <c r="G810" s="878">
        <v>15848000</v>
      </c>
      <c r="H810" s="878"/>
      <c r="I810" s="878"/>
      <c r="J810" s="878"/>
      <c r="K810" s="878"/>
      <c r="L810" s="878"/>
      <c r="M810" s="878"/>
      <c r="N810" s="878"/>
      <c r="O810" s="878"/>
      <c r="P810" s="878"/>
      <c r="Q810" s="878"/>
      <c r="R810" s="878"/>
      <c r="S810" s="878"/>
      <c r="T810" s="878"/>
      <c r="U810" s="878"/>
      <c r="V810" s="747"/>
      <c r="W810" s="747">
        <f t="shared" si="191"/>
        <v>15848000</v>
      </c>
      <c r="X810" s="747">
        <f t="shared" si="192"/>
        <v>15848000</v>
      </c>
      <c r="Y810" s="699"/>
    </row>
    <row r="811" spans="1:25" s="658" customFormat="1" ht="22.5">
      <c r="A811" s="803" t="s">
        <v>575</v>
      </c>
      <c r="B811" s="853" t="s">
        <v>2507</v>
      </c>
      <c r="C811" s="877" t="s">
        <v>777</v>
      </c>
      <c r="D811" s="780" t="s">
        <v>2508</v>
      </c>
      <c r="E811" s="878">
        <v>2688367222</v>
      </c>
      <c r="F811" s="878">
        <v>149626690</v>
      </c>
      <c r="G811" s="878">
        <v>149626690</v>
      </c>
      <c r="H811" s="878"/>
      <c r="I811" s="878"/>
      <c r="J811" s="878"/>
      <c r="K811" s="878"/>
      <c r="L811" s="878"/>
      <c r="M811" s="878"/>
      <c r="N811" s="878"/>
      <c r="O811" s="878"/>
      <c r="P811" s="878"/>
      <c r="Q811" s="878"/>
      <c r="R811" s="878"/>
      <c r="S811" s="878"/>
      <c r="T811" s="878"/>
      <c r="U811" s="878"/>
      <c r="V811" s="747"/>
      <c r="W811" s="747">
        <f t="shared" si="191"/>
        <v>149626690</v>
      </c>
      <c r="X811" s="747">
        <f t="shared" si="192"/>
        <v>149626690</v>
      </c>
      <c r="Y811" s="699"/>
    </row>
    <row r="812" spans="1:25" s="658" customFormat="1">
      <c r="A812" s="803" t="s">
        <v>576</v>
      </c>
      <c r="B812" s="853" t="s">
        <v>2509</v>
      </c>
      <c r="C812" s="877" t="s">
        <v>777</v>
      </c>
      <c r="D812" s="780" t="s">
        <v>2510</v>
      </c>
      <c r="E812" s="878">
        <v>43115378000</v>
      </c>
      <c r="F812" s="878">
        <v>378987000</v>
      </c>
      <c r="G812" s="878">
        <v>13394000</v>
      </c>
      <c r="H812" s="878"/>
      <c r="I812" s="878"/>
      <c r="J812" s="878"/>
      <c r="K812" s="878"/>
      <c r="L812" s="878"/>
      <c r="M812" s="878"/>
      <c r="N812" s="878"/>
      <c r="O812" s="878"/>
      <c r="P812" s="878"/>
      <c r="Q812" s="878"/>
      <c r="R812" s="878"/>
      <c r="S812" s="878"/>
      <c r="T812" s="878"/>
      <c r="U812" s="878"/>
      <c r="V812" s="747"/>
      <c r="W812" s="747">
        <f t="shared" si="191"/>
        <v>13394000</v>
      </c>
      <c r="X812" s="747">
        <f t="shared" si="192"/>
        <v>378987000</v>
      </c>
      <c r="Y812" s="699"/>
    </row>
    <row r="813" spans="1:25" s="658" customFormat="1">
      <c r="A813" s="803" t="s">
        <v>577</v>
      </c>
      <c r="B813" s="853" t="s">
        <v>2509</v>
      </c>
      <c r="C813" s="877" t="s">
        <v>777</v>
      </c>
      <c r="D813" s="780" t="s">
        <v>2510</v>
      </c>
      <c r="E813" s="878">
        <v>43115378000</v>
      </c>
      <c r="F813" s="878">
        <v>21000000</v>
      </c>
      <c r="G813" s="878">
        <v>21000000</v>
      </c>
      <c r="H813" s="878"/>
      <c r="I813" s="878"/>
      <c r="J813" s="878"/>
      <c r="K813" s="878"/>
      <c r="L813" s="878"/>
      <c r="M813" s="878"/>
      <c r="N813" s="878"/>
      <c r="O813" s="878"/>
      <c r="P813" s="878"/>
      <c r="Q813" s="878"/>
      <c r="R813" s="878"/>
      <c r="S813" s="878"/>
      <c r="T813" s="878"/>
      <c r="U813" s="878"/>
      <c r="V813" s="747"/>
      <c r="W813" s="747">
        <f t="shared" si="191"/>
        <v>21000000</v>
      </c>
      <c r="X813" s="747">
        <f t="shared" si="192"/>
        <v>21000000</v>
      </c>
      <c r="Y813" s="699"/>
    </row>
    <row r="814" spans="1:25" s="658" customFormat="1">
      <c r="A814" s="803" t="s">
        <v>578</v>
      </c>
      <c r="B814" s="853" t="s">
        <v>2511</v>
      </c>
      <c r="C814" s="877" t="s">
        <v>777</v>
      </c>
      <c r="D814" s="780" t="s">
        <v>2512</v>
      </c>
      <c r="E814" s="878">
        <v>2317409298</v>
      </c>
      <c r="F814" s="878">
        <v>1175410000</v>
      </c>
      <c r="G814" s="878">
        <v>1175410000</v>
      </c>
      <c r="H814" s="878"/>
      <c r="I814" s="878"/>
      <c r="J814" s="878"/>
      <c r="K814" s="878"/>
      <c r="L814" s="878"/>
      <c r="M814" s="878"/>
      <c r="N814" s="878"/>
      <c r="O814" s="878"/>
      <c r="P814" s="878"/>
      <c r="Q814" s="878"/>
      <c r="R814" s="878"/>
      <c r="S814" s="878"/>
      <c r="T814" s="878"/>
      <c r="U814" s="878"/>
      <c r="V814" s="747"/>
      <c r="W814" s="747">
        <f t="shared" si="191"/>
        <v>1175410000</v>
      </c>
      <c r="X814" s="747">
        <f t="shared" si="192"/>
        <v>1175410000</v>
      </c>
      <c r="Y814" s="699"/>
    </row>
    <row r="815" spans="1:25" s="658" customFormat="1">
      <c r="A815" s="803" t="s">
        <v>579</v>
      </c>
      <c r="B815" s="853" t="s">
        <v>2513</v>
      </c>
      <c r="C815" s="877" t="s">
        <v>777</v>
      </c>
      <c r="D815" s="780" t="s">
        <v>2514</v>
      </c>
      <c r="E815" s="878">
        <v>434164110</v>
      </c>
      <c r="F815" s="878">
        <v>108541000</v>
      </c>
      <c r="G815" s="878">
        <v>108541000</v>
      </c>
      <c r="H815" s="878"/>
      <c r="I815" s="878">
        <v>108541000</v>
      </c>
      <c r="J815" s="878"/>
      <c r="K815" s="878"/>
      <c r="L815" s="878"/>
      <c r="M815" s="878"/>
      <c r="N815" s="878"/>
      <c r="O815" s="878"/>
      <c r="P815" s="878"/>
      <c r="Q815" s="878"/>
      <c r="R815" s="878"/>
      <c r="S815" s="878"/>
      <c r="T815" s="878"/>
      <c r="U815" s="878"/>
      <c r="V815" s="747">
        <f>I815+L815+R815</f>
        <v>108541000</v>
      </c>
      <c r="W815" s="747"/>
      <c r="X815" s="747">
        <f t="shared" si="192"/>
        <v>108541000</v>
      </c>
      <c r="Y815" s="699"/>
    </row>
    <row r="816" spans="1:25" s="658" customFormat="1" ht="22.5">
      <c r="A816" s="803" t="s">
        <v>580</v>
      </c>
      <c r="B816" s="853" t="s">
        <v>2515</v>
      </c>
      <c r="C816" s="877" t="s">
        <v>777</v>
      </c>
      <c r="D816" s="780" t="s">
        <v>2516</v>
      </c>
      <c r="E816" s="878">
        <v>251368000</v>
      </c>
      <c r="F816" s="878">
        <v>62842000</v>
      </c>
      <c r="G816" s="878">
        <v>62842000</v>
      </c>
      <c r="H816" s="878"/>
      <c r="I816" s="878">
        <v>62842000</v>
      </c>
      <c r="J816" s="878"/>
      <c r="K816" s="878"/>
      <c r="L816" s="878"/>
      <c r="M816" s="878"/>
      <c r="N816" s="878"/>
      <c r="O816" s="878"/>
      <c r="P816" s="878"/>
      <c r="Q816" s="878"/>
      <c r="R816" s="878"/>
      <c r="S816" s="878"/>
      <c r="T816" s="878"/>
      <c r="U816" s="878"/>
      <c r="V816" s="747">
        <f>I816+L816+R816</f>
        <v>62842000</v>
      </c>
      <c r="W816" s="747"/>
      <c r="X816" s="747">
        <f t="shared" si="192"/>
        <v>62842000</v>
      </c>
      <c r="Y816" s="699"/>
    </row>
    <row r="817" spans="1:25" s="658" customFormat="1">
      <c r="A817" s="803" t="s">
        <v>581</v>
      </c>
      <c r="B817" s="853" t="s">
        <v>2517</v>
      </c>
      <c r="C817" s="877" t="s">
        <v>777</v>
      </c>
      <c r="D817" s="780" t="s">
        <v>2518</v>
      </c>
      <c r="E817" s="878">
        <v>518479000</v>
      </c>
      <c r="F817" s="878">
        <v>86000000</v>
      </c>
      <c r="G817" s="878">
        <v>86000000</v>
      </c>
      <c r="H817" s="878"/>
      <c r="I817" s="878">
        <v>86000000</v>
      </c>
      <c r="J817" s="878"/>
      <c r="K817" s="878"/>
      <c r="L817" s="878"/>
      <c r="M817" s="878"/>
      <c r="N817" s="878"/>
      <c r="O817" s="878"/>
      <c r="P817" s="878"/>
      <c r="Q817" s="878"/>
      <c r="R817" s="878"/>
      <c r="S817" s="878"/>
      <c r="T817" s="878"/>
      <c r="U817" s="878"/>
      <c r="V817" s="747">
        <f>I817+L817+R817</f>
        <v>86000000</v>
      </c>
      <c r="W817" s="747"/>
      <c r="X817" s="747">
        <f t="shared" si="192"/>
        <v>86000000</v>
      </c>
      <c r="Y817" s="699"/>
    </row>
    <row r="818" spans="1:25" s="658" customFormat="1">
      <c r="A818" s="803" t="s">
        <v>582</v>
      </c>
      <c r="B818" s="853" t="s">
        <v>2519</v>
      </c>
      <c r="C818" s="877" t="s">
        <v>777</v>
      </c>
      <c r="D818" s="780" t="s">
        <v>2520</v>
      </c>
      <c r="E818" s="878">
        <v>18616000000</v>
      </c>
      <c r="F818" s="878">
        <v>70000000</v>
      </c>
      <c r="G818" s="878">
        <v>70000000</v>
      </c>
      <c r="H818" s="878"/>
      <c r="I818" s="878"/>
      <c r="J818" s="878"/>
      <c r="K818" s="878"/>
      <c r="L818" s="878"/>
      <c r="M818" s="878"/>
      <c r="N818" s="878"/>
      <c r="O818" s="878"/>
      <c r="P818" s="878"/>
      <c r="Q818" s="878"/>
      <c r="R818" s="878"/>
      <c r="S818" s="878"/>
      <c r="T818" s="878"/>
      <c r="U818" s="878"/>
      <c r="V818" s="747"/>
      <c r="W818" s="747">
        <f t="shared" si="191"/>
        <v>70000000</v>
      </c>
      <c r="X818" s="747">
        <f t="shared" si="192"/>
        <v>70000000</v>
      </c>
      <c r="Y818" s="699"/>
    </row>
    <row r="819" spans="1:25" s="658" customFormat="1" ht="22.5">
      <c r="A819" s="803" t="s">
        <v>583</v>
      </c>
      <c r="B819" s="853" t="s">
        <v>2521</v>
      </c>
      <c r="C819" s="877" t="s">
        <v>777</v>
      </c>
      <c r="D819" s="780" t="s">
        <v>2522</v>
      </c>
      <c r="E819" s="878">
        <v>287333000</v>
      </c>
      <c r="F819" s="878">
        <v>71833000</v>
      </c>
      <c r="G819" s="878">
        <v>71833000</v>
      </c>
      <c r="H819" s="878"/>
      <c r="I819" s="878"/>
      <c r="J819" s="878"/>
      <c r="K819" s="878"/>
      <c r="L819" s="878"/>
      <c r="M819" s="878"/>
      <c r="N819" s="878"/>
      <c r="O819" s="878"/>
      <c r="P819" s="878"/>
      <c r="Q819" s="878"/>
      <c r="R819" s="878"/>
      <c r="S819" s="878"/>
      <c r="T819" s="878"/>
      <c r="U819" s="878"/>
      <c r="V819" s="747"/>
      <c r="W819" s="747">
        <f t="shared" si="191"/>
        <v>71833000</v>
      </c>
      <c r="X819" s="747">
        <f t="shared" si="192"/>
        <v>71833000</v>
      </c>
      <c r="Y819" s="699"/>
    </row>
    <row r="820" spans="1:25" s="658" customFormat="1">
      <c r="A820" s="803" t="s">
        <v>584</v>
      </c>
      <c r="B820" s="853" t="s">
        <v>2523</v>
      </c>
      <c r="C820" s="877" t="s">
        <v>777</v>
      </c>
      <c r="D820" s="780" t="s">
        <v>2524</v>
      </c>
      <c r="E820" s="878">
        <v>40000000</v>
      </c>
      <c r="F820" s="878">
        <v>30000000</v>
      </c>
      <c r="G820" s="878">
        <v>30000000</v>
      </c>
      <c r="H820" s="878"/>
      <c r="I820" s="878"/>
      <c r="J820" s="878"/>
      <c r="K820" s="878"/>
      <c r="L820" s="878"/>
      <c r="M820" s="878"/>
      <c r="N820" s="878"/>
      <c r="O820" s="878"/>
      <c r="P820" s="878"/>
      <c r="Q820" s="878"/>
      <c r="R820" s="878"/>
      <c r="S820" s="878"/>
      <c r="T820" s="878"/>
      <c r="U820" s="878"/>
      <c r="V820" s="747"/>
      <c r="W820" s="747">
        <f t="shared" si="191"/>
        <v>30000000</v>
      </c>
      <c r="X820" s="747">
        <f t="shared" si="192"/>
        <v>30000000</v>
      </c>
      <c r="Y820" s="699"/>
    </row>
    <row r="821" spans="1:25" s="658" customFormat="1">
      <c r="A821" s="803" t="s">
        <v>585</v>
      </c>
      <c r="B821" s="853" t="s">
        <v>2525</v>
      </c>
      <c r="C821" s="877" t="s">
        <v>777</v>
      </c>
      <c r="D821" s="780" t="s">
        <v>2526</v>
      </c>
      <c r="E821" s="878">
        <v>533456000</v>
      </c>
      <c r="F821" s="878">
        <v>40000000</v>
      </c>
      <c r="G821" s="878">
        <v>40000000</v>
      </c>
      <c r="H821" s="878"/>
      <c r="I821" s="878"/>
      <c r="J821" s="878"/>
      <c r="K821" s="878"/>
      <c r="L821" s="878"/>
      <c r="M821" s="878"/>
      <c r="N821" s="878"/>
      <c r="O821" s="878"/>
      <c r="P821" s="878"/>
      <c r="Q821" s="878"/>
      <c r="R821" s="878"/>
      <c r="S821" s="878"/>
      <c r="T821" s="878"/>
      <c r="U821" s="878"/>
      <c r="V821" s="747"/>
      <c r="W821" s="747">
        <f t="shared" si="191"/>
        <v>40000000</v>
      </c>
      <c r="X821" s="747">
        <f t="shared" si="192"/>
        <v>40000000</v>
      </c>
      <c r="Y821" s="699"/>
    </row>
    <row r="822" spans="1:25" s="658" customFormat="1">
      <c r="A822" s="803" t="s">
        <v>586</v>
      </c>
      <c r="B822" s="853" t="s">
        <v>2527</v>
      </c>
      <c r="C822" s="877" t="s">
        <v>777</v>
      </c>
      <c r="D822" s="780" t="s">
        <v>2528</v>
      </c>
      <c r="E822" s="878">
        <v>400000000</v>
      </c>
      <c r="F822" s="878">
        <v>150000000</v>
      </c>
      <c r="G822" s="878">
        <v>150000000</v>
      </c>
      <c r="H822" s="878"/>
      <c r="I822" s="878"/>
      <c r="J822" s="878"/>
      <c r="K822" s="878"/>
      <c r="L822" s="878"/>
      <c r="M822" s="878"/>
      <c r="N822" s="878"/>
      <c r="O822" s="878"/>
      <c r="P822" s="878"/>
      <c r="Q822" s="878"/>
      <c r="R822" s="878"/>
      <c r="S822" s="878"/>
      <c r="T822" s="878"/>
      <c r="U822" s="878"/>
      <c r="V822" s="747"/>
      <c r="W822" s="747">
        <f t="shared" si="191"/>
        <v>150000000</v>
      </c>
      <c r="X822" s="747">
        <f t="shared" si="192"/>
        <v>150000000</v>
      </c>
      <c r="Y822" s="699"/>
    </row>
    <row r="823" spans="1:25" s="658" customFormat="1">
      <c r="A823" s="803" t="s">
        <v>587</v>
      </c>
      <c r="B823" s="853" t="s">
        <v>2529</v>
      </c>
      <c r="C823" s="877" t="s">
        <v>777</v>
      </c>
      <c r="D823" s="780" t="s">
        <v>2530</v>
      </c>
      <c r="E823" s="878">
        <v>217254000</v>
      </c>
      <c r="F823" s="878">
        <v>54313000</v>
      </c>
      <c r="G823" s="878">
        <v>54313000</v>
      </c>
      <c r="H823" s="878"/>
      <c r="I823" s="878">
        <v>54313000</v>
      </c>
      <c r="J823" s="878"/>
      <c r="K823" s="878"/>
      <c r="L823" s="878"/>
      <c r="M823" s="878"/>
      <c r="N823" s="878"/>
      <c r="O823" s="878"/>
      <c r="P823" s="878"/>
      <c r="Q823" s="878"/>
      <c r="R823" s="878"/>
      <c r="S823" s="878"/>
      <c r="T823" s="878"/>
      <c r="U823" s="878"/>
      <c r="V823" s="747">
        <f>I823+L823+R823</f>
        <v>54313000</v>
      </c>
      <c r="W823" s="747"/>
      <c r="X823" s="747">
        <f t="shared" si="192"/>
        <v>54313000</v>
      </c>
      <c r="Y823" s="699"/>
    </row>
    <row r="824" spans="1:25" s="658" customFormat="1">
      <c r="A824" s="803" t="s">
        <v>588</v>
      </c>
      <c r="B824" s="853" t="s">
        <v>2531</v>
      </c>
      <c r="C824" s="877" t="s">
        <v>777</v>
      </c>
      <c r="D824" s="780" t="s">
        <v>2532</v>
      </c>
      <c r="E824" s="878">
        <v>2995018000</v>
      </c>
      <c r="F824" s="878">
        <v>44000000</v>
      </c>
      <c r="G824" s="878">
        <v>44000000</v>
      </c>
      <c r="H824" s="878"/>
      <c r="I824" s="878"/>
      <c r="J824" s="878"/>
      <c r="K824" s="878"/>
      <c r="L824" s="878"/>
      <c r="M824" s="878"/>
      <c r="N824" s="878"/>
      <c r="O824" s="878"/>
      <c r="P824" s="878"/>
      <c r="Q824" s="878"/>
      <c r="R824" s="878"/>
      <c r="S824" s="878"/>
      <c r="T824" s="878"/>
      <c r="U824" s="878"/>
      <c r="V824" s="747"/>
      <c r="W824" s="747">
        <f t="shared" si="191"/>
        <v>44000000</v>
      </c>
      <c r="X824" s="747">
        <f t="shared" si="192"/>
        <v>44000000</v>
      </c>
      <c r="Y824" s="699"/>
    </row>
    <row r="825" spans="1:25" s="658" customFormat="1" ht="22.5">
      <c r="A825" s="803" t="s">
        <v>590</v>
      </c>
      <c r="B825" s="853" t="s">
        <v>2533</v>
      </c>
      <c r="C825" s="877" t="s">
        <v>777</v>
      </c>
      <c r="D825" s="780" t="s">
        <v>2534</v>
      </c>
      <c r="E825" s="878">
        <v>38522821793</v>
      </c>
      <c r="F825" s="878">
        <v>50000000</v>
      </c>
      <c r="G825" s="878">
        <v>50000000</v>
      </c>
      <c r="H825" s="878"/>
      <c r="I825" s="878"/>
      <c r="J825" s="878"/>
      <c r="K825" s="878"/>
      <c r="L825" s="878"/>
      <c r="M825" s="878"/>
      <c r="N825" s="878"/>
      <c r="O825" s="878"/>
      <c r="P825" s="878"/>
      <c r="Q825" s="878"/>
      <c r="R825" s="878"/>
      <c r="S825" s="878"/>
      <c r="T825" s="878"/>
      <c r="U825" s="878"/>
      <c r="V825" s="747"/>
      <c r="W825" s="747">
        <f t="shared" si="191"/>
        <v>50000000</v>
      </c>
      <c r="X825" s="747">
        <f t="shared" si="192"/>
        <v>50000000</v>
      </c>
      <c r="Y825" s="699"/>
    </row>
    <row r="826" spans="1:25" s="658" customFormat="1">
      <c r="A826" s="803" t="s">
        <v>591</v>
      </c>
      <c r="B826" s="853" t="s">
        <v>2535</v>
      </c>
      <c r="C826" s="877" t="s">
        <v>777</v>
      </c>
      <c r="D826" s="780" t="s">
        <v>2536</v>
      </c>
      <c r="E826" s="878">
        <v>13200000000</v>
      </c>
      <c r="F826" s="878">
        <v>36543000</v>
      </c>
      <c r="G826" s="878">
        <v>36543000</v>
      </c>
      <c r="H826" s="878"/>
      <c r="I826" s="878"/>
      <c r="J826" s="878"/>
      <c r="K826" s="878"/>
      <c r="L826" s="878"/>
      <c r="M826" s="878"/>
      <c r="N826" s="878"/>
      <c r="O826" s="878"/>
      <c r="P826" s="878"/>
      <c r="Q826" s="878"/>
      <c r="R826" s="878"/>
      <c r="S826" s="878"/>
      <c r="T826" s="878"/>
      <c r="U826" s="878"/>
      <c r="V826" s="747"/>
      <c r="W826" s="747">
        <f t="shared" si="191"/>
        <v>36543000</v>
      </c>
      <c r="X826" s="747">
        <f t="shared" si="192"/>
        <v>36543000</v>
      </c>
      <c r="Y826" s="699"/>
    </row>
    <row r="827" spans="1:25" s="658" customFormat="1" ht="22.5">
      <c r="A827" s="803" t="s">
        <v>592</v>
      </c>
      <c r="B827" s="853" t="s">
        <v>2537</v>
      </c>
      <c r="C827" s="877" t="s">
        <v>777</v>
      </c>
      <c r="D827" s="780" t="s">
        <v>2538</v>
      </c>
      <c r="E827" s="878">
        <v>1749698000</v>
      </c>
      <c r="F827" s="878">
        <v>50000000</v>
      </c>
      <c r="G827" s="878">
        <v>50000000</v>
      </c>
      <c r="H827" s="878"/>
      <c r="I827" s="878"/>
      <c r="J827" s="878"/>
      <c r="K827" s="878"/>
      <c r="L827" s="878"/>
      <c r="M827" s="878"/>
      <c r="N827" s="878"/>
      <c r="O827" s="878"/>
      <c r="P827" s="878"/>
      <c r="Q827" s="878"/>
      <c r="R827" s="878"/>
      <c r="S827" s="878"/>
      <c r="T827" s="878"/>
      <c r="U827" s="878"/>
      <c r="V827" s="747"/>
      <c r="W827" s="747">
        <f t="shared" si="191"/>
        <v>50000000</v>
      </c>
      <c r="X827" s="747">
        <f t="shared" si="192"/>
        <v>50000000</v>
      </c>
      <c r="Y827" s="699"/>
    </row>
    <row r="828" spans="1:25" s="658" customFormat="1">
      <c r="A828" s="803" t="s">
        <v>593</v>
      </c>
      <c r="B828" s="853" t="s">
        <v>2539</v>
      </c>
      <c r="C828" s="877" t="s">
        <v>777</v>
      </c>
      <c r="D828" s="780" t="s">
        <v>2540</v>
      </c>
      <c r="E828" s="878">
        <v>7000000000</v>
      </c>
      <c r="F828" s="878">
        <v>85000000</v>
      </c>
      <c r="G828" s="878">
        <v>85000000</v>
      </c>
      <c r="H828" s="878"/>
      <c r="I828" s="878"/>
      <c r="J828" s="878"/>
      <c r="K828" s="878"/>
      <c r="L828" s="878"/>
      <c r="M828" s="878"/>
      <c r="N828" s="878"/>
      <c r="O828" s="878"/>
      <c r="P828" s="878"/>
      <c r="Q828" s="878"/>
      <c r="R828" s="878"/>
      <c r="S828" s="878"/>
      <c r="T828" s="878"/>
      <c r="U828" s="878"/>
      <c r="V828" s="747"/>
      <c r="W828" s="747">
        <f t="shared" si="191"/>
        <v>85000000</v>
      </c>
      <c r="X828" s="747">
        <f t="shared" si="192"/>
        <v>85000000</v>
      </c>
      <c r="Y828" s="699"/>
    </row>
    <row r="829" spans="1:25" s="658" customFormat="1">
      <c r="A829" s="803" t="s">
        <v>594</v>
      </c>
      <c r="B829" s="853" t="s">
        <v>2541</v>
      </c>
      <c r="C829" s="877" t="s">
        <v>777</v>
      </c>
      <c r="D829" s="780" t="s">
        <v>2542</v>
      </c>
      <c r="E829" s="878">
        <v>878786169</v>
      </c>
      <c r="F829" s="878">
        <v>490000000</v>
      </c>
      <c r="G829" s="878">
        <v>490000000</v>
      </c>
      <c r="H829" s="878"/>
      <c r="I829" s="878"/>
      <c r="J829" s="878"/>
      <c r="K829" s="878"/>
      <c r="L829" s="878"/>
      <c r="M829" s="878"/>
      <c r="N829" s="878"/>
      <c r="O829" s="878"/>
      <c r="P829" s="878"/>
      <c r="Q829" s="878"/>
      <c r="R829" s="878"/>
      <c r="S829" s="878"/>
      <c r="T829" s="878"/>
      <c r="U829" s="878"/>
      <c r="V829" s="747"/>
      <c r="W829" s="747">
        <f t="shared" si="191"/>
        <v>490000000</v>
      </c>
      <c r="X829" s="747">
        <f t="shared" si="192"/>
        <v>490000000</v>
      </c>
      <c r="Y829" s="699"/>
    </row>
    <row r="830" spans="1:25" s="658" customFormat="1">
      <c r="A830" s="803" t="s">
        <v>595</v>
      </c>
      <c r="B830" s="853" t="s">
        <v>2543</v>
      </c>
      <c r="C830" s="877" t="s">
        <v>777</v>
      </c>
      <c r="D830" s="780" t="s">
        <v>2544</v>
      </c>
      <c r="E830" s="878">
        <v>333351000</v>
      </c>
      <c r="F830" s="878">
        <v>60000000</v>
      </c>
      <c r="G830" s="878">
        <v>60000000</v>
      </c>
      <c r="H830" s="878"/>
      <c r="I830" s="878"/>
      <c r="J830" s="878"/>
      <c r="K830" s="878"/>
      <c r="L830" s="878"/>
      <c r="M830" s="878"/>
      <c r="N830" s="878"/>
      <c r="O830" s="878"/>
      <c r="P830" s="878"/>
      <c r="Q830" s="878"/>
      <c r="R830" s="878"/>
      <c r="S830" s="878"/>
      <c r="T830" s="878"/>
      <c r="U830" s="878"/>
      <c r="V830" s="747"/>
      <c r="W830" s="747">
        <f t="shared" si="191"/>
        <v>60000000</v>
      </c>
      <c r="X830" s="747">
        <f t="shared" si="192"/>
        <v>60000000</v>
      </c>
      <c r="Y830" s="699"/>
    </row>
    <row r="831" spans="1:25" s="658" customFormat="1">
      <c r="A831" s="803" t="s">
        <v>596</v>
      </c>
      <c r="B831" s="853" t="s">
        <v>2545</v>
      </c>
      <c r="C831" s="877" t="s">
        <v>777</v>
      </c>
      <c r="D831" s="780" t="s">
        <v>1871</v>
      </c>
      <c r="E831" s="878">
        <v>4615942000</v>
      </c>
      <c r="F831" s="878">
        <v>146000000</v>
      </c>
      <c r="G831" s="878">
        <v>146000000</v>
      </c>
      <c r="H831" s="878"/>
      <c r="I831" s="878"/>
      <c r="J831" s="878"/>
      <c r="K831" s="878"/>
      <c r="L831" s="878"/>
      <c r="M831" s="878"/>
      <c r="N831" s="878"/>
      <c r="O831" s="878"/>
      <c r="P831" s="878"/>
      <c r="Q831" s="878"/>
      <c r="R831" s="878"/>
      <c r="S831" s="878"/>
      <c r="T831" s="878"/>
      <c r="U831" s="878"/>
      <c r="V831" s="747"/>
      <c r="W831" s="747">
        <f t="shared" si="191"/>
        <v>146000000</v>
      </c>
      <c r="X831" s="747">
        <f t="shared" si="192"/>
        <v>146000000</v>
      </c>
      <c r="Y831" s="699"/>
    </row>
    <row r="832" spans="1:25" s="658" customFormat="1" ht="22.5">
      <c r="A832" s="803" t="s">
        <v>597</v>
      </c>
      <c r="B832" s="853" t="s">
        <v>2546</v>
      </c>
      <c r="C832" s="877" t="s">
        <v>777</v>
      </c>
      <c r="D832" s="780" t="s">
        <v>2547</v>
      </c>
      <c r="E832" s="878">
        <v>4501792794</v>
      </c>
      <c r="F832" s="878">
        <v>634607000</v>
      </c>
      <c r="G832" s="878">
        <v>634607000</v>
      </c>
      <c r="H832" s="878"/>
      <c r="I832" s="878"/>
      <c r="J832" s="878"/>
      <c r="K832" s="878"/>
      <c r="L832" s="878"/>
      <c r="M832" s="878"/>
      <c r="N832" s="878"/>
      <c r="O832" s="878"/>
      <c r="P832" s="878"/>
      <c r="Q832" s="878"/>
      <c r="R832" s="878"/>
      <c r="S832" s="878"/>
      <c r="T832" s="878"/>
      <c r="U832" s="878"/>
      <c r="V832" s="747"/>
      <c r="W832" s="747">
        <f t="shared" si="191"/>
        <v>634607000</v>
      </c>
      <c r="X832" s="747">
        <f t="shared" si="192"/>
        <v>634607000</v>
      </c>
      <c r="Y832" s="699"/>
    </row>
    <row r="833" spans="1:25" s="658" customFormat="1" ht="22.5">
      <c r="A833" s="803" t="s">
        <v>599</v>
      </c>
      <c r="B833" s="853" t="s">
        <v>2548</v>
      </c>
      <c r="C833" s="877" t="s">
        <v>777</v>
      </c>
      <c r="D833" s="780" t="s">
        <v>2549</v>
      </c>
      <c r="E833" s="878">
        <v>15456440305</v>
      </c>
      <c r="F833" s="878">
        <v>923000</v>
      </c>
      <c r="G833" s="878">
        <v>923000</v>
      </c>
      <c r="H833" s="878"/>
      <c r="I833" s="878"/>
      <c r="J833" s="878"/>
      <c r="K833" s="878"/>
      <c r="L833" s="878"/>
      <c r="M833" s="878"/>
      <c r="N833" s="878"/>
      <c r="O833" s="878"/>
      <c r="P833" s="878"/>
      <c r="Q833" s="878"/>
      <c r="R833" s="878"/>
      <c r="S833" s="878"/>
      <c r="T833" s="878"/>
      <c r="U833" s="878"/>
      <c r="V833" s="747"/>
      <c r="W833" s="747">
        <f t="shared" si="191"/>
        <v>923000</v>
      </c>
      <c r="X833" s="747">
        <f t="shared" si="192"/>
        <v>923000</v>
      </c>
      <c r="Y833" s="699"/>
    </row>
    <row r="834" spans="1:25" s="658" customFormat="1">
      <c r="A834" s="803" t="s">
        <v>600</v>
      </c>
      <c r="B834" s="853" t="s">
        <v>2550</v>
      </c>
      <c r="C834" s="877" t="s">
        <v>777</v>
      </c>
      <c r="D834" s="780" t="s">
        <v>2551</v>
      </c>
      <c r="E834" s="878">
        <v>72389064000</v>
      </c>
      <c r="F834" s="878">
        <v>26900000</v>
      </c>
      <c r="G834" s="878">
        <v>26900000</v>
      </c>
      <c r="H834" s="878"/>
      <c r="I834" s="878"/>
      <c r="J834" s="878"/>
      <c r="K834" s="878"/>
      <c r="L834" s="878"/>
      <c r="M834" s="878"/>
      <c r="N834" s="878"/>
      <c r="O834" s="878"/>
      <c r="P834" s="878"/>
      <c r="Q834" s="878"/>
      <c r="R834" s="878"/>
      <c r="S834" s="878"/>
      <c r="T834" s="878"/>
      <c r="U834" s="878"/>
      <c r="V834" s="747"/>
      <c r="W834" s="747">
        <f t="shared" si="191"/>
        <v>26900000</v>
      </c>
      <c r="X834" s="747">
        <f t="shared" si="192"/>
        <v>26900000</v>
      </c>
      <c r="Y834" s="699"/>
    </row>
    <row r="835" spans="1:25" s="658" customFormat="1">
      <c r="A835" s="803" t="s">
        <v>601</v>
      </c>
      <c r="B835" s="853" t="s">
        <v>2552</v>
      </c>
      <c r="C835" s="877" t="s">
        <v>777</v>
      </c>
      <c r="D835" s="780" t="s">
        <v>2553</v>
      </c>
      <c r="E835" s="878">
        <v>126481620057</v>
      </c>
      <c r="F835" s="878">
        <v>20668046</v>
      </c>
      <c r="G835" s="878">
        <v>9946475</v>
      </c>
      <c r="H835" s="878">
        <v>9946475</v>
      </c>
      <c r="I835" s="878"/>
      <c r="J835" s="878"/>
      <c r="K835" s="878"/>
      <c r="L835" s="878"/>
      <c r="M835" s="878"/>
      <c r="N835" s="878"/>
      <c r="O835" s="878"/>
      <c r="P835" s="878"/>
      <c r="Q835" s="878"/>
      <c r="R835" s="878"/>
      <c r="S835" s="878"/>
      <c r="T835" s="878"/>
      <c r="U835" s="878"/>
      <c r="V835" s="747"/>
      <c r="W835" s="747"/>
      <c r="X835" s="747">
        <f>F835+K835+Q835-H835</f>
        <v>10721571</v>
      </c>
      <c r="Y835" s="699"/>
    </row>
    <row r="836" spans="1:25" s="658" customFormat="1" ht="22.5">
      <c r="A836" s="803" t="s">
        <v>602</v>
      </c>
      <c r="B836" s="853" t="s">
        <v>2554</v>
      </c>
      <c r="C836" s="877" t="s">
        <v>777</v>
      </c>
      <c r="D836" s="780" t="s">
        <v>2555</v>
      </c>
      <c r="E836" s="878">
        <v>363718000</v>
      </c>
      <c r="F836" s="878">
        <v>60000000</v>
      </c>
      <c r="G836" s="878">
        <v>60000000</v>
      </c>
      <c r="H836" s="878"/>
      <c r="I836" s="878"/>
      <c r="J836" s="878"/>
      <c r="K836" s="878"/>
      <c r="L836" s="878"/>
      <c r="M836" s="878"/>
      <c r="N836" s="878"/>
      <c r="O836" s="878"/>
      <c r="P836" s="878"/>
      <c r="Q836" s="878"/>
      <c r="R836" s="878"/>
      <c r="S836" s="878"/>
      <c r="T836" s="878"/>
      <c r="U836" s="878"/>
      <c r="V836" s="747"/>
      <c r="W836" s="747">
        <f t="shared" si="191"/>
        <v>60000000</v>
      </c>
      <c r="X836" s="747">
        <f t="shared" si="192"/>
        <v>60000000</v>
      </c>
      <c r="Y836" s="699"/>
    </row>
    <row r="837" spans="1:25" s="658" customFormat="1">
      <c r="A837" s="803" t="s">
        <v>603</v>
      </c>
      <c r="B837" s="853" t="s">
        <v>2556</v>
      </c>
      <c r="C837" s="877" t="s">
        <v>777</v>
      </c>
      <c r="D837" s="780" t="s">
        <v>2557</v>
      </c>
      <c r="E837" s="878">
        <v>14968091000</v>
      </c>
      <c r="F837" s="878">
        <v>108311400</v>
      </c>
      <c r="G837" s="878">
        <v>108311400</v>
      </c>
      <c r="H837" s="878"/>
      <c r="I837" s="878"/>
      <c r="J837" s="878"/>
      <c r="K837" s="878"/>
      <c r="L837" s="878"/>
      <c r="M837" s="878"/>
      <c r="N837" s="878"/>
      <c r="O837" s="878"/>
      <c r="P837" s="878"/>
      <c r="Q837" s="878"/>
      <c r="R837" s="878"/>
      <c r="S837" s="878"/>
      <c r="T837" s="878"/>
      <c r="U837" s="878"/>
      <c r="V837" s="747"/>
      <c r="W837" s="747">
        <f t="shared" ref="W837:W900" si="193">G837-H837-I837+M837+S837</f>
        <v>108311400</v>
      </c>
      <c r="X837" s="747">
        <f t="shared" si="192"/>
        <v>108311400</v>
      </c>
      <c r="Y837" s="699"/>
    </row>
    <row r="838" spans="1:25" s="658" customFormat="1">
      <c r="A838" s="803" t="s">
        <v>604</v>
      </c>
      <c r="B838" s="853" t="s">
        <v>2558</v>
      </c>
      <c r="C838" s="877" t="s">
        <v>777</v>
      </c>
      <c r="D838" s="780" t="s">
        <v>2559</v>
      </c>
      <c r="E838" s="878">
        <v>2323379000</v>
      </c>
      <c r="F838" s="878">
        <v>148000000</v>
      </c>
      <c r="G838" s="878">
        <v>148000000</v>
      </c>
      <c r="H838" s="878"/>
      <c r="I838" s="878"/>
      <c r="J838" s="878"/>
      <c r="K838" s="878"/>
      <c r="L838" s="878"/>
      <c r="M838" s="878"/>
      <c r="N838" s="878"/>
      <c r="O838" s="878"/>
      <c r="P838" s="878"/>
      <c r="Q838" s="878"/>
      <c r="R838" s="878"/>
      <c r="S838" s="878"/>
      <c r="T838" s="878"/>
      <c r="U838" s="878"/>
      <c r="V838" s="747"/>
      <c r="W838" s="747">
        <f t="shared" si="193"/>
        <v>148000000</v>
      </c>
      <c r="X838" s="747">
        <f t="shared" si="192"/>
        <v>148000000</v>
      </c>
      <c r="Y838" s="699"/>
    </row>
    <row r="839" spans="1:25" s="658" customFormat="1" ht="22.5">
      <c r="A839" s="803" t="s">
        <v>605</v>
      </c>
      <c r="B839" s="853" t="s">
        <v>2560</v>
      </c>
      <c r="C839" s="877" t="s">
        <v>777</v>
      </c>
      <c r="D839" s="780" t="s">
        <v>2561</v>
      </c>
      <c r="E839" s="878">
        <v>26410627000</v>
      </c>
      <c r="F839" s="878">
        <v>76276000</v>
      </c>
      <c r="G839" s="878">
        <v>76276000</v>
      </c>
      <c r="H839" s="878"/>
      <c r="I839" s="878">
        <v>76276000</v>
      </c>
      <c r="J839" s="878"/>
      <c r="K839" s="878"/>
      <c r="L839" s="878"/>
      <c r="M839" s="878"/>
      <c r="N839" s="878"/>
      <c r="O839" s="878"/>
      <c r="P839" s="878"/>
      <c r="Q839" s="878"/>
      <c r="R839" s="878"/>
      <c r="S839" s="878"/>
      <c r="T839" s="878"/>
      <c r="U839" s="878"/>
      <c r="V839" s="747">
        <f t="shared" ref="V839:V846" si="194">I839+L839+R839</f>
        <v>76276000</v>
      </c>
      <c r="W839" s="747"/>
      <c r="X839" s="747">
        <f t="shared" si="192"/>
        <v>76276000</v>
      </c>
      <c r="Y839" s="699"/>
    </row>
    <row r="840" spans="1:25" s="658" customFormat="1" ht="22.5">
      <c r="A840" s="803" t="s">
        <v>606</v>
      </c>
      <c r="B840" s="853" t="s">
        <v>2562</v>
      </c>
      <c r="C840" s="877" t="s">
        <v>777</v>
      </c>
      <c r="D840" s="780" t="s">
        <v>2563</v>
      </c>
      <c r="E840" s="878">
        <v>14966949875</v>
      </c>
      <c r="F840" s="878">
        <v>104539000</v>
      </c>
      <c r="G840" s="878">
        <v>104539000</v>
      </c>
      <c r="H840" s="878"/>
      <c r="I840" s="878">
        <v>104539000</v>
      </c>
      <c r="J840" s="878"/>
      <c r="K840" s="878"/>
      <c r="L840" s="878"/>
      <c r="M840" s="878"/>
      <c r="N840" s="878"/>
      <c r="O840" s="878"/>
      <c r="P840" s="878"/>
      <c r="Q840" s="878"/>
      <c r="R840" s="878"/>
      <c r="S840" s="878"/>
      <c r="T840" s="878"/>
      <c r="U840" s="878"/>
      <c r="V840" s="747">
        <f t="shared" si="194"/>
        <v>104539000</v>
      </c>
      <c r="W840" s="747"/>
      <c r="X840" s="747">
        <f t="shared" si="192"/>
        <v>104539000</v>
      </c>
      <c r="Y840" s="699"/>
    </row>
    <row r="841" spans="1:25" s="658" customFormat="1">
      <c r="A841" s="803" t="s">
        <v>607</v>
      </c>
      <c r="B841" s="853" t="s">
        <v>2564</v>
      </c>
      <c r="C841" s="877" t="s">
        <v>777</v>
      </c>
      <c r="D841" s="780" t="s">
        <v>2565</v>
      </c>
      <c r="E841" s="878">
        <v>14814356117</v>
      </c>
      <c r="F841" s="878">
        <v>142150000</v>
      </c>
      <c r="G841" s="878">
        <v>142150000</v>
      </c>
      <c r="H841" s="878"/>
      <c r="I841" s="878">
        <v>142150000</v>
      </c>
      <c r="J841" s="878"/>
      <c r="K841" s="878"/>
      <c r="L841" s="878"/>
      <c r="M841" s="878"/>
      <c r="N841" s="878"/>
      <c r="O841" s="878"/>
      <c r="P841" s="878"/>
      <c r="Q841" s="878"/>
      <c r="R841" s="878"/>
      <c r="S841" s="878"/>
      <c r="T841" s="878"/>
      <c r="U841" s="878"/>
      <c r="V841" s="747">
        <f t="shared" si="194"/>
        <v>142150000</v>
      </c>
      <c r="W841" s="747"/>
      <c r="X841" s="747">
        <f t="shared" si="192"/>
        <v>142150000</v>
      </c>
      <c r="Y841" s="699"/>
    </row>
    <row r="842" spans="1:25" s="658" customFormat="1" ht="22.5">
      <c r="A842" s="803" t="s">
        <v>608</v>
      </c>
      <c r="B842" s="853" t="s">
        <v>2566</v>
      </c>
      <c r="C842" s="877" t="s">
        <v>777</v>
      </c>
      <c r="D842" s="780" t="s">
        <v>2567</v>
      </c>
      <c r="E842" s="878">
        <v>29473971678</v>
      </c>
      <c r="F842" s="878">
        <v>1312441000</v>
      </c>
      <c r="G842" s="878">
        <v>643315000</v>
      </c>
      <c r="H842" s="878"/>
      <c r="I842" s="878">
        <v>643315000</v>
      </c>
      <c r="J842" s="878"/>
      <c r="K842" s="878"/>
      <c r="L842" s="878"/>
      <c r="M842" s="878"/>
      <c r="N842" s="878"/>
      <c r="O842" s="878"/>
      <c r="P842" s="878"/>
      <c r="Q842" s="878"/>
      <c r="R842" s="878"/>
      <c r="S842" s="878"/>
      <c r="T842" s="878"/>
      <c r="U842" s="878"/>
      <c r="V842" s="747">
        <f t="shared" si="194"/>
        <v>643315000</v>
      </c>
      <c r="W842" s="747"/>
      <c r="X842" s="747">
        <f t="shared" si="192"/>
        <v>1312441000</v>
      </c>
      <c r="Y842" s="699"/>
    </row>
    <row r="843" spans="1:25" s="658" customFormat="1" ht="22.5">
      <c r="A843" s="803" t="s">
        <v>609</v>
      </c>
      <c r="B843" s="853" t="s">
        <v>2568</v>
      </c>
      <c r="C843" s="877" t="s">
        <v>777</v>
      </c>
      <c r="D843" s="780" t="s">
        <v>448</v>
      </c>
      <c r="E843" s="878">
        <v>30000000000</v>
      </c>
      <c r="F843" s="878">
        <v>278745159</v>
      </c>
      <c r="G843" s="878">
        <v>48611047</v>
      </c>
      <c r="H843" s="878">
        <v>10611047</v>
      </c>
      <c r="I843" s="878">
        <v>38000000</v>
      </c>
      <c r="J843" s="878"/>
      <c r="K843" s="878"/>
      <c r="L843" s="878"/>
      <c r="M843" s="878"/>
      <c r="N843" s="878"/>
      <c r="O843" s="878"/>
      <c r="P843" s="878"/>
      <c r="Q843" s="878"/>
      <c r="R843" s="878"/>
      <c r="S843" s="878"/>
      <c r="T843" s="878"/>
      <c r="U843" s="878"/>
      <c r="V843" s="747">
        <f t="shared" si="194"/>
        <v>38000000</v>
      </c>
      <c r="W843" s="747"/>
      <c r="X843" s="747">
        <f>F843+K843+Q843-H843</f>
        <v>268134112</v>
      </c>
      <c r="Y843" s="699"/>
    </row>
    <row r="844" spans="1:25" s="658" customFormat="1" ht="22.5">
      <c r="A844" s="803" t="s">
        <v>610</v>
      </c>
      <c r="B844" s="853" t="s">
        <v>2569</v>
      </c>
      <c r="C844" s="877" t="s">
        <v>777</v>
      </c>
      <c r="D844" s="780" t="s">
        <v>2570</v>
      </c>
      <c r="E844" s="878">
        <v>2711192465</v>
      </c>
      <c r="F844" s="878">
        <v>53526000</v>
      </c>
      <c r="G844" s="878">
        <v>53526000</v>
      </c>
      <c r="H844" s="878"/>
      <c r="I844" s="878">
        <v>53526000</v>
      </c>
      <c r="J844" s="878"/>
      <c r="K844" s="878"/>
      <c r="L844" s="878"/>
      <c r="M844" s="878"/>
      <c r="N844" s="878"/>
      <c r="O844" s="878"/>
      <c r="P844" s="878"/>
      <c r="Q844" s="878"/>
      <c r="R844" s="878"/>
      <c r="S844" s="878"/>
      <c r="T844" s="878"/>
      <c r="U844" s="878"/>
      <c r="V844" s="747">
        <f t="shared" si="194"/>
        <v>53526000</v>
      </c>
      <c r="W844" s="747"/>
      <c r="X844" s="747">
        <f t="shared" si="192"/>
        <v>53526000</v>
      </c>
      <c r="Y844" s="699"/>
    </row>
    <row r="845" spans="1:25" s="658" customFormat="1" ht="22.5">
      <c r="A845" s="803" t="s">
        <v>611</v>
      </c>
      <c r="B845" s="853" t="s">
        <v>2571</v>
      </c>
      <c r="C845" s="877" t="s">
        <v>777</v>
      </c>
      <c r="D845" s="780" t="s">
        <v>472</v>
      </c>
      <c r="E845" s="878">
        <v>4101184000</v>
      </c>
      <c r="F845" s="878">
        <v>73366045</v>
      </c>
      <c r="G845" s="878">
        <v>73366045</v>
      </c>
      <c r="H845" s="878"/>
      <c r="I845" s="878">
        <v>73366045</v>
      </c>
      <c r="J845" s="878"/>
      <c r="K845" s="878"/>
      <c r="L845" s="878"/>
      <c r="M845" s="878"/>
      <c r="N845" s="878"/>
      <c r="O845" s="878"/>
      <c r="P845" s="878"/>
      <c r="Q845" s="878"/>
      <c r="R845" s="878"/>
      <c r="S845" s="878"/>
      <c r="T845" s="878"/>
      <c r="U845" s="878"/>
      <c r="V845" s="747">
        <f t="shared" si="194"/>
        <v>73366045</v>
      </c>
      <c r="W845" s="747"/>
      <c r="X845" s="747">
        <f t="shared" si="192"/>
        <v>73366045</v>
      </c>
      <c r="Y845" s="699"/>
    </row>
    <row r="846" spans="1:25" s="658" customFormat="1">
      <c r="A846" s="803" t="s">
        <v>612</v>
      </c>
      <c r="B846" s="853" t="s">
        <v>2572</v>
      </c>
      <c r="C846" s="877" t="s">
        <v>777</v>
      </c>
      <c r="D846" s="780" t="s">
        <v>2573</v>
      </c>
      <c r="E846" s="878">
        <v>13826122000</v>
      </c>
      <c r="F846" s="878">
        <v>4206178500</v>
      </c>
      <c r="G846" s="878">
        <v>28812500</v>
      </c>
      <c r="H846" s="878"/>
      <c r="I846" s="878">
        <v>18683000</v>
      </c>
      <c r="J846" s="878"/>
      <c r="K846" s="878"/>
      <c r="L846" s="878"/>
      <c r="M846" s="878"/>
      <c r="N846" s="878"/>
      <c r="O846" s="878"/>
      <c r="P846" s="878"/>
      <c r="Q846" s="878"/>
      <c r="R846" s="878"/>
      <c r="S846" s="878"/>
      <c r="T846" s="878"/>
      <c r="U846" s="878"/>
      <c r="V846" s="747">
        <f t="shared" si="194"/>
        <v>18683000</v>
      </c>
      <c r="W846" s="747">
        <f t="shared" si="193"/>
        <v>10129500</v>
      </c>
      <c r="X846" s="747">
        <f t="shared" si="192"/>
        <v>4206178500</v>
      </c>
      <c r="Y846" s="699"/>
    </row>
    <row r="847" spans="1:25" s="658" customFormat="1" ht="22.5">
      <c r="A847" s="803" t="s">
        <v>613</v>
      </c>
      <c r="B847" s="853" t="s">
        <v>2574</v>
      </c>
      <c r="C847" s="877" t="s">
        <v>777</v>
      </c>
      <c r="D847" s="780" t="s">
        <v>2575</v>
      </c>
      <c r="E847" s="878">
        <v>8467042877</v>
      </c>
      <c r="F847" s="878">
        <v>25522000</v>
      </c>
      <c r="G847" s="878">
        <v>25522000</v>
      </c>
      <c r="H847" s="878"/>
      <c r="I847" s="878"/>
      <c r="J847" s="878"/>
      <c r="K847" s="878"/>
      <c r="L847" s="878"/>
      <c r="M847" s="878"/>
      <c r="N847" s="878"/>
      <c r="O847" s="878"/>
      <c r="P847" s="878"/>
      <c r="Q847" s="878"/>
      <c r="R847" s="878"/>
      <c r="S847" s="878"/>
      <c r="T847" s="878"/>
      <c r="U847" s="878"/>
      <c r="V847" s="747"/>
      <c r="W847" s="747">
        <f t="shared" si="193"/>
        <v>25522000</v>
      </c>
      <c r="X847" s="747">
        <f t="shared" si="192"/>
        <v>25522000</v>
      </c>
      <c r="Y847" s="699"/>
    </row>
    <row r="848" spans="1:25" s="658" customFormat="1" ht="22.5">
      <c r="A848" s="803" t="s">
        <v>614</v>
      </c>
      <c r="B848" s="853" t="s">
        <v>2576</v>
      </c>
      <c r="C848" s="877" t="s">
        <v>777</v>
      </c>
      <c r="D848" s="780" t="s">
        <v>412</v>
      </c>
      <c r="E848" s="878">
        <v>40000000000</v>
      </c>
      <c r="F848" s="878">
        <v>753925133</v>
      </c>
      <c r="G848" s="878">
        <v>18053821</v>
      </c>
      <c r="H848" s="878">
        <v>1280821</v>
      </c>
      <c r="I848" s="878">
        <v>16773000</v>
      </c>
      <c r="J848" s="878"/>
      <c r="K848" s="878"/>
      <c r="L848" s="878"/>
      <c r="M848" s="878"/>
      <c r="N848" s="878"/>
      <c r="O848" s="878"/>
      <c r="P848" s="878"/>
      <c r="Q848" s="878"/>
      <c r="R848" s="878"/>
      <c r="S848" s="878"/>
      <c r="T848" s="878"/>
      <c r="U848" s="878"/>
      <c r="V848" s="747">
        <f>I848+L848+R848</f>
        <v>16773000</v>
      </c>
      <c r="W848" s="747"/>
      <c r="X848" s="747">
        <f>F848+K848+Q848-H848</f>
        <v>752644312</v>
      </c>
      <c r="Y848" s="699"/>
    </row>
    <row r="849" spans="1:25" s="658" customFormat="1">
      <c r="A849" s="803" t="s">
        <v>615</v>
      </c>
      <c r="B849" s="853" t="s">
        <v>2577</v>
      </c>
      <c r="C849" s="877" t="s">
        <v>777</v>
      </c>
      <c r="D849" s="780" t="s">
        <v>2578</v>
      </c>
      <c r="E849" s="878">
        <v>8963780438</v>
      </c>
      <c r="F849" s="878">
        <v>2600000000</v>
      </c>
      <c r="G849" s="878">
        <v>77362000</v>
      </c>
      <c r="H849" s="878"/>
      <c r="I849" s="878">
        <v>77362000</v>
      </c>
      <c r="J849" s="878"/>
      <c r="K849" s="878"/>
      <c r="L849" s="878"/>
      <c r="M849" s="878"/>
      <c r="N849" s="878"/>
      <c r="O849" s="878"/>
      <c r="P849" s="878"/>
      <c r="Q849" s="878"/>
      <c r="R849" s="878"/>
      <c r="S849" s="878"/>
      <c r="T849" s="878"/>
      <c r="U849" s="878"/>
      <c r="V849" s="747">
        <f>I849+L849+R849</f>
        <v>77362000</v>
      </c>
      <c r="W849" s="747"/>
      <c r="X849" s="747">
        <f t="shared" si="192"/>
        <v>2600000000</v>
      </c>
      <c r="Y849" s="699"/>
    </row>
    <row r="850" spans="1:25" s="658" customFormat="1" ht="22.5">
      <c r="A850" s="803" t="s">
        <v>616</v>
      </c>
      <c r="B850" s="853" t="s">
        <v>2579</v>
      </c>
      <c r="C850" s="877" t="s">
        <v>777</v>
      </c>
      <c r="D850" s="780" t="s">
        <v>2580</v>
      </c>
      <c r="E850" s="878">
        <v>1354811678</v>
      </c>
      <c r="F850" s="878">
        <v>1258792300</v>
      </c>
      <c r="G850" s="878">
        <v>27090000</v>
      </c>
      <c r="H850" s="878"/>
      <c r="I850" s="878">
        <v>27090000</v>
      </c>
      <c r="J850" s="878"/>
      <c r="K850" s="878"/>
      <c r="L850" s="878"/>
      <c r="M850" s="878"/>
      <c r="N850" s="878"/>
      <c r="O850" s="878"/>
      <c r="P850" s="878"/>
      <c r="Q850" s="878"/>
      <c r="R850" s="878"/>
      <c r="S850" s="878"/>
      <c r="T850" s="878"/>
      <c r="U850" s="878"/>
      <c r="V850" s="747">
        <f>I850+L850+R850</f>
        <v>27090000</v>
      </c>
      <c r="W850" s="747"/>
      <c r="X850" s="747">
        <f t="shared" ref="X850:X913" si="195">F850+K850+Q850</f>
        <v>1258792300</v>
      </c>
      <c r="Y850" s="699"/>
    </row>
    <row r="851" spans="1:25" s="658" customFormat="1" ht="22.5">
      <c r="A851" s="803" t="s">
        <v>617</v>
      </c>
      <c r="B851" s="853" t="s">
        <v>2581</v>
      </c>
      <c r="C851" s="877" t="s">
        <v>777</v>
      </c>
      <c r="D851" s="780" t="s">
        <v>418</v>
      </c>
      <c r="E851" s="878">
        <v>4494692540</v>
      </c>
      <c r="F851" s="878">
        <v>90244000</v>
      </c>
      <c r="G851" s="878">
        <v>90244000</v>
      </c>
      <c r="H851" s="878"/>
      <c r="I851" s="878">
        <v>90244000</v>
      </c>
      <c r="J851" s="878"/>
      <c r="K851" s="878"/>
      <c r="L851" s="878"/>
      <c r="M851" s="878"/>
      <c r="N851" s="878"/>
      <c r="O851" s="878"/>
      <c r="P851" s="878"/>
      <c r="Q851" s="878"/>
      <c r="R851" s="878"/>
      <c r="S851" s="878"/>
      <c r="T851" s="878"/>
      <c r="U851" s="878"/>
      <c r="V851" s="747">
        <f>I851+L851+R851</f>
        <v>90244000</v>
      </c>
      <c r="W851" s="747"/>
      <c r="X851" s="747">
        <f t="shared" si="195"/>
        <v>90244000</v>
      </c>
      <c r="Y851" s="699"/>
    </row>
    <row r="852" spans="1:25" s="658" customFormat="1" ht="22.5">
      <c r="A852" s="803" t="s">
        <v>618</v>
      </c>
      <c r="B852" s="853" t="s">
        <v>2582</v>
      </c>
      <c r="C852" s="877" t="s">
        <v>777</v>
      </c>
      <c r="D852" s="780" t="s">
        <v>2583</v>
      </c>
      <c r="E852" s="878">
        <v>6012444000</v>
      </c>
      <c r="F852" s="878">
        <v>2059264500</v>
      </c>
      <c r="G852" s="878">
        <v>67677000</v>
      </c>
      <c r="H852" s="878"/>
      <c r="I852" s="878"/>
      <c r="J852" s="878"/>
      <c r="K852" s="878"/>
      <c r="L852" s="878"/>
      <c r="M852" s="878"/>
      <c r="N852" s="878"/>
      <c r="O852" s="878"/>
      <c r="P852" s="878"/>
      <c r="Q852" s="878"/>
      <c r="R852" s="878"/>
      <c r="S852" s="878"/>
      <c r="T852" s="878"/>
      <c r="U852" s="878"/>
      <c r="V852" s="747"/>
      <c r="W852" s="747">
        <f t="shared" si="193"/>
        <v>67677000</v>
      </c>
      <c r="X852" s="747">
        <f t="shared" si="195"/>
        <v>2059264500</v>
      </c>
      <c r="Y852" s="699"/>
    </row>
    <row r="853" spans="1:25" s="658" customFormat="1">
      <c r="A853" s="803" t="s">
        <v>619</v>
      </c>
      <c r="B853" s="853" t="s">
        <v>2584</v>
      </c>
      <c r="C853" s="877" t="s">
        <v>777</v>
      </c>
      <c r="D853" s="780" t="s">
        <v>2585</v>
      </c>
      <c r="E853" s="878">
        <v>11412289000</v>
      </c>
      <c r="F853" s="878">
        <v>5183000000</v>
      </c>
      <c r="G853" s="878">
        <v>21008000</v>
      </c>
      <c r="H853" s="878"/>
      <c r="I853" s="878">
        <v>21008000</v>
      </c>
      <c r="J853" s="878"/>
      <c r="K853" s="878"/>
      <c r="L853" s="878"/>
      <c r="M853" s="878"/>
      <c r="N853" s="878"/>
      <c r="O853" s="878"/>
      <c r="P853" s="878"/>
      <c r="Q853" s="878"/>
      <c r="R853" s="878"/>
      <c r="S853" s="878"/>
      <c r="T853" s="878"/>
      <c r="U853" s="878"/>
      <c r="V853" s="747">
        <f>I853+L853+R853</f>
        <v>21008000</v>
      </c>
      <c r="W853" s="747"/>
      <c r="X853" s="747">
        <f t="shared" si="195"/>
        <v>5183000000</v>
      </c>
      <c r="Y853" s="699"/>
    </row>
    <row r="854" spans="1:25" s="658" customFormat="1">
      <c r="A854" s="803" t="s">
        <v>620</v>
      </c>
      <c r="B854" s="853" t="s">
        <v>2586</v>
      </c>
      <c r="C854" s="877" t="s">
        <v>777</v>
      </c>
      <c r="D854" s="780" t="s">
        <v>2587</v>
      </c>
      <c r="E854" s="878">
        <v>13170100000</v>
      </c>
      <c r="F854" s="878">
        <v>4457704000</v>
      </c>
      <c r="G854" s="878">
        <v>8560000</v>
      </c>
      <c r="H854" s="878"/>
      <c r="I854" s="878">
        <v>8560000</v>
      </c>
      <c r="J854" s="878"/>
      <c r="K854" s="878"/>
      <c r="L854" s="878"/>
      <c r="M854" s="878"/>
      <c r="N854" s="878"/>
      <c r="O854" s="878"/>
      <c r="P854" s="878"/>
      <c r="Q854" s="878"/>
      <c r="R854" s="878"/>
      <c r="S854" s="878"/>
      <c r="T854" s="878"/>
      <c r="U854" s="878"/>
      <c r="V854" s="747">
        <f>I854+L854+R854</f>
        <v>8560000</v>
      </c>
      <c r="W854" s="747"/>
      <c r="X854" s="747">
        <f t="shared" si="195"/>
        <v>4457704000</v>
      </c>
      <c r="Y854" s="699"/>
    </row>
    <row r="855" spans="1:25" s="658" customFormat="1">
      <c r="A855" s="803" t="s">
        <v>621</v>
      </c>
      <c r="B855" s="853" t="s">
        <v>2588</v>
      </c>
      <c r="C855" s="877" t="s">
        <v>777</v>
      </c>
      <c r="D855" s="780" t="s">
        <v>2589</v>
      </c>
      <c r="E855" s="878">
        <v>2454345330</v>
      </c>
      <c r="F855" s="878">
        <v>980000000</v>
      </c>
      <c r="G855" s="878">
        <v>980000000</v>
      </c>
      <c r="H855" s="878"/>
      <c r="I855" s="878"/>
      <c r="J855" s="878"/>
      <c r="K855" s="878"/>
      <c r="L855" s="878"/>
      <c r="M855" s="878"/>
      <c r="N855" s="878"/>
      <c r="O855" s="878"/>
      <c r="P855" s="878"/>
      <c r="Q855" s="878"/>
      <c r="R855" s="878"/>
      <c r="S855" s="878"/>
      <c r="T855" s="878"/>
      <c r="U855" s="878"/>
      <c r="V855" s="747"/>
      <c r="W855" s="747">
        <f t="shared" si="193"/>
        <v>980000000</v>
      </c>
      <c r="X855" s="747">
        <f t="shared" si="195"/>
        <v>980000000</v>
      </c>
      <c r="Y855" s="699"/>
    </row>
    <row r="856" spans="1:25" s="658" customFormat="1">
      <c r="A856" s="803" t="s">
        <v>622</v>
      </c>
      <c r="B856" s="853" t="s">
        <v>2590</v>
      </c>
      <c r="C856" s="877" t="s">
        <v>777</v>
      </c>
      <c r="D856" s="780" t="s">
        <v>2591</v>
      </c>
      <c r="E856" s="878">
        <v>2920159000</v>
      </c>
      <c r="F856" s="878">
        <v>2367194000</v>
      </c>
      <c r="G856" s="878">
        <v>46232000</v>
      </c>
      <c r="H856" s="878"/>
      <c r="I856" s="878">
        <v>46232000</v>
      </c>
      <c r="J856" s="878"/>
      <c r="K856" s="878"/>
      <c r="L856" s="878"/>
      <c r="M856" s="878"/>
      <c r="N856" s="878"/>
      <c r="O856" s="878"/>
      <c r="P856" s="878"/>
      <c r="Q856" s="878"/>
      <c r="R856" s="878"/>
      <c r="S856" s="878"/>
      <c r="T856" s="878"/>
      <c r="U856" s="878"/>
      <c r="V856" s="747">
        <f>I856+L856+R856</f>
        <v>46232000</v>
      </c>
      <c r="W856" s="747"/>
      <c r="X856" s="747">
        <f t="shared" si="195"/>
        <v>2367194000</v>
      </c>
      <c r="Y856" s="699"/>
    </row>
    <row r="857" spans="1:25" s="658" customFormat="1">
      <c r="A857" s="803" t="s">
        <v>623</v>
      </c>
      <c r="B857" s="853" t="s">
        <v>2592</v>
      </c>
      <c r="C857" s="877" t="s">
        <v>777</v>
      </c>
      <c r="D857" s="780" t="s">
        <v>2593</v>
      </c>
      <c r="E857" s="878">
        <v>982190000</v>
      </c>
      <c r="F857" s="878">
        <v>49542000</v>
      </c>
      <c r="G857" s="878">
        <v>49542000</v>
      </c>
      <c r="H857" s="878"/>
      <c r="I857" s="878"/>
      <c r="J857" s="878"/>
      <c r="K857" s="878"/>
      <c r="L857" s="878"/>
      <c r="M857" s="878"/>
      <c r="N857" s="878"/>
      <c r="O857" s="878"/>
      <c r="P857" s="878"/>
      <c r="Q857" s="878"/>
      <c r="R857" s="878"/>
      <c r="S857" s="878"/>
      <c r="T857" s="878"/>
      <c r="U857" s="878"/>
      <c r="V857" s="747"/>
      <c r="W857" s="747">
        <f t="shared" si="193"/>
        <v>49542000</v>
      </c>
      <c r="X857" s="747">
        <f t="shared" si="195"/>
        <v>49542000</v>
      </c>
      <c r="Y857" s="699"/>
    </row>
    <row r="858" spans="1:25" s="658" customFormat="1" ht="22.5">
      <c r="A858" s="803" t="s">
        <v>624</v>
      </c>
      <c r="B858" s="853" t="s">
        <v>2594</v>
      </c>
      <c r="C858" s="877" t="s">
        <v>777</v>
      </c>
      <c r="D858" s="780" t="s">
        <v>785</v>
      </c>
      <c r="E858" s="878">
        <v>2877568000</v>
      </c>
      <c r="F858" s="878">
        <v>2412979000</v>
      </c>
      <c r="G858" s="878">
        <v>46965000</v>
      </c>
      <c r="H858" s="878"/>
      <c r="I858" s="878">
        <v>46965000</v>
      </c>
      <c r="J858" s="878"/>
      <c r="K858" s="878"/>
      <c r="L858" s="878"/>
      <c r="M858" s="878"/>
      <c r="N858" s="878"/>
      <c r="O858" s="878"/>
      <c r="P858" s="878"/>
      <c r="Q858" s="878"/>
      <c r="R858" s="878"/>
      <c r="S858" s="878"/>
      <c r="T858" s="878"/>
      <c r="U858" s="878"/>
      <c r="V858" s="747">
        <f>I858+L858+R858</f>
        <v>46965000</v>
      </c>
      <c r="W858" s="747"/>
      <c r="X858" s="747">
        <f t="shared" si="195"/>
        <v>2412979000</v>
      </c>
      <c r="Y858" s="699"/>
    </row>
    <row r="859" spans="1:25" s="658" customFormat="1">
      <c r="A859" s="803" t="s">
        <v>625</v>
      </c>
      <c r="B859" s="853" t="s">
        <v>2595</v>
      </c>
      <c r="C859" s="877" t="s">
        <v>777</v>
      </c>
      <c r="D859" s="780" t="s">
        <v>2596</v>
      </c>
      <c r="E859" s="878">
        <v>851989144</v>
      </c>
      <c r="F859" s="878">
        <v>400000000</v>
      </c>
      <c r="G859" s="878">
        <v>379154000</v>
      </c>
      <c r="H859" s="878"/>
      <c r="I859" s="878">
        <v>312318000</v>
      </c>
      <c r="J859" s="878"/>
      <c r="K859" s="878"/>
      <c r="L859" s="878"/>
      <c r="M859" s="878"/>
      <c r="N859" s="878"/>
      <c r="O859" s="878"/>
      <c r="P859" s="878"/>
      <c r="Q859" s="878"/>
      <c r="R859" s="878"/>
      <c r="S859" s="878"/>
      <c r="T859" s="878"/>
      <c r="U859" s="878"/>
      <c r="V859" s="747">
        <f>I859+L859+R859</f>
        <v>312318000</v>
      </c>
      <c r="W859" s="747">
        <f t="shared" si="193"/>
        <v>66836000</v>
      </c>
      <c r="X859" s="747">
        <f t="shared" si="195"/>
        <v>400000000</v>
      </c>
      <c r="Y859" s="699"/>
    </row>
    <row r="860" spans="1:25" s="658" customFormat="1">
      <c r="A860" s="836" t="s">
        <v>109</v>
      </c>
      <c r="B860" s="775" t="s">
        <v>2597</v>
      </c>
      <c r="C860" s="870"/>
      <c r="D860" s="782"/>
      <c r="E860" s="871"/>
      <c r="F860" s="871">
        <f>F861+F893+F922</f>
        <v>307812772026</v>
      </c>
      <c r="G860" s="871">
        <f t="shared" ref="G860:U860" si="196">G861+G893+G922</f>
        <v>93073682346</v>
      </c>
      <c r="H860" s="871">
        <f t="shared" si="196"/>
        <v>1717906582</v>
      </c>
      <c r="I860" s="871">
        <f t="shared" si="196"/>
        <v>20575386618</v>
      </c>
      <c r="J860" s="871">
        <f t="shared" si="196"/>
        <v>0</v>
      </c>
      <c r="K860" s="871">
        <f t="shared" si="196"/>
        <v>0</v>
      </c>
      <c r="L860" s="871">
        <f t="shared" si="196"/>
        <v>0</v>
      </c>
      <c r="M860" s="871">
        <f t="shared" si="196"/>
        <v>0</v>
      </c>
      <c r="N860" s="871">
        <f t="shared" si="196"/>
        <v>0</v>
      </c>
      <c r="O860" s="871">
        <f t="shared" si="196"/>
        <v>0</v>
      </c>
      <c r="P860" s="871">
        <f t="shared" si="196"/>
        <v>0</v>
      </c>
      <c r="Q860" s="871">
        <f t="shared" si="196"/>
        <v>0</v>
      </c>
      <c r="R860" s="871">
        <f t="shared" si="196"/>
        <v>0</v>
      </c>
      <c r="S860" s="871">
        <f t="shared" si="196"/>
        <v>0</v>
      </c>
      <c r="T860" s="871">
        <f t="shared" si="196"/>
        <v>0</v>
      </c>
      <c r="U860" s="871">
        <f t="shared" si="196"/>
        <v>0</v>
      </c>
      <c r="V860" s="871">
        <f>V861+V893+V922</f>
        <v>20575386618</v>
      </c>
      <c r="W860" s="871">
        <f>W861+W893+W922</f>
        <v>70780389146</v>
      </c>
      <c r="X860" s="871">
        <f>X861+X893+X922</f>
        <v>306094865444</v>
      </c>
    </row>
    <row r="861" spans="1:25" s="658" customFormat="1">
      <c r="A861" s="872">
        <v>1</v>
      </c>
      <c r="B861" s="873" t="s">
        <v>2598</v>
      </c>
      <c r="C861" s="874"/>
      <c r="D861" s="875"/>
      <c r="E861" s="876"/>
      <c r="F861" s="876">
        <f>SUM(F862:F892)</f>
        <v>64917672846</v>
      </c>
      <c r="G861" s="876">
        <f t="shared" ref="G861:U861" si="197">SUM(G862:G892)</f>
        <v>24737083376</v>
      </c>
      <c r="H861" s="876">
        <f t="shared" si="197"/>
        <v>463845706</v>
      </c>
      <c r="I861" s="876">
        <f t="shared" si="197"/>
        <v>5566758826</v>
      </c>
      <c r="J861" s="876">
        <f t="shared" si="197"/>
        <v>0</v>
      </c>
      <c r="K861" s="876">
        <f t="shared" si="197"/>
        <v>0</v>
      </c>
      <c r="L861" s="876">
        <f t="shared" si="197"/>
        <v>0</v>
      </c>
      <c r="M861" s="876">
        <f t="shared" si="197"/>
        <v>0</v>
      </c>
      <c r="N861" s="876">
        <f t="shared" si="197"/>
        <v>0</v>
      </c>
      <c r="O861" s="876">
        <f t="shared" si="197"/>
        <v>0</v>
      </c>
      <c r="P861" s="876">
        <f t="shared" si="197"/>
        <v>0</v>
      </c>
      <c r="Q861" s="876">
        <f t="shared" si="197"/>
        <v>0</v>
      </c>
      <c r="R861" s="876">
        <f t="shared" si="197"/>
        <v>0</v>
      </c>
      <c r="S861" s="876">
        <f t="shared" si="197"/>
        <v>0</v>
      </c>
      <c r="T861" s="876">
        <f t="shared" si="197"/>
        <v>0</v>
      </c>
      <c r="U861" s="876">
        <f t="shared" si="197"/>
        <v>0</v>
      </c>
      <c r="V861" s="876">
        <f>SUM(V862:V892)</f>
        <v>5566758826</v>
      </c>
      <c r="W861" s="876">
        <f>SUM(W862:W892)</f>
        <v>18706478844</v>
      </c>
      <c r="X861" s="876">
        <f>SUM(X862:X892)</f>
        <v>64453827140</v>
      </c>
    </row>
    <row r="862" spans="1:25" s="658" customFormat="1">
      <c r="A862" s="803" t="s">
        <v>104</v>
      </c>
      <c r="B862" s="853" t="s">
        <v>2599</v>
      </c>
      <c r="C862" s="877" t="s">
        <v>777</v>
      </c>
      <c r="D862" s="780" t="s">
        <v>2600</v>
      </c>
      <c r="E862" s="878">
        <v>25691154000</v>
      </c>
      <c r="F862" s="878">
        <v>72000000</v>
      </c>
      <c r="G862" s="878">
        <v>72000000</v>
      </c>
      <c r="H862" s="878"/>
      <c r="I862" s="878"/>
      <c r="J862" s="878"/>
      <c r="K862" s="878"/>
      <c r="L862" s="878"/>
      <c r="M862" s="878"/>
      <c r="N862" s="878"/>
      <c r="O862" s="878"/>
      <c r="P862" s="878"/>
      <c r="Q862" s="878"/>
      <c r="R862" s="878"/>
      <c r="S862" s="878"/>
      <c r="T862" s="878"/>
      <c r="U862" s="878"/>
      <c r="V862" s="747"/>
      <c r="W862" s="747">
        <f t="shared" si="193"/>
        <v>72000000</v>
      </c>
      <c r="X862" s="747">
        <f t="shared" si="195"/>
        <v>72000000</v>
      </c>
    </row>
    <row r="863" spans="1:25" s="658" customFormat="1" ht="22.5">
      <c r="A863" s="803" t="s">
        <v>105</v>
      </c>
      <c r="B863" s="853" t="s">
        <v>2601</v>
      </c>
      <c r="C863" s="877" t="s">
        <v>777</v>
      </c>
      <c r="D863" s="780" t="s">
        <v>2602</v>
      </c>
      <c r="E863" s="878">
        <v>24068962000</v>
      </c>
      <c r="F863" s="878">
        <v>270602000</v>
      </c>
      <c r="G863" s="878">
        <v>270602000</v>
      </c>
      <c r="H863" s="878"/>
      <c r="I863" s="878"/>
      <c r="J863" s="878"/>
      <c r="K863" s="878"/>
      <c r="L863" s="878"/>
      <c r="M863" s="878"/>
      <c r="N863" s="878"/>
      <c r="O863" s="878"/>
      <c r="P863" s="878"/>
      <c r="Q863" s="878"/>
      <c r="R863" s="878"/>
      <c r="S863" s="878"/>
      <c r="T863" s="878"/>
      <c r="U863" s="878"/>
      <c r="V863" s="747"/>
      <c r="W863" s="747">
        <f t="shared" si="193"/>
        <v>270602000</v>
      </c>
      <c r="X863" s="747">
        <f t="shared" si="195"/>
        <v>270602000</v>
      </c>
    </row>
    <row r="864" spans="1:25" s="658" customFormat="1" ht="22.5">
      <c r="A864" s="803" t="s">
        <v>106</v>
      </c>
      <c r="B864" s="853" t="s">
        <v>2603</v>
      </c>
      <c r="C864" s="877" t="s">
        <v>777</v>
      </c>
      <c r="D864" s="780" t="s">
        <v>2604</v>
      </c>
      <c r="E864" s="878">
        <v>44245912000</v>
      </c>
      <c r="F864" s="878">
        <v>3376210000</v>
      </c>
      <c r="G864" s="878">
        <v>3376210000</v>
      </c>
      <c r="H864" s="878"/>
      <c r="I864" s="878"/>
      <c r="J864" s="878"/>
      <c r="K864" s="878"/>
      <c r="L864" s="878"/>
      <c r="M864" s="878"/>
      <c r="N864" s="878"/>
      <c r="O864" s="878"/>
      <c r="P864" s="878"/>
      <c r="Q864" s="878"/>
      <c r="R864" s="878"/>
      <c r="S864" s="878"/>
      <c r="T864" s="878"/>
      <c r="U864" s="878"/>
      <c r="V864" s="747"/>
      <c r="W864" s="747">
        <f t="shared" si="193"/>
        <v>3376210000</v>
      </c>
      <c r="X864" s="747">
        <f t="shared" si="195"/>
        <v>3376210000</v>
      </c>
    </row>
    <row r="865" spans="1:24" s="658" customFormat="1" ht="22.5">
      <c r="A865" s="803" t="s">
        <v>128</v>
      </c>
      <c r="B865" s="853" t="s">
        <v>2605</v>
      </c>
      <c r="C865" s="877" t="s">
        <v>777</v>
      </c>
      <c r="D865" s="780" t="s">
        <v>2606</v>
      </c>
      <c r="E865" s="878">
        <v>88555410000</v>
      </c>
      <c r="F865" s="878">
        <v>234848000</v>
      </c>
      <c r="G865" s="878">
        <v>234848000</v>
      </c>
      <c r="H865" s="878"/>
      <c r="I865" s="878"/>
      <c r="J865" s="878"/>
      <c r="K865" s="878"/>
      <c r="L865" s="878"/>
      <c r="M865" s="878"/>
      <c r="N865" s="878"/>
      <c r="O865" s="878"/>
      <c r="P865" s="878"/>
      <c r="Q865" s="878"/>
      <c r="R865" s="878"/>
      <c r="S865" s="878"/>
      <c r="T865" s="878"/>
      <c r="U865" s="878"/>
      <c r="V865" s="747"/>
      <c r="W865" s="747">
        <f t="shared" si="193"/>
        <v>234848000</v>
      </c>
      <c r="X865" s="747">
        <f t="shared" si="195"/>
        <v>234848000</v>
      </c>
    </row>
    <row r="866" spans="1:24" s="658" customFormat="1">
      <c r="A866" s="803" t="s">
        <v>359</v>
      </c>
      <c r="B866" s="853" t="s">
        <v>2607</v>
      </c>
      <c r="C866" s="877" t="s">
        <v>777</v>
      </c>
      <c r="D866" s="780" t="s">
        <v>2608</v>
      </c>
      <c r="E866" s="878">
        <v>2000000000</v>
      </c>
      <c r="F866" s="878">
        <v>24961350</v>
      </c>
      <c r="G866" s="878">
        <v>24961350</v>
      </c>
      <c r="H866" s="878"/>
      <c r="I866" s="878"/>
      <c r="J866" s="878"/>
      <c r="K866" s="878"/>
      <c r="L866" s="878"/>
      <c r="M866" s="878"/>
      <c r="N866" s="878"/>
      <c r="O866" s="878"/>
      <c r="P866" s="878"/>
      <c r="Q866" s="878"/>
      <c r="R866" s="878"/>
      <c r="S866" s="878"/>
      <c r="T866" s="878"/>
      <c r="U866" s="878"/>
      <c r="V866" s="747"/>
      <c r="W866" s="747">
        <f t="shared" si="193"/>
        <v>24961350</v>
      </c>
      <c r="X866" s="747">
        <f t="shared" si="195"/>
        <v>24961350</v>
      </c>
    </row>
    <row r="867" spans="1:24" s="658" customFormat="1">
      <c r="A867" s="803" t="s">
        <v>107</v>
      </c>
      <c r="B867" s="853" t="s">
        <v>2609</v>
      </c>
      <c r="C867" s="877" t="s">
        <v>777</v>
      </c>
      <c r="D867" s="780" t="s">
        <v>2610</v>
      </c>
      <c r="E867" s="878">
        <v>8873919000</v>
      </c>
      <c r="F867" s="878">
        <v>147375000</v>
      </c>
      <c r="G867" s="878">
        <v>147375000</v>
      </c>
      <c r="H867" s="878"/>
      <c r="I867" s="878"/>
      <c r="J867" s="878"/>
      <c r="K867" s="878"/>
      <c r="L867" s="878"/>
      <c r="M867" s="878"/>
      <c r="N867" s="878"/>
      <c r="O867" s="878"/>
      <c r="P867" s="878"/>
      <c r="Q867" s="878"/>
      <c r="R867" s="878"/>
      <c r="S867" s="878"/>
      <c r="T867" s="878"/>
      <c r="U867" s="878"/>
      <c r="V867" s="747"/>
      <c r="W867" s="747">
        <f t="shared" si="193"/>
        <v>147375000</v>
      </c>
      <c r="X867" s="747">
        <f t="shared" si="195"/>
        <v>147375000</v>
      </c>
    </row>
    <row r="868" spans="1:24" s="658" customFormat="1">
      <c r="A868" s="803" t="s">
        <v>433</v>
      </c>
      <c r="B868" s="853" t="s">
        <v>2611</v>
      </c>
      <c r="C868" s="877" t="s">
        <v>777</v>
      </c>
      <c r="D868" s="780" t="s">
        <v>2612</v>
      </c>
      <c r="E868" s="878">
        <v>659540000</v>
      </c>
      <c r="F868" s="878">
        <v>533996000</v>
      </c>
      <c r="G868" s="878">
        <v>533996000</v>
      </c>
      <c r="H868" s="878"/>
      <c r="I868" s="878"/>
      <c r="J868" s="878"/>
      <c r="K868" s="878"/>
      <c r="L868" s="878"/>
      <c r="M868" s="878"/>
      <c r="N868" s="878"/>
      <c r="O868" s="878"/>
      <c r="P868" s="878"/>
      <c r="Q868" s="878"/>
      <c r="R868" s="878"/>
      <c r="S868" s="878"/>
      <c r="T868" s="878"/>
      <c r="U868" s="878"/>
      <c r="V868" s="747"/>
      <c r="W868" s="747">
        <f t="shared" si="193"/>
        <v>533996000</v>
      </c>
      <c r="X868" s="747">
        <f t="shared" si="195"/>
        <v>533996000</v>
      </c>
    </row>
    <row r="869" spans="1:24" s="658" customFormat="1">
      <c r="A869" s="803" t="s">
        <v>434</v>
      </c>
      <c r="B869" s="853" t="s">
        <v>2613</v>
      </c>
      <c r="C869" s="877" t="s">
        <v>777</v>
      </c>
      <c r="D869" s="780" t="s">
        <v>2614</v>
      </c>
      <c r="E869" s="878"/>
      <c r="F869" s="878">
        <v>3387228700</v>
      </c>
      <c r="G869" s="878">
        <v>3387228700</v>
      </c>
      <c r="H869" s="878"/>
      <c r="I869" s="878"/>
      <c r="J869" s="878"/>
      <c r="K869" s="878"/>
      <c r="L869" s="878"/>
      <c r="M869" s="878"/>
      <c r="N869" s="878"/>
      <c r="O869" s="878"/>
      <c r="P869" s="878"/>
      <c r="Q869" s="878"/>
      <c r="R869" s="878"/>
      <c r="S869" s="878"/>
      <c r="T869" s="878"/>
      <c r="U869" s="878"/>
      <c r="V869" s="747"/>
      <c r="W869" s="747">
        <f t="shared" si="193"/>
        <v>3387228700</v>
      </c>
      <c r="X869" s="747">
        <f t="shared" si="195"/>
        <v>3387228700</v>
      </c>
    </row>
    <row r="870" spans="1:24" s="658" customFormat="1" ht="22.5">
      <c r="A870" s="803" t="s">
        <v>436</v>
      </c>
      <c r="B870" s="853" t="s">
        <v>2615</v>
      </c>
      <c r="C870" s="877" t="s">
        <v>777</v>
      </c>
      <c r="D870" s="780" t="s">
        <v>2616</v>
      </c>
      <c r="E870" s="878">
        <v>416700000000</v>
      </c>
      <c r="F870" s="878">
        <v>17545287560</v>
      </c>
      <c r="G870" s="878">
        <v>2174287560</v>
      </c>
      <c r="H870" s="878"/>
      <c r="I870" s="878"/>
      <c r="J870" s="878"/>
      <c r="K870" s="878"/>
      <c r="L870" s="878"/>
      <c r="M870" s="878"/>
      <c r="N870" s="878"/>
      <c r="O870" s="878"/>
      <c r="P870" s="878"/>
      <c r="Q870" s="878"/>
      <c r="R870" s="878"/>
      <c r="S870" s="878"/>
      <c r="T870" s="878"/>
      <c r="U870" s="878"/>
      <c r="V870" s="747"/>
      <c r="W870" s="747">
        <f t="shared" si="193"/>
        <v>2174287560</v>
      </c>
      <c r="X870" s="747">
        <f t="shared" si="195"/>
        <v>17545287560</v>
      </c>
    </row>
    <row r="871" spans="1:24" s="658" customFormat="1">
      <c r="A871" s="803" t="s">
        <v>438</v>
      </c>
      <c r="B871" s="853" t="s">
        <v>2617</v>
      </c>
      <c r="C871" s="877" t="s">
        <v>777</v>
      </c>
      <c r="D871" s="780" t="s">
        <v>2616</v>
      </c>
      <c r="E871" s="878">
        <v>416700000000</v>
      </c>
      <c r="F871" s="878">
        <v>13211082000</v>
      </c>
      <c r="G871" s="878">
        <v>2142500000</v>
      </c>
      <c r="H871" s="878"/>
      <c r="I871" s="878"/>
      <c r="J871" s="878"/>
      <c r="K871" s="878"/>
      <c r="L871" s="878"/>
      <c r="M871" s="878"/>
      <c r="N871" s="878"/>
      <c r="O871" s="878"/>
      <c r="P871" s="878"/>
      <c r="Q871" s="878"/>
      <c r="R871" s="878"/>
      <c r="S871" s="878"/>
      <c r="T871" s="878"/>
      <c r="U871" s="878"/>
      <c r="V871" s="747"/>
      <c r="W871" s="747">
        <f t="shared" si="193"/>
        <v>2142500000</v>
      </c>
      <c r="X871" s="747">
        <f t="shared" si="195"/>
        <v>13211082000</v>
      </c>
    </row>
    <row r="872" spans="1:24" s="658" customFormat="1" ht="22.5">
      <c r="A872" s="803" t="s">
        <v>440</v>
      </c>
      <c r="B872" s="853" t="s">
        <v>2618</v>
      </c>
      <c r="C872" s="877" t="s">
        <v>777</v>
      </c>
      <c r="D872" s="780" t="s">
        <v>2619</v>
      </c>
      <c r="E872" s="878">
        <v>1001110000</v>
      </c>
      <c r="F872" s="878">
        <v>254110000</v>
      </c>
      <c r="G872" s="878">
        <v>254110000</v>
      </c>
      <c r="H872" s="878"/>
      <c r="I872" s="878"/>
      <c r="J872" s="878"/>
      <c r="K872" s="878"/>
      <c r="L872" s="878"/>
      <c r="M872" s="878"/>
      <c r="N872" s="878"/>
      <c r="O872" s="878"/>
      <c r="P872" s="878"/>
      <c r="Q872" s="878"/>
      <c r="R872" s="878"/>
      <c r="S872" s="878"/>
      <c r="T872" s="878"/>
      <c r="U872" s="878"/>
      <c r="V872" s="747"/>
      <c r="W872" s="747">
        <f t="shared" si="193"/>
        <v>254110000</v>
      </c>
      <c r="X872" s="747">
        <f t="shared" si="195"/>
        <v>254110000</v>
      </c>
    </row>
    <row r="873" spans="1:24" s="658" customFormat="1" ht="22.5">
      <c r="A873" s="803" t="s">
        <v>441</v>
      </c>
      <c r="B873" s="853" t="s">
        <v>2620</v>
      </c>
      <c r="C873" s="877" t="s">
        <v>777</v>
      </c>
      <c r="D873" s="780" t="s">
        <v>2621</v>
      </c>
      <c r="E873" s="878">
        <v>69781000000</v>
      </c>
      <c r="F873" s="878">
        <v>111000000</v>
      </c>
      <c r="G873" s="878">
        <v>111000000</v>
      </c>
      <c r="H873" s="878"/>
      <c r="I873" s="878"/>
      <c r="J873" s="878"/>
      <c r="K873" s="878"/>
      <c r="L873" s="878"/>
      <c r="M873" s="878"/>
      <c r="N873" s="878"/>
      <c r="O873" s="878"/>
      <c r="P873" s="878"/>
      <c r="Q873" s="878"/>
      <c r="R873" s="878"/>
      <c r="S873" s="878"/>
      <c r="T873" s="878"/>
      <c r="U873" s="878"/>
      <c r="V873" s="747"/>
      <c r="W873" s="747">
        <f t="shared" si="193"/>
        <v>111000000</v>
      </c>
      <c r="X873" s="747">
        <f t="shared" si="195"/>
        <v>111000000</v>
      </c>
    </row>
    <row r="874" spans="1:24" s="658" customFormat="1" ht="22.5">
      <c r="A874" s="803" t="s">
        <v>442</v>
      </c>
      <c r="B874" s="853" t="s">
        <v>2622</v>
      </c>
      <c r="C874" s="877" t="s">
        <v>777</v>
      </c>
      <c r="D874" s="780" t="s">
        <v>2623</v>
      </c>
      <c r="E874" s="878">
        <v>1888965000</v>
      </c>
      <c r="F874" s="878">
        <v>232500000</v>
      </c>
      <c r="G874" s="878">
        <v>232500000</v>
      </c>
      <c r="H874" s="878"/>
      <c r="I874" s="878"/>
      <c r="J874" s="878"/>
      <c r="K874" s="878"/>
      <c r="L874" s="878"/>
      <c r="M874" s="878"/>
      <c r="N874" s="878"/>
      <c r="O874" s="878"/>
      <c r="P874" s="878"/>
      <c r="Q874" s="878"/>
      <c r="R874" s="878"/>
      <c r="S874" s="878"/>
      <c r="T874" s="878"/>
      <c r="U874" s="878"/>
      <c r="V874" s="747"/>
      <c r="W874" s="747">
        <f t="shared" si="193"/>
        <v>232500000</v>
      </c>
      <c r="X874" s="747">
        <f t="shared" si="195"/>
        <v>232500000</v>
      </c>
    </row>
    <row r="875" spans="1:24" s="658" customFormat="1" ht="22.5">
      <c r="A875" s="803" t="s">
        <v>443</v>
      </c>
      <c r="B875" s="853" t="s">
        <v>2624</v>
      </c>
      <c r="C875" s="877" t="s">
        <v>777</v>
      </c>
      <c r="D875" s="780" t="s">
        <v>2625</v>
      </c>
      <c r="E875" s="878">
        <v>164389415384</v>
      </c>
      <c r="F875" s="878">
        <v>282653000</v>
      </c>
      <c r="G875" s="878">
        <v>282653000</v>
      </c>
      <c r="H875" s="878"/>
      <c r="I875" s="878"/>
      <c r="J875" s="878"/>
      <c r="K875" s="878"/>
      <c r="L875" s="878"/>
      <c r="M875" s="878"/>
      <c r="N875" s="878"/>
      <c r="O875" s="878"/>
      <c r="P875" s="878"/>
      <c r="Q875" s="878"/>
      <c r="R875" s="878"/>
      <c r="S875" s="878"/>
      <c r="T875" s="878"/>
      <c r="U875" s="878"/>
      <c r="V875" s="747"/>
      <c r="W875" s="747">
        <f t="shared" si="193"/>
        <v>282653000</v>
      </c>
      <c r="X875" s="747">
        <f t="shared" si="195"/>
        <v>282653000</v>
      </c>
    </row>
    <row r="876" spans="1:24" s="658" customFormat="1" ht="22.5">
      <c r="A876" s="803" t="s">
        <v>445</v>
      </c>
      <c r="B876" s="853" t="s">
        <v>2469</v>
      </c>
      <c r="C876" s="877" t="s">
        <v>777</v>
      </c>
      <c r="D876" s="780" t="s">
        <v>2470</v>
      </c>
      <c r="E876" s="878">
        <v>235458069264</v>
      </c>
      <c r="F876" s="878">
        <v>464015076</v>
      </c>
      <c r="G876" s="878">
        <v>464015076</v>
      </c>
      <c r="H876" s="878"/>
      <c r="I876" s="878"/>
      <c r="J876" s="878"/>
      <c r="K876" s="878"/>
      <c r="L876" s="878"/>
      <c r="M876" s="878"/>
      <c r="N876" s="878"/>
      <c r="O876" s="878"/>
      <c r="P876" s="878"/>
      <c r="Q876" s="878"/>
      <c r="R876" s="878"/>
      <c r="S876" s="878"/>
      <c r="T876" s="878"/>
      <c r="U876" s="878"/>
      <c r="V876" s="747"/>
      <c r="W876" s="747">
        <f t="shared" si="193"/>
        <v>464015076</v>
      </c>
      <c r="X876" s="747">
        <f t="shared" si="195"/>
        <v>464015076</v>
      </c>
    </row>
    <row r="877" spans="1:24" s="658" customFormat="1" ht="22.5">
      <c r="A877" s="803" t="s">
        <v>446</v>
      </c>
      <c r="B877" s="853" t="s">
        <v>2626</v>
      </c>
      <c r="C877" s="877" t="s">
        <v>777</v>
      </c>
      <c r="D877" s="780" t="s">
        <v>2627</v>
      </c>
      <c r="E877" s="878">
        <v>246175600</v>
      </c>
      <c r="F877" s="878">
        <v>27000000</v>
      </c>
      <c r="G877" s="878">
        <v>27000000</v>
      </c>
      <c r="H877" s="878"/>
      <c r="I877" s="878"/>
      <c r="J877" s="878"/>
      <c r="K877" s="878"/>
      <c r="L877" s="878"/>
      <c r="M877" s="878"/>
      <c r="N877" s="878"/>
      <c r="O877" s="878"/>
      <c r="P877" s="878"/>
      <c r="Q877" s="878"/>
      <c r="R877" s="878"/>
      <c r="S877" s="878"/>
      <c r="T877" s="878"/>
      <c r="U877" s="878"/>
      <c r="V877" s="747"/>
      <c r="W877" s="747">
        <f t="shared" si="193"/>
        <v>27000000</v>
      </c>
      <c r="X877" s="747">
        <f t="shared" si="195"/>
        <v>27000000</v>
      </c>
    </row>
    <row r="878" spans="1:24" s="658" customFormat="1">
      <c r="A878" s="803" t="s">
        <v>447</v>
      </c>
      <c r="B878" s="853" t="s">
        <v>2476</v>
      </c>
      <c r="C878" s="877" t="s">
        <v>777</v>
      </c>
      <c r="D878" s="780" t="s">
        <v>2477</v>
      </c>
      <c r="E878" s="878">
        <v>4965506000</v>
      </c>
      <c r="F878" s="878">
        <v>763000000</v>
      </c>
      <c r="G878" s="878">
        <v>763000000</v>
      </c>
      <c r="H878" s="878"/>
      <c r="I878" s="878"/>
      <c r="J878" s="878"/>
      <c r="K878" s="878"/>
      <c r="L878" s="878"/>
      <c r="M878" s="878"/>
      <c r="N878" s="878"/>
      <c r="O878" s="878"/>
      <c r="P878" s="878"/>
      <c r="Q878" s="878"/>
      <c r="R878" s="878"/>
      <c r="S878" s="878"/>
      <c r="T878" s="878"/>
      <c r="U878" s="878"/>
      <c r="V878" s="747"/>
      <c r="W878" s="747">
        <f t="shared" si="193"/>
        <v>763000000</v>
      </c>
      <c r="X878" s="747">
        <f t="shared" si="195"/>
        <v>763000000</v>
      </c>
    </row>
    <row r="879" spans="1:24" s="658" customFormat="1">
      <c r="A879" s="803" t="s">
        <v>449</v>
      </c>
      <c r="B879" s="853" t="s">
        <v>2478</v>
      </c>
      <c r="C879" s="877" t="s">
        <v>777</v>
      </c>
      <c r="D879" s="780" t="s">
        <v>2479</v>
      </c>
      <c r="E879" s="878">
        <v>6567078000</v>
      </c>
      <c r="F879" s="878">
        <v>128000000</v>
      </c>
      <c r="G879" s="878">
        <v>128000000</v>
      </c>
      <c r="H879" s="878"/>
      <c r="I879" s="878"/>
      <c r="J879" s="878"/>
      <c r="K879" s="878"/>
      <c r="L879" s="878"/>
      <c r="M879" s="878"/>
      <c r="N879" s="878"/>
      <c r="O879" s="878"/>
      <c r="P879" s="878"/>
      <c r="Q879" s="878"/>
      <c r="R879" s="878"/>
      <c r="S879" s="878"/>
      <c r="T879" s="878"/>
      <c r="U879" s="878"/>
      <c r="V879" s="747"/>
      <c r="W879" s="747">
        <f t="shared" si="193"/>
        <v>128000000</v>
      </c>
      <c r="X879" s="747">
        <f t="shared" si="195"/>
        <v>128000000</v>
      </c>
    </row>
    <row r="880" spans="1:24" s="658" customFormat="1">
      <c r="A880" s="803" t="s">
        <v>450</v>
      </c>
      <c r="B880" s="853" t="s">
        <v>2628</v>
      </c>
      <c r="C880" s="877" t="s">
        <v>777</v>
      </c>
      <c r="D880" s="780" t="s">
        <v>2629</v>
      </c>
      <c r="E880" s="878">
        <v>254483856</v>
      </c>
      <c r="F880" s="878">
        <v>2470080</v>
      </c>
      <c r="G880" s="878">
        <v>2470080</v>
      </c>
      <c r="H880" s="878">
        <v>2470080</v>
      </c>
      <c r="I880" s="878"/>
      <c r="J880" s="878"/>
      <c r="K880" s="878"/>
      <c r="L880" s="878"/>
      <c r="M880" s="878"/>
      <c r="N880" s="878"/>
      <c r="O880" s="878"/>
      <c r="P880" s="878"/>
      <c r="Q880" s="878"/>
      <c r="R880" s="878"/>
      <c r="S880" s="878"/>
      <c r="T880" s="878"/>
      <c r="U880" s="878"/>
      <c r="V880" s="747"/>
      <c r="W880" s="747"/>
      <c r="X880" s="747">
        <f>F880+K880+Q880-H880</f>
        <v>0</v>
      </c>
    </row>
    <row r="881" spans="1:24" s="658" customFormat="1">
      <c r="A881" s="803" t="s">
        <v>451</v>
      </c>
      <c r="B881" s="853" t="s">
        <v>2509</v>
      </c>
      <c r="C881" s="877" t="s">
        <v>777</v>
      </c>
      <c r="D881" s="780" t="s">
        <v>2510</v>
      </c>
      <c r="E881" s="878">
        <v>43115378000</v>
      </c>
      <c r="F881" s="878">
        <v>328947000</v>
      </c>
      <c r="G881" s="878">
        <v>328947000</v>
      </c>
      <c r="H881" s="878"/>
      <c r="I881" s="878"/>
      <c r="J881" s="878"/>
      <c r="K881" s="878"/>
      <c r="L881" s="878"/>
      <c r="M881" s="878"/>
      <c r="N881" s="878"/>
      <c r="O881" s="878"/>
      <c r="P881" s="878"/>
      <c r="Q881" s="878"/>
      <c r="R881" s="878"/>
      <c r="S881" s="878"/>
      <c r="T881" s="878"/>
      <c r="U881" s="878"/>
      <c r="V881" s="747"/>
      <c r="W881" s="747">
        <f t="shared" si="193"/>
        <v>328947000</v>
      </c>
      <c r="X881" s="747">
        <f t="shared" si="195"/>
        <v>328947000</v>
      </c>
    </row>
    <row r="882" spans="1:24" s="658" customFormat="1" ht="22.5">
      <c r="A882" s="803" t="s">
        <v>556</v>
      </c>
      <c r="B882" s="853" t="s">
        <v>2630</v>
      </c>
      <c r="C882" s="877" t="s">
        <v>777</v>
      </c>
      <c r="D882" s="780" t="s">
        <v>2631</v>
      </c>
      <c r="E882" s="878">
        <v>42467692411</v>
      </c>
      <c r="F882" s="878">
        <v>3000000</v>
      </c>
      <c r="G882" s="878">
        <v>3000000</v>
      </c>
      <c r="H882" s="878"/>
      <c r="I882" s="878"/>
      <c r="J882" s="878"/>
      <c r="K882" s="878"/>
      <c r="L882" s="878"/>
      <c r="M882" s="878"/>
      <c r="N882" s="878"/>
      <c r="O882" s="878"/>
      <c r="P882" s="878"/>
      <c r="Q882" s="878"/>
      <c r="R882" s="878"/>
      <c r="S882" s="878"/>
      <c r="T882" s="878"/>
      <c r="U882" s="878"/>
      <c r="V882" s="747"/>
      <c r="W882" s="747">
        <f t="shared" si="193"/>
        <v>3000000</v>
      </c>
      <c r="X882" s="747">
        <f t="shared" si="195"/>
        <v>3000000</v>
      </c>
    </row>
    <row r="883" spans="1:24" s="658" customFormat="1" ht="22.5">
      <c r="A883" s="803" t="s">
        <v>557</v>
      </c>
      <c r="B883" s="853" t="s">
        <v>2632</v>
      </c>
      <c r="C883" s="877" t="s">
        <v>777</v>
      </c>
      <c r="D883" s="780" t="s">
        <v>2633</v>
      </c>
      <c r="E883" s="878">
        <v>57643418767</v>
      </c>
      <c r="F883" s="878">
        <v>5180526208</v>
      </c>
      <c r="G883" s="878">
        <v>1823641738</v>
      </c>
      <c r="H883" s="878"/>
      <c r="I883" s="878">
        <v>1822997826</v>
      </c>
      <c r="J883" s="878"/>
      <c r="K883" s="878"/>
      <c r="L883" s="878"/>
      <c r="M883" s="878"/>
      <c r="N883" s="878"/>
      <c r="O883" s="878"/>
      <c r="P883" s="878"/>
      <c r="Q883" s="878"/>
      <c r="R883" s="878"/>
      <c r="S883" s="878"/>
      <c r="T883" s="878"/>
      <c r="U883" s="878"/>
      <c r="V883" s="747">
        <f>I883+L883+R883</f>
        <v>1822997826</v>
      </c>
      <c r="W883" s="747">
        <f t="shared" si="193"/>
        <v>643912</v>
      </c>
      <c r="X883" s="747">
        <f t="shared" si="195"/>
        <v>5180526208</v>
      </c>
    </row>
    <row r="884" spans="1:24" s="658" customFormat="1">
      <c r="A884" s="803" t="s">
        <v>558</v>
      </c>
      <c r="B884" s="853" t="s">
        <v>2634</v>
      </c>
      <c r="C884" s="877" t="s">
        <v>777</v>
      </c>
      <c r="D884" s="780" t="s">
        <v>2635</v>
      </c>
      <c r="E884" s="878">
        <v>10367757482</v>
      </c>
      <c r="F884" s="878">
        <v>143079246</v>
      </c>
      <c r="G884" s="878">
        <v>143079246</v>
      </c>
      <c r="H884" s="878"/>
      <c r="I884" s="878"/>
      <c r="J884" s="878"/>
      <c r="K884" s="878"/>
      <c r="L884" s="878"/>
      <c r="M884" s="878"/>
      <c r="N884" s="878"/>
      <c r="O884" s="878"/>
      <c r="P884" s="878"/>
      <c r="Q884" s="878"/>
      <c r="R884" s="878"/>
      <c r="S884" s="878"/>
      <c r="T884" s="878"/>
      <c r="U884" s="878"/>
      <c r="V884" s="747"/>
      <c r="W884" s="747">
        <f t="shared" si="193"/>
        <v>143079246</v>
      </c>
      <c r="X884" s="747">
        <f t="shared" si="195"/>
        <v>143079246</v>
      </c>
    </row>
    <row r="885" spans="1:24" s="658" customFormat="1" ht="22.5">
      <c r="A885" s="803" t="s">
        <v>559</v>
      </c>
      <c r="B885" s="853" t="s">
        <v>2636</v>
      </c>
      <c r="C885" s="877" t="s">
        <v>777</v>
      </c>
      <c r="D885" s="780" t="s">
        <v>2637</v>
      </c>
      <c r="E885" s="878">
        <v>617269000</v>
      </c>
      <c r="F885" s="878">
        <v>98000000</v>
      </c>
      <c r="G885" s="878">
        <v>98000000</v>
      </c>
      <c r="H885" s="878"/>
      <c r="I885" s="878"/>
      <c r="J885" s="878"/>
      <c r="K885" s="878"/>
      <c r="L885" s="878"/>
      <c r="M885" s="878"/>
      <c r="N885" s="878"/>
      <c r="O885" s="878"/>
      <c r="P885" s="878"/>
      <c r="Q885" s="878"/>
      <c r="R885" s="878"/>
      <c r="S885" s="878"/>
      <c r="T885" s="878"/>
      <c r="U885" s="878"/>
      <c r="V885" s="747"/>
      <c r="W885" s="747">
        <f t="shared" si="193"/>
        <v>98000000</v>
      </c>
      <c r="X885" s="747">
        <f t="shared" si="195"/>
        <v>98000000</v>
      </c>
    </row>
    <row r="886" spans="1:24" s="658" customFormat="1">
      <c r="A886" s="803" t="s">
        <v>560</v>
      </c>
      <c r="B886" s="853" t="s">
        <v>2638</v>
      </c>
      <c r="C886" s="877" t="s">
        <v>777</v>
      </c>
      <c r="D886" s="780" t="s">
        <v>2639</v>
      </c>
      <c r="E886" s="878">
        <v>1207630000</v>
      </c>
      <c r="F886" s="878">
        <v>25500000</v>
      </c>
      <c r="G886" s="878">
        <v>25500000</v>
      </c>
      <c r="H886" s="878"/>
      <c r="I886" s="878"/>
      <c r="J886" s="878"/>
      <c r="K886" s="878"/>
      <c r="L886" s="878"/>
      <c r="M886" s="878"/>
      <c r="N886" s="878"/>
      <c r="O886" s="878"/>
      <c r="P886" s="878"/>
      <c r="Q886" s="878"/>
      <c r="R886" s="878"/>
      <c r="S886" s="878"/>
      <c r="T886" s="878"/>
      <c r="U886" s="878"/>
      <c r="V886" s="747"/>
      <c r="W886" s="747">
        <f t="shared" si="193"/>
        <v>25500000</v>
      </c>
      <c r="X886" s="747">
        <f t="shared" si="195"/>
        <v>25500000</v>
      </c>
    </row>
    <row r="887" spans="1:24" s="658" customFormat="1">
      <c r="A887" s="803" t="s">
        <v>561</v>
      </c>
      <c r="B887" s="853" t="s">
        <v>2640</v>
      </c>
      <c r="C887" s="877" t="s">
        <v>777</v>
      </c>
      <c r="D887" s="780" t="s">
        <v>2641</v>
      </c>
      <c r="E887" s="878">
        <v>122000000</v>
      </c>
      <c r="F887" s="878">
        <v>101855000</v>
      </c>
      <c r="G887" s="878">
        <v>101855000</v>
      </c>
      <c r="H887" s="878"/>
      <c r="I887" s="878"/>
      <c r="J887" s="878"/>
      <c r="K887" s="878"/>
      <c r="L887" s="878"/>
      <c r="M887" s="878"/>
      <c r="N887" s="878"/>
      <c r="O887" s="878"/>
      <c r="P887" s="878"/>
      <c r="Q887" s="878"/>
      <c r="R887" s="878"/>
      <c r="S887" s="878"/>
      <c r="T887" s="878"/>
      <c r="U887" s="878"/>
      <c r="V887" s="747"/>
      <c r="W887" s="747">
        <f t="shared" si="193"/>
        <v>101855000</v>
      </c>
      <c r="X887" s="747">
        <f t="shared" si="195"/>
        <v>101855000</v>
      </c>
    </row>
    <row r="888" spans="1:24" s="658" customFormat="1">
      <c r="A888" s="803" t="s">
        <v>562</v>
      </c>
      <c r="B888" s="853" t="s">
        <v>2642</v>
      </c>
      <c r="C888" s="877" t="s">
        <v>777</v>
      </c>
      <c r="D888" s="780" t="s">
        <v>2643</v>
      </c>
      <c r="E888" s="878">
        <v>277480000</v>
      </c>
      <c r="F888" s="878">
        <v>22990000</v>
      </c>
      <c r="G888" s="878">
        <v>22990000</v>
      </c>
      <c r="H888" s="878"/>
      <c r="I888" s="878"/>
      <c r="J888" s="878"/>
      <c r="K888" s="878"/>
      <c r="L888" s="878"/>
      <c r="M888" s="878"/>
      <c r="N888" s="878"/>
      <c r="O888" s="878"/>
      <c r="P888" s="878"/>
      <c r="Q888" s="878"/>
      <c r="R888" s="878"/>
      <c r="S888" s="878"/>
      <c r="T888" s="878"/>
      <c r="U888" s="878"/>
      <c r="V888" s="747"/>
      <c r="W888" s="747">
        <f t="shared" si="193"/>
        <v>22990000</v>
      </c>
      <c r="X888" s="747">
        <f t="shared" si="195"/>
        <v>22990000</v>
      </c>
    </row>
    <row r="889" spans="1:24" s="658" customFormat="1">
      <c r="A889" s="803" t="s">
        <v>563</v>
      </c>
      <c r="B889" s="853" t="s">
        <v>2644</v>
      </c>
      <c r="C889" s="877">
        <v>961</v>
      </c>
      <c r="D889" s="780" t="s">
        <v>2645</v>
      </c>
      <c r="E889" s="878">
        <v>14915012000</v>
      </c>
      <c r="F889" s="878">
        <v>181357626</v>
      </c>
      <c r="G889" s="878">
        <v>181357626</v>
      </c>
      <c r="H889" s="878">
        <v>181357626</v>
      </c>
      <c r="I889" s="878"/>
      <c r="J889" s="878"/>
      <c r="K889" s="878"/>
      <c r="L889" s="878"/>
      <c r="M889" s="878"/>
      <c r="N889" s="878"/>
      <c r="O889" s="878"/>
      <c r="P889" s="878"/>
      <c r="Q889" s="878"/>
      <c r="R889" s="878"/>
      <c r="S889" s="878"/>
      <c r="T889" s="878"/>
      <c r="U889" s="878"/>
      <c r="V889" s="747"/>
      <c r="W889" s="747"/>
      <c r="X889" s="747">
        <f>F889+K889+Q889-H889</f>
        <v>0</v>
      </c>
    </row>
    <row r="890" spans="1:24" s="658" customFormat="1">
      <c r="A890" s="803" t="s">
        <v>564</v>
      </c>
      <c r="B890" s="853" t="s">
        <v>2646</v>
      </c>
      <c r="C890" s="877">
        <v>961</v>
      </c>
      <c r="D890" s="780" t="s">
        <v>1956</v>
      </c>
      <c r="E890" s="878">
        <v>26293116000</v>
      </c>
      <c r="F890" s="878">
        <v>1865000000</v>
      </c>
      <c r="G890" s="878">
        <v>1780000000</v>
      </c>
      <c r="H890" s="878">
        <v>146714000</v>
      </c>
      <c r="I890" s="878">
        <v>18286000</v>
      </c>
      <c r="J890" s="878"/>
      <c r="K890" s="878"/>
      <c r="L890" s="878"/>
      <c r="M890" s="878"/>
      <c r="N890" s="878"/>
      <c r="O890" s="878"/>
      <c r="P890" s="878"/>
      <c r="Q890" s="878"/>
      <c r="R890" s="878"/>
      <c r="S890" s="878"/>
      <c r="T890" s="878"/>
      <c r="U890" s="878"/>
      <c r="V890" s="747">
        <f>I890+L890+R890</f>
        <v>18286000</v>
      </c>
      <c r="W890" s="747">
        <f t="shared" si="193"/>
        <v>1615000000</v>
      </c>
      <c r="X890" s="747">
        <f>F890+K890+Q890-H890</f>
        <v>1718286000</v>
      </c>
    </row>
    <row r="891" spans="1:24" s="658" customFormat="1">
      <c r="A891" s="803" t="s">
        <v>565</v>
      </c>
      <c r="B891" s="853" t="s">
        <v>2646</v>
      </c>
      <c r="C891" s="877">
        <v>961</v>
      </c>
      <c r="D891" s="780" t="s">
        <v>1956</v>
      </c>
      <c r="E891" s="878">
        <v>26293116000</v>
      </c>
      <c r="F891" s="878">
        <v>6208634000</v>
      </c>
      <c r="G891" s="878">
        <v>200000000</v>
      </c>
      <c r="H891" s="878">
        <v>133304000</v>
      </c>
      <c r="I891" s="878">
        <v>66696000</v>
      </c>
      <c r="J891" s="878"/>
      <c r="K891" s="878"/>
      <c r="L891" s="878"/>
      <c r="M891" s="878"/>
      <c r="N891" s="878"/>
      <c r="O891" s="878"/>
      <c r="P891" s="878"/>
      <c r="Q891" s="878"/>
      <c r="R891" s="878"/>
      <c r="S891" s="878"/>
      <c r="T891" s="878"/>
      <c r="U891" s="878"/>
      <c r="V891" s="747">
        <f>I891+L891+R891</f>
        <v>66696000</v>
      </c>
      <c r="W891" s="747"/>
      <c r="X891" s="747">
        <f>F891+K891+Q891-H891</f>
        <v>6075330000</v>
      </c>
    </row>
    <row r="892" spans="1:24" s="658" customFormat="1">
      <c r="A892" s="803" t="s">
        <v>566</v>
      </c>
      <c r="B892" s="853" t="s">
        <v>2647</v>
      </c>
      <c r="C892" s="877" t="s">
        <v>777</v>
      </c>
      <c r="D892" s="780" t="s">
        <v>2648</v>
      </c>
      <c r="E892" s="878">
        <v>119888002000</v>
      </c>
      <c r="F892" s="878">
        <v>9690445000</v>
      </c>
      <c r="G892" s="878">
        <v>5399956000</v>
      </c>
      <c r="H892" s="878"/>
      <c r="I892" s="878">
        <v>3658779000</v>
      </c>
      <c r="J892" s="878"/>
      <c r="K892" s="878"/>
      <c r="L892" s="878"/>
      <c r="M892" s="878"/>
      <c r="N892" s="878"/>
      <c r="O892" s="878"/>
      <c r="P892" s="878"/>
      <c r="Q892" s="878"/>
      <c r="R892" s="878"/>
      <c r="S892" s="878"/>
      <c r="T892" s="878"/>
      <c r="U892" s="878"/>
      <c r="V892" s="747">
        <f>I892+L892+R892</f>
        <v>3658779000</v>
      </c>
      <c r="W892" s="747">
        <f t="shared" si="193"/>
        <v>1741177000</v>
      </c>
      <c r="X892" s="747">
        <f t="shared" si="195"/>
        <v>9690445000</v>
      </c>
    </row>
    <row r="893" spans="1:24" s="658" customFormat="1">
      <c r="A893" s="836">
        <v>2</v>
      </c>
      <c r="B893" s="775" t="s">
        <v>2649</v>
      </c>
      <c r="C893" s="870"/>
      <c r="D893" s="782"/>
      <c r="E893" s="871"/>
      <c r="F893" s="871">
        <f>F894+F914+F910</f>
        <v>192895099180</v>
      </c>
      <c r="G893" s="871">
        <f t="shared" ref="G893:U893" si="198">G894+G914+G910</f>
        <v>26000418970</v>
      </c>
      <c r="H893" s="871">
        <f t="shared" si="198"/>
        <v>1254060876</v>
      </c>
      <c r="I893" s="871">
        <f t="shared" si="198"/>
        <v>9272502201</v>
      </c>
      <c r="J893" s="871">
        <f t="shared" si="198"/>
        <v>0</v>
      </c>
      <c r="K893" s="871">
        <f t="shared" si="198"/>
        <v>0</v>
      </c>
      <c r="L893" s="871">
        <f t="shared" si="198"/>
        <v>0</v>
      </c>
      <c r="M893" s="871">
        <f t="shared" si="198"/>
        <v>0</v>
      </c>
      <c r="N893" s="871">
        <f t="shared" si="198"/>
        <v>0</v>
      </c>
      <c r="O893" s="871">
        <f t="shared" si="198"/>
        <v>0</v>
      </c>
      <c r="P893" s="871">
        <f t="shared" si="198"/>
        <v>0</v>
      </c>
      <c r="Q893" s="871">
        <f t="shared" si="198"/>
        <v>0</v>
      </c>
      <c r="R893" s="871">
        <f t="shared" si="198"/>
        <v>0</v>
      </c>
      <c r="S893" s="871">
        <f t="shared" si="198"/>
        <v>0</v>
      </c>
      <c r="T893" s="871">
        <f t="shared" si="198"/>
        <v>0</v>
      </c>
      <c r="U893" s="871">
        <f t="shared" si="198"/>
        <v>0</v>
      </c>
      <c r="V893" s="871">
        <f>V894+V914+V910</f>
        <v>9272502201</v>
      </c>
      <c r="W893" s="871">
        <f>W894+W914+W910</f>
        <v>15473855893</v>
      </c>
      <c r="X893" s="871">
        <f>X894+X914+X910</f>
        <v>191641038304</v>
      </c>
    </row>
    <row r="894" spans="1:24" s="658" customFormat="1">
      <c r="A894" s="879" t="s">
        <v>2650</v>
      </c>
      <c r="B894" s="880" t="s">
        <v>774</v>
      </c>
      <c r="C894" s="874"/>
      <c r="D894" s="875"/>
      <c r="E894" s="876"/>
      <c r="F894" s="876">
        <f>SUM(F895:F909)</f>
        <v>24030051477</v>
      </c>
      <c r="G894" s="876">
        <f t="shared" ref="G894:U894" si="199">SUM(G895:G909)</f>
        <v>6872837070</v>
      </c>
      <c r="H894" s="876">
        <f t="shared" si="199"/>
        <v>1107180876</v>
      </c>
      <c r="I894" s="876">
        <f t="shared" si="199"/>
        <v>1226413701</v>
      </c>
      <c r="J894" s="876">
        <f t="shared" si="199"/>
        <v>0</v>
      </c>
      <c r="K894" s="876">
        <f t="shared" si="199"/>
        <v>0</v>
      </c>
      <c r="L894" s="876">
        <f t="shared" si="199"/>
        <v>0</v>
      </c>
      <c r="M894" s="876">
        <f t="shared" si="199"/>
        <v>0</v>
      </c>
      <c r="N894" s="876">
        <f t="shared" si="199"/>
        <v>0</v>
      </c>
      <c r="O894" s="876">
        <f t="shared" si="199"/>
        <v>0</v>
      </c>
      <c r="P894" s="876">
        <f t="shared" si="199"/>
        <v>0</v>
      </c>
      <c r="Q894" s="876">
        <f t="shared" si="199"/>
        <v>0</v>
      </c>
      <c r="R894" s="876">
        <f t="shared" si="199"/>
        <v>0</v>
      </c>
      <c r="S894" s="876">
        <f t="shared" si="199"/>
        <v>0</v>
      </c>
      <c r="T894" s="876">
        <f t="shared" si="199"/>
        <v>0</v>
      </c>
      <c r="U894" s="876">
        <f t="shared" si="199"/>
        <v>0</v>
      </c>
      <c r="V894" s="876">
        <f>SUM(V895:V909)</f>
        <v>1226413701</v>
      </c>
      <c r="W894" s="876">
        <f>SUM(W895:W909)</f>
        <v>4539242493</v>
      </c>
      <c r="X894" s="876">
        <f>SUM(X895:X909)</f>
        <v>22922870601</v>
      </c>
    </row>
    <row r="895" spans="1:24" s="658" customFormat="1">
      <c r="A895" s="803" t="s">
        <v>104</v>
      </c>
      <c r="B895" s="853" t="s">
        <v>2651</v>
      </c>
      <c r="C895" s="877" t="s">
        <v>777</v>
      </c>
      <c r="D895" s="780" t="s">
        <v>841</v>
      </c>
      <c r="E895" s="878">
        <v>68490272883</v>
      </c>
      <c r="F895" s="878">
        <v>1705424935</v>
      </c>
      <c r="G895" s="878">
        <v>1467524935</v>
      </c>
      <c r="H895" s="878"/>
      <c r="I895" s="878"/>
      <c r="J895" s="878"/>
      <c r="K895" s="878"/>
      <c r="L895" s="878"/>
      <c r="M895" s="878"/>
      <c r="N895" s="878"/>
      <c r="O895" s="878"/>
      <c r="P895" s="878"/>
      <c r="Q895" s="878"/>
      <c r="R895" s="878"/>
      <c r="S895" s="878"/>
      <c r="T895" s="878"/>
      <c r="U895" s="878"/>
      <c r="V895" s="747"/>
      <c r="W895" s="747">
        <f t="shared" si="193"/>
        <v>1467524935</v>
      </c>
      <c r="X895" s="747">
        <f t="shared" si="195"/>
        <v>1705424935</v>
      </c>
    </row>
    <row r="896" spans="1:24" s="658" customFormat="1" ht="22.5">
      <c r="A896" s="803" t="s">
        <v>105</v>
      </c>
      <c r="B896" s="853" t="s">
        <v>2652</v>
      </c>
      <c r="C896" s="877" t="s">
        <v>777</v>
      </c>
      <c r="D896" s="780" t="s">
        <v>830</v>
      </c>
      <c r="E896" s="878">
        <v>109571554000</v>
      </c>
      <c r="F896" s="878">
        <v>1127152000</v>
      </c>
      <c r="G896" s="878">
        <v>42309000</v>
      </c>
      <c r="H896" s="878"/>
      <c r="I896" s="878">
        <v>15309000</v>
      </c>
      <c r="J896" s="878"/>
      <c r="K896" s="878"/>
      <c r="L896" s="878"/>
      <c r="M896" s="878"/>
      <c r="N896" s="878"/>
      <c r="O896" s="878"/>
      <c r="P896" s="878"/>
      <c r="Q896" s="878"/>
      <c r="R896" s="878"/>
      <c r="S896" s="878"/>
      <c r="T896" s="878"/>
      <c r="U896" s="878"/>
      <c r="V896" s="747">
        <f>I896+L896+R896</f>
        <v>15309000</v>
      </c>
      <c r="W896" s="747">
        <f t="shared" si="193"/>
        <v>27000000</v>
      </c>
      <c r="X896" s="747">
        <f t="shared" si="195"/>
        <v>1127152000</v>
      </c>
    </row>
    <row r="897" spans="1:24" s="658" customFormat="1">
      <c r="A897" s="803" t="s">
        <v>106</v>
      </c>
      <c r="B897" s="853" t="s">
        <v>2434</v>
      </c>
      <c r="C897" s="877" t="s">
        <v>777</v>
      </c>
      <c r="D897" s="780" t="s">
        <v>444</v>
      </c>
      <c r="E897" s="878">
        <v>152614248000</v>
      </c>
      <c r="F897" s="878">
        <v>15218172000</v>
      </c>
      <c r="G897" s="878">
        <v>880512000</v>
      </c>
      <c r="H897" s="878"/>
      <c r="I897" s="878">
        <v>470469000</v>
      </c>
      <c r="J897" s="878"/>
      <c r="K897" s="878"/>
      <c r="L897" s="878"/>
      <c r="M897" s="878"/>
      <c r="N897" s="878"/>
      <c r="O897" s="878"/>
      <c r="P897" s="878"/>
      <c r="Q897" s="878"/>
      <c r="R897" s="878"/>
      <c r="S897" s="878"/>
      <c r="T897" s="878"/>
      <c r="U897" s="878"/>
      <c r="V897" s="747">
        <f>I897+L897+R897</f>
        <v>470469000</v>
      </c>
      <c r="W897" s="747">
        <f t="shared" si="193"/>
        <v>410043000</v>
      </c>
      <c r="X897" s="747">
        <f t="shared" si="195"/>
        <v>15218172000</v>
      </c>
    </row>
    <row r="898" spans="1:24" s="658" customFormat="1">
      <c r="A898" s="803" t="s">
        <v>128</v>
      </c>
      <c r="B898" s="853" t="s">
        <v>2653</v>
      </c>
      <c r="C898" s="877" t="s">
        <v>777</v>
      </c>
      <c r="D898" s="780" t="s">
        <v>831</v>
      </c>
      <c r="E898" s="878">
        <v>26316364000</v>
      </c>
      <c r="F898" s="878">
        <v>240128080</v>
      </c>
      <c r="G898" s="878">
        <v>240128080</v>
      </c>
      <c r="H898" s="878"/>
      <c r="I898" s="878"/>
      <c r="J898" s="878"/>
      <c r="K898" s="878"/>
      <c r="L898" s="878"/>
      <c r="M898" s="878"/>
      <c r="N898" s="878"/>
      <c r="O898" s="878"/>
      <c r="P898" s="878"/>
      <c r="Q898" s="878"/>
      <c r="R898" s="878"/>
      <c r="S898" s="878"/>
      <c r="T898" s="878"/>
      <c r="U898" s="878"/>
      <c r="V898" s="747"/>
      <c r="W898" s="747">
        <f t="shared" si="193"/>
        <v>240128080</v>
      </c>
      <c r="X898" s="747">
        <f t="shared" si="195"/>
        <v>240128080</v>
      </c>
    </row>
    <row r="899" spans="1:24" s="658" customFormat="1" ht="22.5">
      <c r="A899" s="803" t="s">
        <v>359</v>
      </c>
      <c r="B899" s="853" t="s">
        <v>2654</v>
      </c>
      <c r="C899" s="877" t="s">
        <v>777</v>
      </c>
      <c r="D899" s="780" t="s">
        <v>832</v>
      </c>
      <c r="E899" s="878">
        <v>100000000000</v>
      </c>
      <c r="F899" s="878">
        <v>455015000</v>
      </c>
      <c r="G899" s="878">
        <v>455015000</v>
      </c>
      <c r="H899" s="878"/>
      <c r="I899" s="878"/>
      <c r="J899" s="878"/>
      <c r="K899" s="878"/>
      <c r="L899" s="878"/>
      <c r="M899" s="878"/>
      <c r="N899" s="878"/>
      <c r="O899" s="878"/>
      <c r="P899" s="878"/>
      <c r="Q899" s="878"/>
      <c r="R899" s="878"/>
      <c r="S899" s="878"/>
      <c r="T899" s="878"/>
      <c r="U899" s="878"/>
      <c r="V899" s="747"/>
      <c r="W899" s="747">
        <f t="shared" si="193"/>
        <v>455015000</v>
      </c>
      <c r="X899" s="747">
        <f t="shared" si="195"/>
        <v>455015000</v>
      </c>
    </row>
    <row r="900" spans="1:24" s="658" customFormat="1">
      <c r="A900" s="803" t="s">
        <v>107</v>
      </c>
      <c r="B900" s="853" t="s">
        <v>2655</v>
      </c>
      <c r="C900" s="877" t="s">
        <v>777</v>
      </c>
      <c r="D900" s="780" t="s">
        <v>833</v>
      </c>
      <c r="E900" s="878">
        <v>14558653000</v>
      </c>
      <c r="F900" s="878">
        <v>250895390</v>
      </c>
      <c r="G900" s="878">
        <v>250895390</v>
      </c>
      <c r="H900" s="878"/>
      <c r="I900" s="878"/>
      <c r="J900" s="878"/>
      <c r="K900" s="878"/>
      <c r="L900" s="878"/>
      <c r="M900" s="878"/>
      <c r="N900" s="878"/>
      <c r="O900" s="878"/>
      <c r="P900" s="878"/>
      <c r="Q900" s="878"/>
      <c r="R900" s="878"/>
      <c r="S900" s="878"/>
      <c r="T900" s="878"/>
      <c r="U900" s="878"/>
      <c r="V900" s="747"/>
      <c r="W900" s="747">
        <f t="shared" si="193"/>
        <v>250895390</v>
      </c>
      <c r="X900" s="747">
        <f t="shared" si="195"/>
        <v>250895390</v>
      </c>
    </row>
    <row r="901" spans="1:24" s="658" customFormat="1">
      <c r="A901" s="803" t="s">
        <v>433</v>
      </c>
      <c r="B901" s="853" t="s">
        <v>2656</v>
      </c>
      <c r="C901" s="877" t="s">
        <v>777</v>
      </c>
      <c r="D901" s="780" t="s">
        <v>834</v>
      </c>
      <c r="E901" s="878">
        <v>4049753000</v>
      </c>
      <c r="F901" s="878">
        <v>25000000</v>
      </c>
      <c r="G901" s="878">
        <v>25000000</v>
      </c>
      <c r="H901" s="878">
        <v>25000000</v>
      </c>
      <c r="I901" s="878"/>
      <c r="J901" s="878"/>
      <c r="K901" s="878"/>
      <c r="L901" s="878"/>
      <c r="M901" s="878"/>
      <c r="N901" s="878"/>
      <c r="O901" s="878"/>
      <c r="P901" s="878"/>
      <c r="Q901" s="878"/>
      <c r="R901" s="878"/>
      <c r="S901" s="878"/>
      <c r="T901" s="878"/>
      <c r="U901" s="878"/>
      <c r="V901" s="747"/>
      <c r="W901" s="747"/>
      <c r="X901" s="747">
        <f>F901+K901+Q901-H901</f>
        <v>0</v>
      </c>
    </row>
    <row r="902" spans="1:24" s="658" customFormat="1">
      <c r="A902" s="803" t="s">
        <v>434</v>
      </c>
      <c r="B902" s="853" t="s">
        <v>2657</v>
      </c>
      <c r="C902" s="877" t="s">
        <v>777</v>
      </c>
      <c r="D902" s="780" t="s">
        <v>835</v>
      </c>
      <c r="E902" s="878">
        <v>9944311538</v>
      </c>
      <c r="F902" s="878">
        <v>19896000</v>
      </c>
      <c r="G902" s="878">
        <v>6231593</v>
      </c>
      <c r="H902" s="878"/>
      <c r="I902" s="878"/>
      <c r="J902" s="878"/>
      <c r="K902" s="878"/>
      <c r="L902" s="878"/>
      <c r="M902" s="878"/>
      <c r="N902" s="878"/>
      <c r="O902" s="878"/>
      <c r="P902" s="878"/>
      <c r="Q902" s="878"/>
      <c r="R902" s="878"/>
      <c r="S902" s="878"/>
      <c r="T902" s="878"/>
      <c r="U902" s="878"/>
      <c r="V902" s="747"/>
      <c r="W902" s="747">
        <f t="shared" ref="W902:W938" si="200">G902-H902-I902+M902+S902</f>
        <v>6231593</v>
      </c>
      <c r="X902" s="747">
        <f t="shared" si="195"/>
        <v>19896000</v>
      </c>
    </row>
    <row r="903" spans="1:24" s="658" customFormat="1">
      <c r="A903" s="803" t="s">
        <v>436</v>
      </c>
      <c r="B903" s="853" t="s">
        <v>2658</v>
      </c>
      <c r="C903" s="877" t="s">
        <v>777</v>
      </c>
      <c r="D903" s="780" t="s">
        <v>430</v>
      </c>
      <c r="E903" s="878">
        <v>67357589071</v>
      </c>
      <c r="F903" s="878">
        <v>1669718574</v>
      </c>
      <c r="G903" s="878">
        <v>1669718574</v>
      </c>
      <c r="H903" s="878"/>
      <c r="I903" s="878">
        <v>734158000</v>
      </c>
      <c r="J903" s="878"/>
      <c r="K903" s="878"/>
      <c r="L903" s="878"/>
      <c r="M903" s="878"/>
      <c r="N903" s="878"/>
      <c r="O903" s="878"/>
      <c r="P903" s="878"/>
      <c r="Q903" s="878"/>
      <c r="R903" s="878"/>
      <c r="S903" s="878"/>
      <c r="T903" s="878"/>
      <c r="U903" s="878"/>
      <c r="V903" s="747">
        <f>I903+L903+R903</f>
        <v>734158000</v>
      </c>
      <c r="W903" s="747">
        <f t="shared" si="200"/>
        <v>935560574</v>
      </c>
      <c r="X903" s="747">
        <f t="shared" si="195"/>
        <v>1669718574</v>
      </c>
    </row>
    <row r="904" spans="1:24" s="658" customFormat="1" ht="22.5">
      <c r="A904" s="803" t="s">
        <v>438</v>
      </c>
      <c r="B904" s="853" t="s">
        <v>2659</v>
      </c>
      <c r="C904" s="877" t="s">
        <v>777</v>
      </c>
      <c r="D904" s="780" t="s">
        <v>836</v>
      </c>
      <c r="E904" s="878">
        <v>59852878521</v>
      </c>
      <c r="F904" s="878">
        <v>9103221</v>
      </c>
      <c r="G904" s="878">
        <v>9103221</v>
      </c>
      <c r="H904" s="878"/>
      <c r="I904" s="878"/>
      <c r="J904" s="878"/>
      <c r="K904" s="878"/>
      <c r="L904" s="878"/>
      <c r="M904" s="878"/>
      <c r="N904" s="878"/>
      <c r="O904" s="878"/>
      <c r="P904" s="878"/>
      <c r="Q904" s="878"/>
      <c r="R904" s="878"/>
      <c r="S904" s="878"/>
      <c r="T904" s="878"/>
      <c r="U904" s="878"/>
      <c r="V904" s="747"/>
      <c r="W904" s="747">
        <f t="shared" si="200"/>
        <v>9103221</v>
      </c>
      <c r="X904" s="747">
        <f t="shared" si="195"/>
        <v>9103221</v>
      </c>
    </row>
    <row r="905" spans="1:24" s="658" customFormat="1">
      <c r="A905" s="803" t="s">
        <v>440</v>
      </c>
      <c r="B905" s="853" t="s">
        <v>2660</v>
      </c>
      <c r="C905" s="877" t="s">
        <v>777</v>
      </c>
      <c r="D905" s="780" t="s">
        <v>837</v>
      </c>
      <c r="E905" s="878">
        <v>51915052000</v>
      </c>
      <c r="F905" s="878">
        <v>24011750</v>
      </c>
      <c r="G905" s="878">
        <v>24011750</v>
      </c>
      <c r="H905" s="878">
        <v>24011750</v>
      </c>
      <c r="I905" s="878"/>
      <c r="J905" s="878"/>
      <c r="K905" s="878"/>
      <c r="L905" s="878"/>
      <c r="M905" s="878"/>
      <c r="N905" s="878"/>
      <c r="O905" s="878"/>
      <c r="P905" s="878"/>
      <c r="Q905" s="878"/>
      <c r="R905" s="878"/>
      <c r="S905" s="878"/>
      <c r="T905" s="878"/>
      <c r="U905" s="878"/>
      <c r="V905" s="747"/>
      <c r="W905" s="747"/>
      <c r="X905" s="747">
        <f>F905+K905+Q905-H905</f>
        <v>0</v>
      </c>
    </row>
    <row r="906" spans="1:24" s="658" customFormat="1" ht="22.5">
      <c r="A906" s="803" t="s">
        <v>441</v>
      </c>
      <c r="B906" s="853" t="s">
        <v>2460</v>
      </c>
      <c r="C906" s="877" t="s">
        <v>777</v>
      </c>
      <c r="D906" s="780" t="s">
        <v>439</v>
      </c>
      <c r="E906" s="878">
        <v>53288133320</v>
      </c>
      <c r="F906" s="878">
        <v>6477701</v>
      </c>
      <c r="G906" s="878">
        <v>6477701</v>
      </c>
      <c r="H906" s="878"/>
      <c r="I906" s="878">
        <v>6477701</v>
      </c>
      <c r="J906" s="878"/>
      <c r="K906" s="878"/>
      <c r="L906" s="878"/>
      <c r="M906" s="878"/>
      <c r="N906" s="878"/>
      <c r="O906" s="878"/>
      <c r="P906" s="878"/>
      <c r="Q906" s="878"/>
      <c r="R906" s="878"/>
      <c r="S906" s="878"/>
      <c r="T906" s="878"/>
      <c r="U906" s="878"/>
      <c r="V906" s="747">
        <f>I906+L906+R906</f>
        <v>6477701</v>
      </c>
      <c r="W906" s="747"/>
      <c r="X906" s="747">
        <f t="shared" si="195"/>
        <v>6477701</v>
      </c>
    </row>
    <row r="907" spans="1:24" s="658" customFormat="1" ht="22.5">
      <c r="A907" s="803" t="s">
        <v>442</v>
      </c>
      <c r="B907" s="853" t="s">
        <v>2661</v>
      </c>
      <c r="C907" s="877" t="s">
        <v>777</v>
      </c>
      <c r="D907" s="780" t="s">
        <v>437</v>
      </c>
      <c r="E907" s="878">
        <v>48643699001</v>
      </c>
      <c r="F907" s="878">
        <v>501784700</v>
      </c>
      <c r="G907" s="878">
        <v>501784700</v>
      </c>
      <c r="H907" s="878"/>
      <c r="I907" s="878"/>
      <c r="J907" s="878"/>
      <c r="K907" s="878"/>
      <c r="L907" s="878"/>
      <c r="M907" s="878"/>
      <c r="N907" s="878"/>
      <c r="O907" s="878"/>
      <c r="P907" s="878"/>
      <c r="Q907" s="878"/>
      <c r="R907" s="878"/>
      <c r="S907" s="878"/>
      <c r="T907" s="878"/>
      <c r="U907" s="878"/>
      <c r="V907" s="747"/>
      <c r="W907" s="747">
        <f t="shared" si="200"/>
        <v>501784700</v>
      </c>
      <c r="X907" s="747">
        <f t="shared" si="195"/>
        <v>501784700</v>
      </c>
    </row>
    <row r="908" spans="1:24" s="658" customFormat="1">
      <c r="A908" s="803" t="s">
        <v>443</v>
      </c>
      <c r="B908" s="853" t="s">
        <v>2662</v>
      </c>
      <c r="C908" s="877" t="s">
        <v>777</v>
      </c>
      <c r="D908" s="780" t="s">
        <v>839</v>
      </c>
      <c r="E908" s="878">
        <v>66188868000</v>
      </c>
      <c r="F908" s="878">
        <v>1719103000</v>
      </c>
      <c r="G908" s="878">
        <v>235956000</v>
      </c>
      <c r="H908" s="878"/>
      <c r="I908" s="878"/>
      <c r="J908" s="878"/>
      <c r="K908" s="878"/>
      <c r="L908" s="878"/>
      <c r="M908" s="878"/>
      <c r="N908" s="878"/>
      <c r="O908" s="878"/>
      <c r="P908" s="878"/>
      <c r="Q908" s="878"/>
      <c r="R908" s="878"/>
      <c r="S908" s="878"/>
      <c r="T908" s="878"/>
      <c r="U908" s="878"/>
      <c r="V908" s="747"/>
      <c r="W908" s="747">
        <f t="shared" si="200"/>
        <v>235956000</v>
      </c>
      <c r="X908" s="747">
        <f t="shared" si="195"/>
        <v>1719103000</v>
      </c>
    </row>
    <row r="909" spans="1:24" s="658" customFormat="1" ht="22.5">
      <c r="A909" s="803" t="s">
        <v>445</v>
      </c>
      <c r="B909" s="853" t="s">
        <v>2663</v>
      </c>
      <c r="C909" s="877" t="s">
        <v>777</v>
      </c>
      <c r="D909" s="780" t="s">
        <v>840</v>
      </c>
      <c r="E909" s="878">
        <v>80599971000</v>
      </c>
      <c r="F909" s="878">
        <v>1058169126</v>
      </c>
      <c r="G909" s="878">
        <v>1058169126</v>
      </c>
      <c r="H909" s="878">
        <v>1058169126</v>
      </c>
      <c r="I909" s="878"/>
      <c r="J909" s="878"/>
      <c r="K909" s="878"/>
      <c r="L909" s="878"/>
      <c r="M909" s="878"/>
      <c r="N909" s="878"/>
      <c r="O909" s="878"/>
      <c r="P909" s="878"/>
      <c r="Q909" s="878"/>
      <c r="R909" s="878"/>
      <c r="S909" s="878"/>
      <c r="T909" s="878"/>
      <c r="U909" s="878"/>
      <c r="V909" s="747"/>
      <c r="W909" s="747"/>
      <c r="X909" s="747">
        <f>F909+K909+Q909-H909</f>
        <v>0</v>
      </c>
    </row>
    <row r="910" spans="1:24" s="658" customFormat="1">
      <c r="A910" s="879" t="s">
        <v>2664</v>
      </c>
      <c r="B910" s="880" t="s">
        <v>775</v>
      </c>
      <c r="C910" s="874"/>
      <c r="D910" s="875"/>
      <c r="E910" s="876"/>
      <c r="F910" s="876">
        <f>SUM(F911:F913)</f>
        <v>26157814400</v>
      </c>
      <c r="G910" s="876">
        <f t="shared" ref="G910:X910" si="201">SUM(G911:G913)</f>
        <v>379746400</v>
      </c>
      <c r="H910" s="876">
        <f t="shared" si="201"/>
        <v>1880000</v>
      </c>
      <c r="I910" s="876">
        <f t="shared" si="201"/>
        <v>9000000</v>
      </c>
      <c r="J910" s="876">
        <f t="shared" si="201"/>
        <v>0</v>
      </c>
      <c r="K910" s="876">
        <f t="shared" si="201"/>
        <v>0</v>
      </c>
      <c r="L910" s="876">
        <f t="shared" si="201"/>
        <v>0</v>
      </c>
      <c r="M910" s="876">
        <f t="shared" si="201"/>
        <v>0</v>
      </c>
      <c r="N910" s="876">
        <f t="shared" si="201"/>
        <v>0</v>
      </c>
      <c r="O910" s="876">
        <f t="shared" si="201"/>
        <v>0</v>
      </c>
      <c r="P910" s="876">
        <f t="shared" si="201"/>
        <v>0</v>
      </c>
      <c r="Q910" s="876">
        <f t="shared" si="201"/>
        <v>0</v>
      </c>
      <c r="R910" s="876">
        <f t="shared" si="201"/>
        <v>0</v>
      </c>
      <c r="S910" s="876">
        <f t="shared" si="201"/>
        <v>0</v>
      </c>
      <c r="T910" s="876">
        <f t="shared" si="201"/>
        <v>0</v>
      </c>
      <c r="U910" s="876">
        <f t="shared" si="201"/>
        <v>0</v>
      </c>
      <c r="V910" s="876">
        <f t="shared" si="201"/>
        <v>9000000</v>
      </c>
      <c r="W910" s="876">
        <f t="shared" si="201"/>
        <v>368866400</v>
      </c>
      <c r="X910" s="876">
        <f t="shared" si="201"/>
        <v>26155934400</v>
      </c>
    </row>
    <row r="911" spans="1:24" s="658" customFormat="1">
      <c r="A911" s="803" t="s">
        <v>104</v>
      </c>
      <c r="B911" s="853" t="s">
        <v>2665</v>
      </c>
      <c r="C911" s="877" t="s">
        <v>777</v>
      </c>
      <c r="D911" s="780" t="s">
        <v>843</v>
      </c>
      <c r="E911" s="878">
        <v>463524823000</v>
      </c>
      <c r="F911" s="878">
        <v>2143060000</v>
      </c>
      <c r="G911" s="878">
        <v>91102000</v>
      </c>
      <c r="H911" s="878">
        <v>1880000</v>
      </c>
      <c r="I911" s="878"/>
      <c r="J911" s="878"/>
      <c r="K911" s="878"/>
      <c r="L911" s="878"/>
      <c r="M911" s="878"/>
      <c r="N911" s="878"/>
      <c r="O911" s="878"/>
      <c r="P911" s="878"/>
      <c r="Q911" s="878"/>
      <c r="R911" s="878"/>
      <c r="S911" s="878"/>
      <c r="T911" s="878"/>
      <c r="U911" s="878"/>
      <c r="V911" s="747"/>
      <c r="W911" s="747">
        <f t="shared" si="200"/>
        <v>89222000</v>
      </c>
      <c r="X911" s="747">
        <f>F911+K911+Q911-H911</f>
        <v>2141180000</v>
      </c>
    </row>
    <row r="912" spans="1:24" s="658" customFormat="1">
      <c r="A912" s="803" t="s">
        <v>105</v>
      </c>
      <c r="B912" s="853" t="s">
        <v>2666</v>
      </c>
      <c r="C912" s="877" t="s">
        <v>777</v>
      </c>
      <c r="D912" s="780" t="s">
        <v>844</v>
      </c>
      <c r="E912" s="878">
        <v>300000000000</v>
      </c>
      <c r="F912" s="878">
        <v>167262400</v>
      </c>
      <c r="G912" s="878">
        <v>167262400</v>
      </c>
      <c r="H912" s="878"/>
      <c r="I912" s="878"/>
      <c r="J912" s="878"/>
      <c r="K912" s="878"/>
      <c r="L912" s="878"/>
      <c r="M912" s="878"/>
      <c r="N912" s="878"/>
      <c r="O912" s="878"/>
      <c r="P912" s="878"/>
      <c r="Q912" s="878"/>
      <c r="R912" s="878"/>
      <c r="S912" s="878"/>
      <c r="T912" s="878"/>
      <c r="U912" s="878"/>
      <c r="V912" s="747"/>
      <c r="W912" s="747">
        <f t="shared" si="200"/>
        <v>167262400</v>
      </c>
      <c r="X912" s="747">
        <f t="shared" si="195"/>
        <v>167262400</v>
      </c>
    </row>
    <row r="913" spans="1:24" s="658" customFormat="1">
      <c r="A913" s="803" t="s">
        <v>106</v>
      </c>
      <c r="B913" s="853" t="s">
        <v>2667</v>
      </c>
      <c r="C913" s="877" t="s">
        <v>777</v>
      </c>
      <c r="D913" s="780" t="s">
        <v>845</v>
      </c>
      <c r="E913" s="878">
        <v>531412781000</v>
      </c>
      <c r="F913" s="878">
        <v>23847492000</v>
      </c>
      <c r="G913" s="878">
        <v>121382000</v>
      </c>
      <c r="H913" s="878"/>
      <c r="I913" s="878">
        <v>9000000</v>
      </c>
      <c r="J913" s="878"/>
      <c r="K913" s="878"/>
      <c r="L913" s="878"/>
      <c r="M913" s="878"/>
      <c r="N913" s="878"/>
      <c r="O913" s="878"/>
      <c r="P913" s="878"/>
      <c r="Q913" s="878"/>
      <c r="R913" s="878"/>
      <c r="S913" s="878"/>
      <c r="T913" s="878"/>
      <c r="U913" s="878"/>
      <c r="V913" s="747">
        <f>I913+L913+R913</f>
        <v>9000000</v>
      </c>
      <c r="W913" s="747">
        <f t="shared" si="200"/>
        <v>112382000</v>
      </c>
      <c r="X913" s="747">
        <f t="shared" si="195"/>
        <v>23847492000</v>
      </c>
    </row>
    <row r="914" spans="1:24" s="658" customFormat="1">
      <c r="A914" s="879" t="s">
        <v>2668</v>
      </c>
      <c r="B914" s="880" t="s">
        <v>776</v>
      </c>
      <c r="C914" s="874"/>
      <c r="D914" s="875"/>
      <c r="E914" s="876"/>
      <c r="F914" s="876">
        <f>SUM(F915:F921)</f>
        <v>142707233303</v>
      </c>
      <c r="G914" s="876">
        <f t="shared" ref="G914:U914" si="202">SUM(G915:G921)</f>
        <v>18747835500</v>
      </c>
      <c r="H914" s="876">
        <f t="shared" si="202"/>
        <v>145000000</v>
      </c>
      <c r="I914" s="876">
        <f t="shared" si="202"/>
        <v>8037088500</v>
      </c>
      <c r="J914" s="876">
        <f t="shared" si="202"/>
        <v>0</v>
      </c>
      <c r="K914" s="876">
        <f t="shared" si="202"/>
        <v>0</v>
      </c>
      <c r="L914" s="876">
        <f t="shared" si="202"/>
        <v>0</v>
      </c>
      <c r="M914" s="876">
        <f t="shared" si="202"/>
        <v>0</v>
      </c>
      <c r="N914" s="876">
        <f t="shared" si="202"/>
        <v>0</v>
      </c>
      <c r="O914" s="876">
        <f t="shared" si="202"/>
        <v>0</v>
      </c>
      <c r="P914" s="876">
        <f t="shared" si="202"/>
        <v>0</v>
      </c>
      <c r="Q914" s="876">
        <f t="shared" si="202"/>
        <v>0</v>
      </c>
      <c r="R914" s="876">
        <f t="shared" si="202"/>
        <v>0</v>
      </c>
      <c r="S914" s="876">
        <f t="shared" si="202"/>
        <v>0</v>
      </c>
      <c r="T914" s="876">
        <f t="shared" si="202"/>
        <v>0</v>
      </c>
      <c r="U914" s="876">
        <f t="shared" si="202"/>
        <v>0</v>
      </c>
      <c r="V914" s="876">
        <f>SUM(V915:V921)</f>
        <v>8037088500</v>
      </c>
      <c r="W914" s="876">
        <f>SUM(W915:W921)</f>
        <v>10565747000</v>
      </c>
      <c r="X914" s="876">
        <f>SUM(X915:X921)</f>
        <v>142562233303</v>
      </c>
    </row>
    <row r="915" spans="1:24" s="658" customFormat="1">
      <c r="A915" s="803" t="s">
        <v>104</v>
      </c>
      <c r="B915" s="853" t="s">
        <v>2669</v>
      </c>
      <c r="C915" s="877" t="s">
        <v>777</v>
      </c>
      <c r="D915" s="780" t="s">
        <v>847</v>
      </c>
      <c r="E915" s="878">
        <v>102148248000</v>
      </c>
      <c r="F915" s="878">
        <v>46740000000</v>
      </c>
      <c r="G915" s="878">
        <v>12757500000</v>
      </c>
      <c r="H915" s="878"/>
      <c r="I915" s="878">
        <v>3870000000</v>
      </c>
      <c r="J915" s="878"/>
      <c r="K915" s="878"/>
      <c r="L915" s="878"/>
      <c r="M915" s="878"/>
      <c r="N915" s="878"/>
      <c r="O915" s="878"/>
      <c r="P915" s="878"/>
      <c r="Q915" s="878"/>
      <c r="R915" s="878"/>
      <c r="S915" s="878"/>
      <c r="T915" s="878"/>
      <c r="U915" s="878"/>
      <c r="V915" s="747">
        <f>I915+L915+R915</f>
        <v>3870000000</v>
      </c>
      <c r="W915" s="747">
        <f t="shared" si="200"/>
        <v>8887500000</v>
      </c>
      <c r="X915" s="747">
        <f t="shared" ref="X915:X925" si="203">F915+K915+Q915</f>
        <v>46740000000</v>
      </c>
    </row>
    <row r="916" spans="1:24" s="658" customFormat="1">
      <c r="A916" s="803" t="s">
        <v>105</v>
      </c>
      <c r="B916" s="853" t="s">
        <v>2670</v>
      </c>
      <c r="C916" s="877" t="s">
        <v>777</v>
      </c>
      <c r="D916" s="780" t="s">
        <v>464</v>
      </c>
      <c r="E916" s="878">
        <v>217609474000</v>
      </c>
      <c r="F916" s="878">
        <v>442315000</v>
      </c>
      <c r="G916" s="878">
        <v>298315000</v>
      </c>
      <c r="H916" s="878"/>
      <c r="I916" s="878"/>
      <c r="J916" s="878"/>
      <c r="K916" s="878"/>
      <c r="L916" s="878"/>
      <c r="M916" s="878"/>
      <c r="N916" s="878"/>
      <c r="O916" s="878"/>
      <c r="P916" s="878"/>
      <c r="Q916" s="878"/>
      <c r="R916" s="878"/>
      <c r="S916" s="878"/>
      <c r="T916" s="878"/>
      <c r="U916" s="878"/>
      <c r="V916" s="747"/>
      <c r="W916" s="747">
        <f t="shared" si="200"/>
        <v>298315000</v>
      </c>
      <c r="X916" s="747">
        <f t="shared" si="203"/>
        <v>442315000</v>
      </c>
    </row>
    <row r="917" spans="1:24" s="658" customFormat="1">
      <c r="A917" s="803" t="s">
        <v>106</v>
      </c>
      <c r="B917" s="853" t="s">
        <v>2671</v>
      </c>
      <c r="C917" s="877" t="s">
        <v>777</v>
      </c>
      <c r="D917" s="780" t="s">
        <v>1958</v>
      </c>
      <c r="E917" s="878">
        <v>262665905088</v>
      </c>
      <c r="F917" s="878">
        <v>5708740803</v>
      </c>
      <c r="G917" s="878">
        <v>1494659000</v>
      </c>
      <c r="H917" s="878">
        <v>145000000</v>
      </c>
      <c r="I917" s="878">
        <v>216253000</v>
      </c>
      <c r="J917" s="878"/>
      <c r="K917" s="878"/>
      <c r="L917" s="878"/>
      <c r="M917" s="878"/>
      <c r="N917" s="878"/>
      <c r="O917" s="878"/>
      <c r="P917" s="878"/>
      <c r="Q917" s="878"/>
      <c r="R917" s="878"/>
      <c r="S917" s="878"/>
      <c r="T917" s="878"/>
      <c r="U917" s="878"/>
      <c r="V917" s="747">
        <f>I917+L917+R917</f>
        <v>216253000</v>
      </c>
      <c r="W917" s="747">
        <f t="shared" si="200"/>
        <v>1133406000</v>
      </c>
      <c r="X917" s="747">
        <f>F917+K917+Q917-H917</f>
        <v>5563740803</v>
      </c>
    </row>
    <row r="918" spans="1:24" s="658" customFormat="1">
      <c r="A918" s="803" t="s">
        <v>128</v>
      </c>
      <c r="B918" s="853" t="s">
        <v>2672</v>
      </c>
      <c r="C918" s="877" t="s">
        <v>777</v>
      </c>
      <c r="D918" s="780" t="s">
        <v>466</v>
      </c>
      <c r="E918" s="878">
        <v>195360634000</v>
      </c>
      <c r="F918" s="878">
        <v>398939500</v>
      </c>
      <c r="G918" s="878">
        <v>16135500</v>
      </c>
      <c r="H918" s="878"/>
      <c r="I918" s="878">
        <v>13135500</v>
      </c>
      <c r="J918" s="878"/>
      <c r="K918" s="878"/>
      <c r="L918" s="878"/>
      <c r="M918" s="878"/>
      <c r="N918" s="878"/>
      <c r="O918" s="878"/>
      <c r="P918" s="878"/>
      <c r="Q918" s="878"/>
      <c r="R918" s="878"/>
      <c r="S918" s="878"/>
      <c r="T918" s="878"/>
      <c r="U918" s="878"/>
      <c r="V918" s="747">
        <f>I918+L918+R918</f>
        <v>13135500</v>
      </c>
      <c r="W918" s="747">
        <f t="shared" si="200"/>
        <v>3000000</v>
      </c>
      <c r="X918" s="747">
        <f t="shared" si="203"/>
        <v>398939500</v>
      </c>
    </row>
    <row r="919" spans="1:24" s="658" customFormat="1">
      <c r="A919" s="803" t="s">
        <v>359</v>
      </c>
      <c r="B919" s="853" t="s">
        <v>2473</v>
      </c>
      <c r="C919" s="877" t="s">
        <v>777</v>
      </c>
      <c r="D919" s="780" t="s">
        <v>849</v>
      </c>
      <c r="E919" s="878">
        <v>407958362000</v>
      </c>
      <c r="F919" s="878">
        <v>68208030000</v>
      </c>
      <c r="G919" s="878">
        <v>1737076000</v>
      </c>
      <c r="H919" s="878"/>
      <c r="I919" s="878">
        <v>1593550000</v>
      </c>
      <c r="J919" s="878"/>
      <c r="K919" s="878"/>
      <c r="L919" s="878"/>
      <c r="M919" s="878"/>
      <c r="N919" s="878"/>
      <c r="O919" s="878"/>
      <c r="P919" s="878"/>
      <c r="Q919" s="878"/>
      <c r="R919" s="878"/>
      <c r="S919" s="878"/>
      <c r="T919" s="878"/>
      <c r="U919" s="878"/>
      <c r="V919" s="747">
        <f>I919+L919+R919</f>
        <v>1593550000</v>
      </c>
      <c r="W919" s="747">
        <f t="shared" si="200"/>
        <v>143526000</v>
      </c>
      <c r="X919" s="747">
        <f t="shared" si="203"/>
        <v>68208030000</v>
      </c>
    </row>
    <row r="920" spans="1:24" s="658" customFormat="1">
      <c r="A920" s="803" t="s">
        <v>107</v>
      </c>
      <c r="B920" s="853" t="s">
        <v>2673</v>
      </c>
      <c r="C920" s="877" t="s">
        <v>777</v>
      </c>
      <c r="D920" s="780" t="s">
        <v>850</v>
      </c>
      <c r="E920" s="878">
        <v>145995683000</v>
      </c>
      <c r="F920" s="878">
        <v>7746458000</v>
      </c>
      <c r="G920" s="878">
        <v>100000000</v>
      </c>
      <c r="H920" s="878"/>
      <c r="I920" s="878"/>
      <c r="J920" s="878"/>
      <c r="K920" s="878"/>
      <c r="L920" s="878"/>
      <c r="M920" s="878"/>
      <c r="N920" s="878"/>
      <c r="O920" s="878"/>
      <c r="P920" s="878"/>
      <c r="Q920" s="878"/>
      <c r="R920" s="878"/>
      <c r="S920" s="878"/>
      <c r="T920" s="878"/>
      <c r="U920" s="878"/>
      <c r="V920" s="747"/>
      <c r="W920" s="747">
        <f t="shared" si="200"/>
        <v>100000000</v>
      </c>
      <c r="X920" s="747">
        <f t="shared" si="203"/>
        <v>7746458000</v>
      </c>
    </row>
    <row r="921" spans="1:24" s="658" customFormat="1">
      <c r="A921" s="803" t="s">
        <v>433</v>
      </c>
      <c r="B921" s="853" t="s">
        <v>2674</v>
      </c>
      <c r="C921" s="877" t="s">
        <v>777</v>
      </c>
      <c r="D921" s="780" t="s">
        <v>851</v>
      </c>
      <c r="E921" s="878">
        <v>659937074000</v>
      </c>
      <c r="F921" s="878">
        <v>13462750000</v>
      </c>
      <c r="G921" s="878">
        <v>2344150000</v>
      </c>
      <c r="H921" s="878"/>
      <c r="I921" s="878">
        <v>2344150000</v>
      </c>
      <c r="J921" s="878"/>
      <c r="K921" s="878"/>
      <c r="L921" s="878"/>
      <c r="M921" s="878"/>
      <c r="N921" s="878"/>
      <c r="O921" s="878"/>
      <c r="P921" s="878"/>
      <c r="Q921" s="878"/>
      <c r="R921" s="878"/>
      <c r="S921" s="878"/>
      <c r="T921" s="878"/>
      <c r="U921" s="878"/>
      <c r="V921" s="747">
        <f>I921+L921+R921</f>
        <v>2344150000</v>
      </c>
      <c r="W921" s="747"/>
      <c r="X921" s="747">
        <f t="shared" si="203"/>
        <v>13462750000</v>
      </c>
    </row>
    <row r="922" spans="1:24" s="658" customFormat="1">
      <c r="A922" s="836" t="s">
        <v>118</v>
      </c>
      <c r="B922" s="775" t="s">
        <v>2675</v>
      </c>
      <c r="C922" s="870"/>
      <c r="D922" s="782"/>
      <c r="E922" s="871"/>
      <c r="F922" s="871">
        <f>F923</f>
        <v>50000000000</v>
      </c>
      <c r="G922" s="871">
        <f t="shared" ref="G922:X924" si="204">G923</f>
        <v>42336180000</v>
      </c>
      <c r="H922" s="871">
        <f t="shared" si="204"/>
        <v>0</v>
      </c>
      <c r="I922" s="871">
        <f t="shared" si="204"/>
        <v>5736125591</v>
      </c>
      <c r="J922" s="871">
        <f t="shared" si="204"/>
        <v>0</v>
      </c>
      <c r="K922" s="871">
        <f t="shared" si="204"/>
        <v>0</v>
      </c>
      <c r="L922" s="871">
        <f t="shared" si="204"/>
        <v>0</v>
      </c>
      <c r="M922" s="871">
        <f t="shared" si="204"/>
        <v>0</v>
      </c>
      <c r="N922" s="871">
        <f t="shared" si="204"/>
        <v>0</v>
      </c>
      <c r="O922" s="871">
        <f t="shared" si="204"/>
        <v>0</v>
      </c>
      <c r="P922" s="871">
        <f t="shared" si="204"/>
        <v>0</v>
      </c>
      <c r="Q922" s="871">
        <f t="shared" si="204"/>
        <v>0</v>
      </c>
      <c r="R922" s="871">
        <f t="shared" si="204"/>
        <v>0</v>
      </c>
      <c r="S922" s="871">
        <f t="shared" si="204"/>
        <v>0</v>
      </c>
      <c r="T922" s="871">
        <f t="shared" si="204"/>
        <v>0</v>
      </c>
      <c r="U922" s="871">
        <f t="shared" si="204"/>
        <v>0</v>
      </c>
      <c r="V922" s="871">
        <f t="shared" si="204"/>
        <v>5736125591</v>
      </c>
      <c r="W922" s="871">
        <f t="shared" si="204"/>
        <v>36600054409</v>
      </c>
      <c r="X922" s="871">
        <f>X923</f>
        <v>50000000000</v>
      </c>
    </row>
    <row r="923" spans="1:24" s="658" customFormat="1">
      <c r="A923" s="881"/>
      <c r="B923" s="882" t="s">
        <v>2676</v>
      </c>
      <c r="C923" s="883"/>
      <c r="D923" s="884"/>
      <c r="E923" s="885"/>
      <c r="F923" s="885">
        <f>F924</f>
        <v>50000000000</v>
      </c>
      <c r="G923" s="885">
        <f t="shared" si="204"/>
        <v>42336180000</v>
      </c>
      <c r="H923" s="885">
        <f t="shared" si="204"/>
        <v>0</v>
      </c>
      <c r="I923" s="885">
        <f t="shared" si="204"/>
        <v>5736125591</v>
      </c>
      <c r="J923" s="885">
        <f t="shared" si="204"/>
        <v>0</v>
      </c>
      <c r="K923" s="885">
        <f t="shared" si="204"/>
        <v>0</v>
      </c>
      <c r="L923" s="885">
        <f t="shared" si="204"/>
        <v>0</v>
      </c>
      <c r="M923" s="885">
        <f t="shared" si="204"/>
        <v>0</v>
      </c>
      <c r="N923" s="885">
        <f t="shared" si="204"/>
        <v>0</v>
      </c>
      <c r="O923" s="885">
        <f t="shared" si="204"/>
        <v>0</v>
      </c>
      <c r="P923" s="885">
        <f t="shared" si="204"/>
        <v>0</v>
      </c>
      <c r="Q923" s="885">
        <f t="shared" si="204"/>
        <v>0</v>
      </c>
      <c r="R923" s="885">
        <f t="shared" si="204"/>
        <v>0</v>
      </c>
      <c r="S923" s="885">
        <f t="shared" si="204"/>
        <v>0</v>
      </c>
      <c r="T923" s="885">
        <f t="shared" si="204"/>
        <v>0</v>
      </c>
      <c r="U923" s="885">
        <f t="shared" si="204"/>
        <v>0</v>
      </c>
      <c r="V923" s="885">
        <f t="shared" si="204"/>
        <v>5736125591</v>
      </c>
      <c r="W923" s="885">
        <f t="shared" si="204"/>
        <v>36600054409</v>
      </c>
      <c r="X923" s="885">
        <f t="shared" si="204"/>
        <v>50000000000</v>
      </c>
    </row>
    <row r="924" spans="1:24" s="658" customFormat="1">
      <c r="A924" s="803" t="s">
        <v>1088</v>
      </c>
      <c r="B924" s="853" t="s">
        <v>2677</v>
      </c>
      <c r="C924" s="886"/>
      <c r="D924" s="887"/>
      <c r="E924" s="878"/>
      <c r="F924" s="878">
        <f>F925</f>
        <v>50000000000</v>
      </c>
      <c r="G924" s="878">
        <f t="shared" si="204"/>
        <v>42336180000</v>
      </c>
      <c r="H924" s="878">
        <f t="shared" si="204"/>
        <v>0</v>
      </c>
      <c r="I924" s="878">
        <f t="shared" si="204"/>
        <v>5736125591</v>
      </c>
      <c r="J924" s="878">
        <f t="shared" si="204"/>
        <v>0</v>
      </c>
      <c r="K924" s="878">
        <f t="shared" si="204"/>
        <v>0</v>
      </c>
      <c r="L924" s="878">
        <f t="shared" si="204"/>
        <v>0</v>
      </c>
      <c r="M924" s="878">
        <f t="shared" si="204"/>
        <v>0</v>
      </c>
      <c r="N924" s="878">
        <f t="shared" si="204"/>
        <v>0</v>
      </c>
      <c r="O924" s="878">
        <f t="shared" si="204"/>
        <v>0</v>
      </c>
      <c r="P924" s="878">
        <f t="shared" si="204"/>
        <v>0</v>
      </c>
      <c r="Q924" s="878">
        <f t="shared" si="204"/>
        <v>0</v>
      </c>
      <c r="R924" s="878">
        <f t="shared" si="204"/>
        <v>0</v>
      </c>
      <c r="S924" s="878">
        <f t="shared" si="204"/>
        <v>0</v>
      </c>
      <c r="T924" s="878">
        <f t="shared" si="204"/>
        <v>0</v>
      </c>
      <c r="U924" s="878">
        <f t="shared" si="204"/>
        <v>0</v>
      </c>
      <c r="V924" s="878">
        <f t="shared" si="204"/>
        <v>5736125591</v>
      </c>
      <c r="W924" s="878">
        <f t="shared" si="204"/>
        <v>36600054409</v>
      </c>
      <c r="X924" s="878">
        <f t="shared" si="204"/>
        <v>50000000000</v>
      </c>
    </row>
    <row r="925" spans="1:24" s="658" customFormat="1">
      <c r="A925" s="803" t="s">
        <v>104</v>
      </c>
      <c r="B925" s="853" t="s">
        <v>2678</v>
      </c>
      <c r="C925" s="877" t="s">
        <v>777</v>
      </c>
      <c r="D925" s="780" t="s">
        <v>2648</v>
      </c>
      <c r="E925" s="878">
        <v>119888002000</v>
      </c>
      <c r="F925" s="878">
        <v>50000000000</v>
      </c>
      <c r="G925" s="878">
        <v>42336180000</v>
      </c>
      <c r="H925" s="878"/>
      <c r="I925" s="878">
        <v>5736125591</v>
      </c>
      <c r="J925" s="878"/>
      <c r="K925" s="878"/>
      <c r="L925" s="878"/>
      <c r="M925" s="878"/>
      <c r="N925" s="878"/>
      <c r="O925" s="878"/>
      <c r="P925" s="878"/>
      <c r="Q925" s="878"/>
      <c r="R925" s="878"/>
      <c r="S925" s="878"/>
      <c r="T925" s="878"/>
      <c r="U925" s="878"/>
      <c r="V925" s="747">
        <f>I925+L925+R925</f>
        <v>5736125591</v>
      </c>
      <c r="W925" s="747">
        <f t="shared" si="200"/>
        <v>36600054409</v>
      </c>
      <c r="X925" s="747">
        <f t="shared" si="203"/>
        <v>50000000000</v>
      </c>
    </row>
    <row r="926" spans="1:24" s="658" customFormat="1">
      <c r="A926" s="827" t="s">
        <v>121</v>
      </c>
      <c r="B926" s="760" t="s">
        <v>2679</v>
      </c>
      <c r="C926" s="738"/>
      <c r="D926" s="746"/>
      <c r="E926" s="747"/>
      <c r="F926" s="731">
        <f>SUM(F927:F940)</f>
        <v>2739370426</v>
      </c>
      <c r="G926" s="731">
        <f>SUM(G927:G940)</f>
        <v>2739370426</v>
      </c>
      <c r="H926" s="747"/>
      <c r="I926" s="731">
        <f>SUM(I927:I940)</f>
        <v>41097000</v>
      </c>
      <c r="J926" s="747"/>
      <c r="K926" s="747"/>
      <c r="L926" s="747"/>
      <c r="M926" s="747"/>
      <c r="N926" s="747"/>
      <c r="O926" s="747"/>
      <c r="P926" s="747"/>
      <c r="Q926" s="747"/>
      <c r="R926" s="747"/>
      <c r="S926" s="747"/>
      <c r="T926" s="747"/>
      <c r="U926" s="747"/>
      <c r="V926" s="731">
        <f>SUM(V927:V940)</f>
        <v>41097000</v>
      </c>
      <c r="W926" s="731">
        <f>SUM(W927:W940)</f>
        <v>2698273426</v>
      </c>
      <c r="X926" s="731">
        <f>SUM(X927:X940)</f>
        <v>0</v>
      </c>
    </row>
    <row r="927" spans="1:24" s="688" customFormat="1" ht="22.5">
      <c r="A927" s="803" t="s">
        <v>104</v>
      </c>
      <c r="B927" s="785" t="s">
        <v>2680</v>
      </c>
      <c r="C927" s="888"/>
      <c r="D927" s="888" t="s">
        <v>2681</v>
      </c>
      <c r="E927" s="889"/>
      <c r="F927" s="889">
        <v>334000000</v>
      </c>
      <c r="G927" s="889">
        <v>334000000</v>
      </c>
      <c r="H927" s="747"/>
      <c r="I927" s="747"/>
      <c r="J927" s="747"/>
      <c r="K927" s="747"/>
      <c r="L927" s="747"/>
      <c r="M927" s="747"/>
      <c r="N927" s="747"/>
      <c r="O927" s="747"/>
      <c r="P927" s="747"/>
      <c r="Q927" s="747"/>
      <c r="R927" s="747"/>
      <c r="S927" s="747"/>
      <c r="T927" s="747"/>
      <c r="U927" s="747"/>
      <c r="V927" s="747"/>
      <c r="W927" s="747">
        <f t="shared" si="200"/>
        <v>334000000</v>
      </c>
      <c r="X927" s="747"/>
    </row>
    <row r="928" spans="1:24" s="688" customFormat="1" ht="22.5">
      <c r="A928" s="803" t="s">
        <v>105</v>
      </c>
      <c r="B928" s="785" t="s">
        <v>2682</v>
      </c>
      <c r="C928" s="888"/>
      <c r="D928" s="888" t="s">
        <v>2683</v>
      </c>
      <c r="E928" s="889"/>
      <c r="F928" s="889">
        <v>409000000</v>
      </c>
      <c r="G928" s="889">
        <v>409000000</v>
      </c>
      <c r="H928" s="747"/>
      <c r="I928" s="747"/>
      <c r="J928" s="747"/>
      <c r="K928" s="747"/>
      <c r="L928" s="747"/>
      <c r="M928" s="747"/>
      <c r="N928" s="747"/>
      <c r="O928" s="747"/>
      <c r="P928" s="747"/>
      <c r="Q928" s="747"/>
      <c r="R928" s="747"/>
      <c r="S928" s="747"/>
      <c r="T928" s="747"/>
      <c r="U928" s="747"/>
      <c r="V928" s="747"/>
      <c r="W928" s="747">
        <f t="shared" si="200"/>
        <v>409000000</v>
      </c>
      <c r="X928" s="747"/>
    </row>
    <row r="929" spans="1:24" s="688" customFormat="1" ht="22.5">
      <c r="A929" s="803" t="s">
        <v>106</v>
      </c>
      <c r="B929" s="785" t="s">
        <v>2684</v>
      </c>
      <c r="C929" s="888"/>
      <c r="D929" s="888" t="s">
        <v>2685</v>
      </c>
      <c r="E929" s="889"/>
      <c r="F929" s="889">
        <v>336000000</v>
      </c>
      <c r="G929" s="889">
        <v>336000000</v>
      </c>
      <c r="H929" s="747"/>
      <c r="I929" s="747"/>
      <c r="J929" s="747"/>
      <c r="K929" s="747"/>
      <c r="L929" s="747"/>
      <c r="M929" s="747"/>
      <c r="N929" s="747"/>
      <c r="O929" s="747"/>
      <c r="P929" s="747"/>
      <c r="Q929" s="747"/>
      <c r="R929" s="747"/>
      <c r="S929" s="747"/>
      <c r="T929" s="747"/>
      <c r="U929" s="747"/>
      <c r="V929" s="747"/>
      <c r="W929" s="747">
        <f t="shared" si="200"/>
        <v>336000000</v>
      </c>
      <c r="X929" s="747"/>
    </row>
    <row r="930" spans="1:24" s="688" customFormat="1" ht="22.5">
      <c r="A930" s="803" t="s">
        <v>128</v>
      </c>
      <c r="B930" s="785" t="s">
        <v>2686</v>
      </c>
      <c r="C930" s="888"/>
      <c r="D930" s="888" t="s">
        <v>2687</v>
      </c>
      <c r="E930" s="889"/>
      <c r="F930" s="889">
        <v>136335000</v>
      </c>
      <c r="G930" s="889">
        <v>136335000</v>
      </c>
      <c r="H930" s="747"/>
      <c r="I930" s="747"/>
      <c r="J930" s="747"/>
      <c r="K930" s="747"/>
      <c r="L930" s="747"/>
      <c r="M930" s="747"/>
      <c r="N930" s="747"/>
      <c r="O930" s="747"/>
      <c r="P930" s="747"/>
      <c r="Q930" s="747"/>
      <c r="R930" s="747"/>
      <c r="S930" s="747"/>
      <c r="T930" s="747"/>
      <c r="U930" s="747"/>
      <c r="V930" s="747"/>
      <c r="W930" s="747">
        <f t="shared" si="200"/>
        <v>136335000</v>
      </c>
      <c r="X930" s="747"/>
    </row>
    <row r="931" spans="1:24" s="688" customFormat="1" ht="22.5">
      <c r="A931" s="803" t="s">
        <v>359</v>
      </c>
      <c r="B931" s="785" t="s">
        <v>2688</v>
      </c>
      <c r="C931" s="888"/>
      <c r="D931" s="888" t="s">
        <v>2689</v>
      </c>
      <c r="E931" s="889"/>
      <c r="F931" s="889">
        <v>702000000</v>
      </c>
      <c r="G931" s="889">
        <v>702000000</v>
      </c>
      <c r="H931" s="747"/>
      <c r="I931" s="747"/>
      <c r="J931" s="747"/>
      <c r="K931" s="747"/>
      <c r="L931" s="747"/>
      <c r="M931" s="747"/>
      <c r="N931" s="747"/>
      <c r="O931" s="747"/>
      <c r="P931" s="747"/>
      <c r="Q931" s="747"/>
      <c r="R931" s="747"/>
      <c r="S931" s="747"/>
      <c r="T931" s="747"/>
      <c r="U931" s="747"/>
      <c r="V931" s="747"/>
      <c r="W931" s="747">
        <f t="shared" si="200"/>
        <v>702000000</v>
      </c>
      <c r="X931" s="747"/>
    </row>
    <row r="932" spans="1:24" s="688" customFormat="1" ht="22.5">
      <c r="A932" s="803" t="s">
        <v>107</v>
      </c>
      <c r="B932" s="785" t="s">
        <v>2690</v>
      </c>
      <c r="C932" s="888"/>
      <c r="D932" s="888" t="s">
        <v>2691</v>
      </c>
      <c r="E932" s="889"/>
      <c r="F932" s="889">
        <v>260676626</v>
      </c>
      <c r="G932" s="889">
        <v>260676626</v>
      </c>
      <c r="H932" s="747"/>
      <c r="I932" s="747"/>
      <c r="J932" s="747"/>
      <c r="K932" s="747"/>
      <c r="L932" s="747"/>
      <c r="M932" s="747"/>
      <c r="N932" s="747"/>
      <c r="O932" s="747"/>
      <c r="P932" s="747"/>
      <c r="Q932" s="747"/>
      <c r="R932" s="747"/>
      <c r="S932" s="747"/>
      <c r="T932" s="747"/>
      <c r="U932" s="747"/>
      <c r="V932" s="747"/>
      <c r="W932" s="747">
        <f t="shared" si="200"/>
        <v>260676626</v>
      </c>
      <c r="X932" s="747"/>
    </row>
    <row r="933" spans="1:24" s="688" customFormat="1">
      <c r="A933" s="803" t="s">
        <v>433</v>
      </c>
      <c r="B933" s="785" t="s">
        <v>2692</v>
      </c>
      <c r="C933" s="888"/>
      <c r="D933" s="888" t="s">
        <v>2693</v>
      </c>
      <c r="E933" s="889"/>
      <c r="F933" s="889">
        <v>800</v>
      </c>
      <c r="G933" s="889">
        <v>800</v>
      </c>
      <c r="H933" s="747"/>
      <c r="I933" s="747"/>
      <c r="J933" s="747"/>
      <c r="K933" s="747"/>
      <c r="L933" s="747"/>
      <c r="M933" s="747"/>
      <c r="N933" s="747"/>
      <c r="O933" s="747"/>
      <c r="P933" s="747"/>
      <c r="Q933" s="747"/>
      <c r="R933" s="747"/>
      <c r="S933" s="747"/>
      <c r="T933" s="747"/>
      <c r="U933" s="747"/>
      <c r="V933" s="747"/>
      <c r="W933" s="747">
        <f t="shared" si="200"/>
        <v>800</v>
      </c>
      <c r="X933" s="747"/>
    </row>
    <row r="934" spans="1:24" s="688" customFormat="1">
      <c r="A934" s="803" t="s">
        <v>434</v>
      </c>
      <c r="B934" s="785" t="s">
        <v>2694</v>
      </c>
      <c r="C934" s="888"/>
      <c r="D934" s="888" t="s">
        <v>2695</v>
      </c>
      <c r="E934" s="889"/>
      <c r="F934" s="889">
        <v>151840000</v>
      </c>
      <c r="G934" s="889">
        <v>151840000</v>
      </c>
      <c r="H934" s="747"/>
      <c r="I934" s="747"/>
      <c r="J934" s="747"/>
      <c r="K934" s="747"/>
      <c r="L934" s="747"/>
      <c r="M934" s="747"/>
      <c r="N934" s="747"/>
      <c r="O934" s="747"/>
      <c r="P934" s="747"/>
      <c r="Q934" s="747"/>
      <c r="R934" s="747"/>
      <c r="S934" s="747"/>
      <c r="T934" s="747"/>
      <c r="U934" s="747"/>
      <c r="V934" s="747"/>
      <c r="W934" s="747">
        <f t="shared" si="200"/>
        <v>151840000</v>
      </c>
      <c r="X934" s="747"/>
    </row>
    <row r="935" spans="1:24" s="688" customFormat="1">
      <c r="A935" s="803" t="s">
        <v>436</v>
      </c>
      <c r="B935" s="785" t="s">
        <v>2696</v>
      </c>
      <c r="C935" s="888"/>
      <c r="D935" s="888" t="s">
        <v>2697</v>
      </c>
      <c r="E935" s="889"/>
      <c r="F935" s="889">
        <v>83087000</v>
      </c>
      <c r="G935" s="889">
        <v>83087000</v>
      </c>
      <c r="H935" s="747"/>
      <c r="I935" s="747"/>
      <c r="J935" s="747"/>
      <c r="K935" s="747"/>
      <c r="L935" s="747"/>
      <c r="M935" s="747"/>
      <c r="N935" s="747"/>
      <c r="O935" s="747"/>
      <c r="P935" s="747"/>
      <c r="Q935" s="747"/>
      <c r="R935" s="747"/>
      <c r="S935" s="747"/>
      <c r="T935" s="747"/>
      <c r="U935" s="747"/>
      <c r="V935" s="747"/>
      <c r="W935" s="747">
        <f t="shared" si="200"/>
        <v>83087000</v>
      </c>
      <c r="X935" s="747"/>
    </row>
    <row r="936" spans="1:24" s="688" customFormat="1">
      <c r="A936" s="803" t="s">
        <v>438</v>
      </c>
      <c r="B936" s="785" t="s">
        <v>2698</v>
      </c>
      <c r="C936" s="888"/>
      <c r="D936" s="888" t="s">
        <v>2699</v>
      </c>
      <c r="E936" s="889"/>
      <c r="F936" s="889">
        <v>10000000</v>
      </c>
      <c r="G936" s="889">
        <v>10000000</v>
      </c>
      <c r="H936" s="747"/>
      <c r="I936" s="747"/>
      <c r="J936" s="747"/>
      <c r="K936" s="747"/>
      <c r="L936" s="747"/>
      <c r="M936" s="747"/>
      <c r="N936" s="747"/>
      <c r="O936" s="747"/>
      <c r="P936" s="747"/>
      <c r="Q936" s="747"/>
      <c r="R936" s="747"/>
      <c r="S936" s="747"/>
      <c r="T936" s="747"/>
      <c r="U936" s="747"/>
      <c r="V936" s="747"/>
      <c r="W936" s="747">
        <f t="shared" si="200"/>
        <v>10000000</v>
      </c>
      <c r="X936" s="747"/>
    </row>
    <row r="937" spans="1:24" s="688" customFormat="1" ht="22.5">
      <c r="A937" s="803" t="s">
        <v>440</v>
      </c>
      <c r="B937" s="785" t="s">
        <v>2700</v>
      </c>
      <c r="C937" s="888"/>
      <c r="D937" s="888" t="s">
        <v>2701</v>
      </c>
      <c r="E937" s="889"/>
      <c r="F937" s="889">
        <v>224391000</v>
      </c>
      <c r="G937" s="889">
        <v>224391000</v>
      </c>
      <c r="H937" s="747"/>
      <c r="I937" s="747"/>
      <c r="J937" s="747"/>
      <c r="K937" s="747"/>
      <c r="L937" s="747"/>
      <c r="M937" s="747"/>
      <c r="N937" s="747"/>
      <c r="O937" s="747"/>
      <c r="P937" s="747"/>
      <c r="Q937" s="747"/>
      <c r="R937" s="747"/>
      <c r="S937" s="747"/>
      <c r="T937" s="747"/>
      <c r="U937" s="747"/>
      <c r="V937" s="747"/>
      <c r="W937" s="747">
        <f t="shared" si="200"/>
        <v>224391000</v>
      </c>
      <c r="X937" s="747"/>
    </row>
    <row r="938" spans="1:24" s="688" customFormat="1">
      <c r="A938" s="803" t="s">
        <v>441</v>
      </c>
      <c r="B938" s="785" t="s">
        <v>2702</v>
      </c>
      <c r="C938" s="888"/>
      <c r="D938" s="888" t="s">
        <v>2703</v>
      </c>
      <c r="E938" s="889"/>
      <c r="F938" s="889">
        <v>10000000</v>
      </c>
      <c r="G938" s="889">
        <v>10000000</v>
      </c>
      <c r="H938" s="747"/>
      <c r="I938" s="747"/>
      <c r="J938" s="747"/>
      <c r="K938" s="747"/>
      <c r="L938" s="747"/>
      <c r="M938" s="747"/>
      <c r="N938" s="747"/>
      <c r="O938" s="747"/>
      <c r="P938" s="747"/>
      <c r="Q938" s="747"/>
      <c r="R938" s="747"/>
      <c r="S938" s="747"/>
      <c r="T938" s="747"/>
      <c r="U938" s="747"/>
      <c r="V938" s="747"/>
      <c r="W938" s="747">
        <f t="shared" si="200"/>
        <v>10000000</v>
      </c>
      <c r="X938" s="747"/>
    </row>
    <row r="939" spans="1:24" s="688" customFormat="1">
      <c r="A939" s="890" t="s">
        <v>442</v>
      </c>
      <c r="B939" s="891" t="s">
        <v>2704</v>
      </c>
      <c r="C939" s="888"/>
      <c r="D939" s="888" t="s">
        <v>826</v>
      </c>
      <c r="E939" s="889"/>
      <c r="F939" s="889">
        <v>40943000</v>
      </c>
      <c r="G939" s="889">
        <v>40943000</v>
      </c>
      <c r="H939" s="892"/>
      <c r="I939" s="892"/>
      <c r="J939" s="892"/>
      <c r="K939" s="892"/>
      <c r="L939" s="892"/>
      <c r="M939" s="892"/>
      <c r="N939" s="892"/>
      <c r="O939" s="892"/>
      <c r="P939" s="892"/>
      <c r="Q939" s="892"/>
      <c r="R939" s="892"/>
      <c r="S939" s="892"/>
      <c r="T939" s="892"/>
      <c r="U939" s="892"/>
      <c r="V939" s="892"/>
      <c r="W939" s="892">
        <f>G939-H939-I939+M939+S939</f>
        <v>40943000</v>
      </c>
      <c r="X939" s="892"/>
    </row>
    <row r="940" spans="1:24" s="658" customFormat="1">
      <c r="A940" s="803" t="s">
        <v>443</v>
      </c>
      <c r="B940" s="893" t="s">
        <v>827</v>
      </c>
      <c r="C940" s="894"/>
      <c r="D940" s="895" t="s">
        <v>828</v>
      </c>
      <c r="E940" s="878"/>
      <c r="F940" s="895">
        <v>41097000</v>
      </c>
      <c r="G940" s="895">
        <v>41097000</v>
      </c>
      <c r="H940" s="895"/>
      <c r="I940" s="895">
        <v>41097000</v>
      </c>
      <c r="J940" s="878"/>
      <c r="K940" s="878"/>
      <c r="L940" s="878"/>
      <c r="M940" s="878"/>
      <c r="N940" s="878"/>
      <c r="O940" s="878"/>
      <c r="P940" s="878"/>
      <c r="Q940" s="878"/>
      <c r="R940" s="878"/>
      <c r="S940" s="878"/>
      <c r="T940" s="878"/>
      <c r="U940" s="878"/>
      <c r="V940" s="878">
        <f>I940</f>
        <v>41097000</v>
      </c>
      <c r="W940" s="878"/>
      <c r="X940" s="878"/>
    </row>
    <row r="941" spans="1:24" s="658" customFormat="1" ht="36.75" customHeight="1">
      <c r="A941" s="896"/>
      <c r="B941" s="897"/>
      <c r="C941" s="898"/>
      <c r="D941" s="898"/>
      <c r="E941" s="899"/>
      <c r="F941" s="900"/>
      <c r="G941" s="900"/>
      <c r="H941" s="900"/>
      <c r="I941" s="901"/>
      <c r="J941" s="901"/>
      <c r="K941" s="901"/>
      <c r="L941" s="901"/>
      <c r="M941" s="901"/>
      <c r="N941" s="901"/>
      <c r="O941" s="901"/>
      <c r="P941" s="901"/>
      <c r="Q941" s="901"/>
      <c r="R941" s="901"/>
      <c r="S941" s="901"/>
      <c r="T941" s="901"/>
      <c r="U941" s="901"/>
      <c r="V941" s="901"/>
      <c r="W941" s="901"/>
      <c r="X941" s="901"/>
    </row>
    <row r="942" spans="1:24" s="688" customFormat="1">
      <c r="A942" s="700"/>
      <c r="B942" s="701"/>
      <c r="C942" s="702"/>
      <c r="D942" s="702"/>
      <c r="E942" s="703"/>
      <c r="F942" s="703"/>
      <c r="G942" s="703"/>
      <c r="H942" s="704"/>
      <c r="I942" s="704"/>
      <c r="J942" s="704"/>
      <c r="K942" s="704"/>
      <c r="L942" s="704"/>
      <c r="M942" s="704"/>
      <c r="N942" s="704"/>
      <c r="O942" s="704"/>
      <c r="P942" s="704"/>
      <c r="Q942" s="704"/>
      <c r="R942" s="704"/>
      <c r="S942" s="704"/>
      <c r="T942" s="704"/>
      <c r="U942" s="704"/>
      <c r="V942" s="704"/>
      <c r="W942" s="705"/>
      <c r="X942" s="704"/>
    </row>
    <row r="943" spans="1:24" s="688" customFormat="1" ht="19.5" customHeight="1">
      <c r="A943" s="700"/>
      <c r="B943" s="906"/>
      <c r="C943" s="907"/>
      <c r="D943" s="907"/>
      <c r="E943" s="908"/>
      <c r="F943" s="908"/>
      <c r="G943" s="908"/>
      <c r="H943" s="909"/>
      <c r="I943" s="911"/>
      <c r="J943" s="911"/>
      <c r="K943" s="1791" t="s">
        <v>2714</v>
      </c>
      <c r="L943" s="1791"/>
      <c r="M943" s="1791"/>
      <c r="N943" s="1791"/>
      <c r="O943" s="1791"/>
      <c r="P943" s="704"/>
      <c r="Q943" s="704"/>
      <c r="R943" s="704"/>
      <c r="S943" s="704"/>
      <c r="T943" s="704"/>
      <c r="U943" s="704"/>
      <c r="V943" s="704"/>
      <c r="W943" s="705"/>
      <c r="X943" s="704"/>
    </row>
    <row r="944" spans="1:24" s="688" customFormat="1" ht="42" customHeight="1">
      <c r="A944" s="700"/>
      <c r="B944" s="912"/>
      <c r="C944" s="1792" t="s">
        <v>877</v>
      </c>
      <c r="D944" s="1792"/>
      <c r="E944" s="1792"/>
      <c r="F944" s="1792"/>
      <c r="G944" s="1792"/>
      <c r="H944" s="909"/>
      <c r="I944" s="910"/>
      <c r="J944" s="910"/>
      <c r="K944" s="1790" t="s">
        <v>356</v>
      </c>
      <c r="L944" s="1790"/>
      <c r="M944" s="1790"/>
      <c r="N944" s="1790"/>
      <c r="O944" s="1790"/>
      <c r="P944" s="704"/>
      <c r="Q944" s="704"/>
      <c r="R944" s="704"/>
      <c r="S944" s="704"/>
      <c r="T944" s="704"/>
      <c r="U944" s="704"/>
      <c r="V944" s="704"/>
      <c r="W944" s="705"/>
      <c r="X944" s="704"/>
    </row>
    <row r="945" spans="1:24" s="650" customFormat="1" ht="23.25">
      <c r="A945" s="711"/>
      <c r="B945" s="712"/>
      <c r="C945" s="713"/>
      <c r="D945" s="708"/>
      <c r="E945" s="709"/>
      <c r="F945" s="647"/>
      <c r="G945" s="709"/>
      <c r="H945" s="709"/>
      <c r="I945" s="709"/>
      <c r="J945" s="709"/>
      <c r="K945" s="709"/>
      <c r="L945" s="709"/>
      <c r="M945" s="709"/>
      <c r="N945" s="709"/>
      <c r="O945" s="709"/>
      <c r="P945" s="709"/>
      <c r="Q945" s="714"/>
      <c r="R945" s="714"/>
      <c r="S945" s="714"/>
      <c r="T945" s="903"/>
      <c r="U945" s="903"/>
      <c r="V945" s="903"/>
      <c r="W945" s="903"/>
      <c r="X945" s="714"/>
    </row>
    <row r="946" spans="1:24" s="650" customFormat="1" ht="23.25">
      <c r="A946" s="711"/>
      <c r="B946" s="712"/>
      <c r="C946" s="713"/>
      <c r="D946" s="708"/>
      <c r="E946" s="709"/>
      <c r="F946" s="647"/>
      <c r="G946" s="709"/>
      <c r="H946" s="709"/>
      <c r="I946" s="709"/>
      <c r="J946" s="709"/>
      <c r="K946" s="709"/>
      <c r="L946" s="709"/>
      <c r="M946" s="709"/>
      <c r="N946" s="709"/>
      <c r="O946" s="709"/>
      <c r="P946" s="709"/>
      <c r="Q946" s="714"/>
      <c r="R946" s="714"/>
      <c r="S946" s="714"/>
      <c r="T946" s="715"/>
      <c r="U946" s="715"/>
      <c r="V946" s="715"/>
      <c r="W946" s="715"/>
      <c r="X946" s="714"/>
    </row>
    <row r="947" spans="1:24" s="650" customFormat="1" ht="23.25">
      <c r="A947" s="716"/>
      <c r="B947" s="706"/>
      <c r="C947" s="707"/>
      <c r="D947" s="708"/>
      <c r="E947" s="709"/>
      <c r="F947" s="647"/>
      <c r="G947" s="709"/>
      <c r="H947" s="709"/>
      <c r="I947" s="709"/>
      <c r="J947" s="709"/>
      <c r="K947" s="709"/>
      <c r="L947" s="709"/>
      <c r="M947" s="709"/>
      <c r="N947" s="709"/>
      <c r="O947" s="709"/>
      <c r="P947" s="709"/>
      <c r="Q947" s="709"/>
      <c r="R947" s="709"/>
      <c r="S947" s="709"/>
      <c r="T947" s="709"/>
      <c r="U947" s="709"/>
      <c r="V947" s="709"/>
      <c r="W947" s="709"/>
      <c r="X947" s="709"/>
    </row>
    <row r="948" spans="1:24" s="650" customFormat="1" ht="23.25">
      <c r="A948" s="716"/>
      <c r="B948" s="706"/>
      <c r="C948" s="707"/>
      <c r="D948" s="708"/>
      <c r="E948" s="709"/>
      <c r="F948" s="647"/>
      <c r="G948" s="709"/>
      <c r="H948" s="709"/>
      <c r="I948" s="709"/>
      <c r="J948" s="709"/>
      <c r="K948" s="709"/>
      <c r="L948" s="709"/>
      <c r="M948" s="709"/>
      <c r="N948" s="709"/>
      <c r="O948" s="709"/>
      <c r="P948" s="709"/>
      <c r="Q948" s="709"/>
      <c r="R948" s="709"/>
      <c r="S948" s="709"/>
      <c r="T948" s="709"/>
      <c r="U948" s="709"/>
      <c r="V948" s="709"/>
      <c r="W948" s="709"/>
      <c r="X948" s="709"/>
    </row>
    <row r="949" spans="1:24" s="650" customFormat="1" ht="23.25">
      <c r="A949" s="716"/>
      <c r="B949" s="1788"/>
      <c r="C949" s="1788"/>
      <c r="D949" s="1788"/>
      <c r="E949" s="709"/>
      <c r="F949" s="647"/>
      <c r="G949" s="709"/>
      <c r="H949" s="709"/>
      <c r="I949" s="709"/>
      <c r="J949" s="1789"/>
      <c r="K949" s="1789"/>
      <c r="L949" s="1789"/>
      <c r="M949" s="1789"/>
      <c r="N949" s="1789"/>
      <c r="O949" s="710"/>
      <c r="P949" s="710"/>
      <c r="Q949" s="710"/>
      <c r="R949" s="709"/>
      <c r="S949" s="709"/>
      <c r="T949" s="709"/>
      <c r="U949" s="710"/>
      <c r="V949" s="710"/>
      <c r="W949" s="709"/>
      <c r="X949" s="709"/>
    </row>
    <row r="977" spans="1:25" s="647" customFormat="1">
      <c r="A977" s="718"/>
      <c r="B977" s="652"/>
      <c r="C977" s="653"/>
      <c r="D977" s="646"/>
      <c r="Q977" s="717"/>
      <c r="R977" s="717"/>
      <c r="S977" s="717"/>
      <c r="Y977" s="648"/>
    </row>
  </sheetData>
  <mergeCells count="34">
    <mergeCell ref="I5:I7"/>
    <mergeCell ref="J5:O5"/>
    <mergeCell ref="P5:U5"/>
    <mergeCell ref="V5:V7"/>
    <mergeCell ref="W5:W7"/>
    <mergeCell ref="A1:B1"/>
    <mergeCell ref="A2:B2"/>
    <mergeCell ref="A3:O3"/>
    <mergeCell ref="P3:X3"/>
    <mergeCell ref="L4:O4"/>
    <mergeCell ref="V1:X1"/>
    <mergeCell ref="T4:U4"/>
    <mergeCell ref="V4:X4"/>
    <mergeCell ref="A5:A7"/>
    <mergeCell ref="B5:B7"/>
    <mergeCell ref="C5:C7"/>
    <mergeCell ref="D5:D7"/>
    <mergeCell ref="E5:E7"/>
    <mergeCell ref="X5:X7"/>
    <mergeCell ref="J6:J7"/>
    <mergeCell ref="K6:M6"/>
    <mergeCell ref="B949:D949"/>
    <mergeCell ref="J949:N949"/>
    <mergeCell ref="Q6:S6"/>
    <mergeCell ref="T6:T7"/>
    <mergeCell ref="U6:U7"/>
    <mergeCell ref="K944:O944"/>
    <mergeCell ref="K943:O943"/>
    <mergeCell ref="C944:G944"/>
    <mergeCell ref="N6:N7"/>
    <mergeCell ref="O6:O7"/>
    <mergeCell ref="P6:P7"/>
    <mergeCell ref="F5:G6"/>
    <mergeCell ref="H5:H7"/>
  </mergeCells>
  <printOptions horizontalCentered="1"/>
  <pageMargins left="0" right="0" top="0" bottom="0" header="0" footer="0"/>
  <pageSetup paperSize="9" scale="80" pageOrder="overThenDown" orientation="landscape" r:id="rId1"/>
  <headerFooter>
    <oddFooter>&amp;R&amp;P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7"/>
  <sheetViews>
    <sheetView topLeftCell="A4" workbookViewId="0">
      <selection activeCell="I14" sqref="I14"/>
    </sheetView>
  </sheetViews>
  <sheetFormatPr defaultRowHeight="15.75"/>
  <cols>
    <col min="1" max="1" width="3.28515625" style="1" customWidth="1"/>
    <col min="2" max="2" width="31.140625" style="1" customWidth="1"/>
    <col min="3" max="3" width="12.85546875" style="1" customWidth="1"/>
    <col min="4" max="4" width="12.28515625" style="1" customWidth="1"/>
    <col min="5" max="5" width="11.140625" style="1" customWidth="1"/>
    <col min="6" max="6" width="11.28515625" style="1" customWidth="1"/>
    <col min="7" max="7" width="3.28515625" style="1" customWidth="1"/>
    <col min="8" max="8" width="28.7109375" style="1" customWidth="1"/>
    <col min="9" max="9" width="12.140625" style="1" customWidth="1"/>
    <col min="10" max="10" width="12.28515625" style="1" customWidth="1"/>
    <col min="11" max="11" width="11.140625" style="1" customWidth="1"/>
    <col min="12" max="12" width="11.7109375" style="1" customWidth="1"/>
    <col min="13" max="13" width="22.42578125" style="1" customWidth="1"/>
    <col min="14" max="14" width="14.140625" style="1" customWidth="1"/>
    <col min="15" max="15" width="9.28515625" style="1" customWidth="1"/>
    <col min="16" max="16" width="14.42578125" style="1" customWidth="1"/>
    <col min="17" max="17" width="9.28515625" style="1" customWidth="1"/>
    <col min="18" max="18" width="12.140625" style="1" customWidth="1"/>
    <col min="19" max="16384" width="9.140625" style="1"/>
  </cols>
  <sheetData>
    <row r="1" spans="1:18" ht="30" customHeight="1">
      <c r="A1" s="1" t="s">
        <v>43</v>
      </c>
      <c r="B1" s="555"/>
      <c r="J1" s="2"/>
      <c r="K1" s="370"/>
      <c r="L1" s="2" t="s">
        <v>539</v>
      </c>
    </row>
    <row r="2" spans="1:18" ht="23.25" customHeight="1">
      <c r="A2" s="1660" t="s">
        <v>912</v>
      </c>
      <c r="B2" s="1660"/>
      <c r="C2" s="1660"/>
      <c r="D2" s="1660"/>
      <c r="E2" s="1660"/>
      <c r="F2" s="1660"/>
      <c r="G2" s="1660"/>
      <c r="H2" s="1660"/>
      <c r="I2" s="1660"/>
      <c r="J2" s="1660"/>
      <c r="K2" s="1660"/>
      <c r="L2" s="1660"/>
      <c r="M2" s="155"/>
    </row>
    <row r="3" spans="1:18" ht="22.5" customHeight="1">
      <c r="A3" s="5"/>
      <c r="B3" s="549"/>
      <c r="C3" s="6"/>
      <c r="D3" s="6"/>
      <c r="E3" s="6"/>
      <c r="F3" s="6"/>
      <c r="G3" s="6"/>
      <c r="H3" s="6"/>
      <c r="I3" s="6"/>
      <c r="J3" s="6"/>
      <c r="K3" s="6"/>
      <c r="L3" s="6"/>
      <c r="M3" s="1" t="s">
        <v>855</v>
      </c>
    </row>
    <row r="4" spans="1:18" ht="23.25" customHeight="1">
      <c r="B4" s="7"/>
      <c r="C4" s="8"/>
      <c r="D4" s="7"/>
      <c r="E4" s="7"/>
      <c r="F4" s="7"/>
      <c r="H4" s="7"/>
      <c r="I4" s="7"/>
      <c r="J4" s="3"/>
      <c r="K4" s="3"/>
      <c r="L4" s="3" t="s">
        <v>44</v>
      </c>
    </row>
    <row r="5" spans="1:18">
      <c r="A5" s="1661" t="s">
        <v>45</v>
      </c>
      <c r="B5" s="1662" t="s">
        <v>46</v>
      </c>
      <c r="C5" s="9" t="s">
        <v>47</v>
      </c>
      <c r="D5" s="10" t="s">
        <v>48</v>
      </c>
      <c r="E5" s="10" t="s">
        <v>48</v>
      </c>
      <c r="F5" s="10" t="s">
        <v>48</v>
      </c>
      <c r="G5" s="1661" t="s">
        <v>45</v>
      </c>
      <c r="H5" s="1662" t="s">
        <v>49</v>
      </c>
      <c r="I5" s="9" t="s">
        <v>47</v>
      </c>
      <c r="J5" s="10" t="s">
        <v>50</v>
      </c>
      <c r="K5" s="10" t="s">
        <v>50</v>
      </c>
      <c r="L5" s="11" t="s">
        <v>50</v>
      </c>
      <c r="P5" s="1">
        <v>205638</v>
      </c>
      <c r="Q5" s="1">
        <f>+P5-58000</f>
        <v>147638</v>
      </c>
    </row>
    <row r="6" spans="1:18" ht="18" customHeight="1">
      <c r="A6" s="1661"/>
      <c r="B6" s="1662"/>
      <c r="C6" s="12" t="s">
        <v>51</v>
      </c>
      <c r="D6" s="13" t="s">
        <v>52</v>
      </c>
      <c r="E6" s="13" t="s">
        <v>53</v>
      </c>
      <c r="F6" s="14" t="s">
        <v>54</v>
      </c>
      <c r="G6" s="1661"/>
      <c r="H6" s="1662"/>
      <c r="I6" s="12" t="s">
        <v>51</v>
      </c>
      <c r="J6" s="13" t="s">
        <v>52</v>
      </c>
      <c r="K6" s="13" t="s">
        <v>53</v>
      </c>
      <c r="L6" s="15" t="s">
        <v>54</v>
      </c>
      <c r="M6" s="1">
        <v>216445.12283899999</v>
      </c>
    </row>
    <row r="7" spans="1:18" s="25" customFormat="1" ht="23.25" customHeight="1">
      <c r="A7" s="16"/>
      <c r="B7" s="17" t="s">
        <v>55</v>
      </c>
      <c r="C7" s="18">
        <f>D7+E7+F7</f>
        <v>16774077.404196998</v>
      </c>
      <c r="D7" s="18">
        <f>+D8+D27</f>
        <v>10511816.447145998</v>
      </c>
      <c r="E7" s="18">
        <f>+E8+E27</f>
        <v>5077232.2499320004</v>
      </c>
      <c r="F7" s="19">
        <f>+F8+F27</f>
        <v>1185028.7071189999</v>
      </c>
      <c r="G7" s="20"/>
      <c r="H7" s="21" t="s">
        <v>56</v>
      </c>
      <c r="I7" s="22">
        <f>+I8+I27</f>
        <v>16651353.036225999</v>
      </c>
      <c r="J7" s="22">
        <f>+J8+J27</f>
        <v>10505673.049838001</v>
      </c>
      <c r="K7" s="22">
        <f>+K8+K27</f>
        <v>4987347.1970929997</v>
      </c>
      <c r="L7" s="23">
        <f>+L8+L27</f>
        <v>1158332.789295</v>
      </c>
      <c r="M7" s="24" t="e">
        <f>+D7-"#REF!"</f>
        <v>#VALUE!</v>
      </c>
      <c r="N7" s="24" t="e">
        <f>#N/A</f>
        <v>#N/A</v>
      </c>
      <c r="O7" s="25">
        <v>30000</v>
      </c>
      <c r="P7" s="24">
        <f>+I7+O7+Q5</f>
        <v>16828991.036225997</v>
      </c>
    </row>
    <row r="8" spans="1:18" s="25" customFormat="1" ht="24.75" customHeight="1">
      <c r="A8" s="26" t="s">
        <v>57</v>
      </c>
      <c r="B8" s="27" t="s">
        <v>58</v>
      </c>
      <c r="C8" s="28">
        <f>D8+E8+F8</f>
        <v>16774077.404196998</v>
      </c>
      <c r="D8" s="28">
        <f>SUM(D9:D16)+D20</f>
        <v>10511816.447145998</v>
      </c>
      <c r="E8" s="28">
        <f>SUM(E9:E16)+E20</f>
        <v>5077232.2499320004</v>
      </c>
      <c r="F8" s="29">
        <f>SUM(F9:F16)+F20</f>
        <v>1185028.7071189999</v>
      </c>
      <c r="G8" s="30" t="s">
        <v>57</v>
      </c>
      <c r="H8" s="27" t="s">
        <v>494</v>
      </c>
      <c r="I8" s="28">
        <f t="shared" ref="I8:I17" si="0">+J8+K8+L8</f>
        <v>16564755.349518999</v>
      </c>
      <c r="J8" s="28">
        <f>J9+J12+J13+J15+J16+J17+J14+J10</f>
        <v>10419075.363131002</v>
      </c>
      <c r="K8" s="28">
        <f>K9+K12+K13+K15+K16+K17+K14</f>
        <v>4987347.1970929997</v>
      </c>
      <c r="L8" s="29">
        <f>+L9+L12+L13+L14+L15+L16+L17</f>
        <v>1158332.789295</v>
      </c>
      <c r="M8" s="24">
        <f>+D8-J8</f>
        <v>92741.084014996886</v>
      </c>
      <c r="P8" s="24">
        <f>+C7-P7</f>
        <v>-54913.632028998807</v>
      </c>
      <c r="Q8" s="25">
        <v>150000</v>
      </c>
      <c r="R8" s="24">
        <f>+Q8+P8</f>
        <v>95086.367971001193</v>
      </c>
    </row>
    <row r="9" spans="1:18">
      <c r="A9" s="31">
        <v>1</v>
      </c>
      <c r="B9" s="32" t="s">
        <v>1017</v>
      </c>
      <c r="C9" s="33">
        <f t="shared" ref="C9:C14" si="1">SUM(D9:F9)</f>
        <v>1653659.9229969992</v>
      </c>
      <c r="D9" s="33">
        <f>'TH THU_61_342_50_31'!O13</f>
        <v>1223411.8926109993</v>
      </c>
      <c r="E9" s="33">
        <f>'TH THU_61_342_50_31'!O16-F9</f>
        <v>357945.80281199998</v>
      </c>
      <c r="F9" s="34">
        <f>'TH THU_61_342_50_31'!H10</f>
        <v>72302.227574000004</v>
      </c>
      <c r="G9" s="35">
        <v>1</v>
      </c>
      <c r="H9" s="32" t="s">
        <v>59</v>
      </c>
      <c r="I9" s="33">
        <f t="shared" si="0"/>
        <v>2273828.1467739996</v>
      </c>
      <c r="J9" s="33">
        <f>'TH CHI_62_342_51_52_53_31'!F9</f>
        <v>1703453.2417049999</v>
      </c>
      <c r="K9" s="33">
        <f>'TH CHI_62_342_51_52_53_31'!$I$9</f>
        <v>398738.66041099996</v>
      </c>
      <c r="L9" s="34">
        <f>'TH CHI_62_342_51_52_53_31'!$L$9</f>
        <v>171636.24465800001</v>
      </c>
      <c r="N9" s="36">
        <f>+J9+J27</f>
        <v>1790050.928412</v>
      </c>
    </row>
    <row r="10" spans="1:18">
      <c r="A10" s="31">
        <v>2</v>
      </c>
      <c r="B10" s="32" t="s">
        <v>60</v>
      </c>
      <c r="C10" s="33">
        <f t="shared" si="1"/>
        <v>2703345.1109489999</v>
      </c>
      <c r="D10" s="33">
        <f>'TH THU_61_342_50_31'!O14</f>
        <v>2407541.4936799998</v>
      </c>
      <c r="E10" s="33">
        <f>'TH THU_61_342_50_31'!O17</f>
        <v>295803.61726899998</v>
      </c>
      <c r="F10" s="34">
        <v>0</v>
      </c>
      <c r="G10" s="35">
        <v>2</v>
      </c>
      <c r="H10" s="32" t="s">
        <v>61</v>
      </c>
      <c r="I10" s="33">
        <f t="shared" si="0"/>
        <v>403.904653</v>
      </c>
      <c r="J10" s="33">
        <v>403.904653</v>
      </c>
      <c r="K10" s="33">
        <v>0</v>
      </c>
      <c r="L10" s="34">
        <v>0</v>
      </c>
      <c r="M10" s="1">
        <v>220274.37127999999</v>
      </c>
      <c r="N10" s="36">
        <f>+N9-1543535</f>
        <v>246515.92841199995</v>
      </c>
    </row>
    <row r="11" spans="1:18" hidden="1">
      <c r="A11" s="31">
        <v>3</v>
      </c>
      <c r="B11" s="32" t="s">
        <v>62</v>
      </c>
      <c r="C11" s="33">
        <f t="shared" si="1"/>
        <v>0</v>
      </c>
      <c r="D11" s="33"/>
      <c r="E11" s="33"/>
      <c r="F11" s="34"/>
      <c r="G11" s="35"/>
      <c r="H11" s="32" t="s">
        <v>63</v>
      </c>
      <c r="I11" s="33">
        <f t="shared" si="0"/>
        <v>0</v>
      </c>
      <c r="J11" s="33"/>
      <c r="K11" s="33"/>
      <c r="L11" s="34"/>
      <c r="M11" s="1">
        <v>222266.79728</v>
      </c>
      <c r="N11" s="36"/>
    </row>
    <row r="12" spans="1:18">
      <c r="A12" s="31">
        <v>4</v>
      </c>
      <c r="B12" s="32" t="s">
        <v>64</v>
      </c>
      <c r="C12" s="33">
        <f t="shared" si="1"/>
        <v>19472</v>
      </c>
      <c r="D12" s="33">
        <f>'TH THU_61_342_50_31'!D88</f>
        <v>19472</v>
      </c>
      <c r="E12" s="33">
        <v>0</v>
      </c>
      <c r="F12" s="34">
        <v>0</v>
      </c>
      <c r="G12" s="35">
        <v>3</v>
      </c>
      <c r="H12" s="32" t="s">
        <v>66</v>
      </c>
      <c r="I12" s="581">
        <f t="shared" si="0"/>
        <v>6240733.7518939991</v>
      </c>
      <c r="J12" s="581">
        <f>'TH CHI_62_342_51_52_53_31'!F35</f>
        <v>2093360.596355</v>
      </c>
      <c r="K12" s="33">
        <f>'TH CHI_62_342_51_52_53_31'!I35</f>
        <v>3299246.9307769993</v>
      </c>
      <c r="L12" s="34">
        <f>'TH CHI_62_342_51_52_53_31'!L35</f>
        <v>848126.22476199991</v>
      </c>
      <c r="M12" s="4">
        <v>3179685.9635049999</v>
      </c>
    </row>
    <row r="13" spans="1:18">
      <c r="A13" s="31">
        <v>3</v>
      </c>
      <c r="B13" s="32" t="s">
        <v>65</v>
      </c>
      <c r="C13" s="33">
        <f t="shared" si="1"/>
        <v>269730.17774000001</v>
      </c>
      <c r="D13" s="33">
        <f>'TH THU_61_342_50_31'!F106</f>
        <v>161330.90822799999</v>
      </c>
      <c r="E13" s="33">
        <f>'TH THU_61_342_50_31'!G106</f>
        <v>79963.265299000006</v>
      </c>
      <c r="F13" s="34">
        <f>'TH THU_61_342_50_31'!H106</f>
        <v>28436.004213</v>
      </c>
      <c r="G13" s="35">
        <v>4</v>
      </c>
      <c r="H13" s="32" t="s">
        <v>68</v>
      </c>
      <c r="I13" s="33">
        <f t="shared" si="0"/>
        <v>1000</v>
      </c>
      <c r="J13" s="33">
        <v>1000</v>
      </c>
      <c r="K13" s="33">
        <v>0</v>
      </c>
      <c r="L13" s="34">
        <v>0</v>
      </c>
    </row>
    <row r="14" spans="1:18">
      <c r="A14" s="31">
        <v>4</v>
      </c>
      <c r="B14" s="32" t="s">
        <v>67</v>
      </c>
      <c r="C14" s="33">
        <f t="shared" si="1"/>
        <v>1076220.2512020001</v>
      </c>
      <c r="D14" s="33">
        <f>'TH THU_61_342_50_31'!F105</f>
        <v>868431.32582499995</v>
      </c>
      <c r="E14" s="33">
        <f>'TH THU_61_342_50_31'!G105</f>
        <v>168512.56127999999</v>
      </c>
      <c r="F14" s="34">
        <f>'TH THU_61_342_50_31'!H105</f>
        <v>39276.364096999998</v>
      </c>
      <c r="G14" s="35">
        <v>5</v>
      </c>
      <c r="H14" s="32" t="s">
        <v>70</v>
      </c>
      <c r="I14" s="33">
        <f t="shared" si="0"/>
        <v>875940.825006</v>
      </c>
      <c r="J14" s="33">
        <f>'TH CHI_62_342_51_52_53_31'!F80</f>
        <v>684062.32112500002</v>
      </c>
      <c r="K14" s="33">
        <f>'TH CHI_62_342_51_52_53_31'!I80</f>
        <v>74810.172522000008</v>
      </c>
      <c r="L14" s="34">
        <f>'TH CHI_62_342_51_52_53_31'!L80</f>
        <v>117068.331359</v>
      </c>
    </row>
    <row r="15" spans="1:18">
      <c r="A15" s="31">
        <v>5</v>
      </c>
      <c r="B15" s="32" t="s">
        <v>69</v>
      </c>
      <c r="C15" s="33">
        <f t="shared" ref="C15:C17" si="2">SUM(D15:F15)</f>
        <v>1815.826802</v>
      </c>
      <c r="D15" s="33">
        <f>'TH THU_61_342_50_31'!F104</f>
        <v>1815.826802</v>
      </c>
      <c r="E15" s="33">
        <f>'TH THU_61_342_50_31'!G104</f>
        <v>0</v>
      </c>
      <c r="F15" s="34">
        <f>'TH THU_61_342_50_31'!H104</f>
        <v>0</v>
      </c>
      <c r="G15" s="35">
        <v>6</v>
      </c>
      <c r="H15" s="32" t="s">
        <v>72</v>
      </c>
      <c r="I15" s="33">
        <f t="shared" si="0"/>
        <v>5202830.0485070003</v>
      </c>
      <c r="J15" s="33">
        <f>'TH CHI_62_342_51_52_53_31'!F102</f>
        <v>4169359.5692720003</v>
      </c>
      <c r="K15" s="33">
        <f>'TH CHI_62_342_51_52_53_31'!I102</f>
        <v>1033470.479235</v>
      </c>
      <c r="L15" s="34">
        <v>0</v>
      </c>
      <c r="M15" s="36">
        <v>2093720983547</v>
      </c>
    </row>
    <row r="16" spans="1:18">
      <c r="A16" s="31">
        <v>6</v>
      </c>
      <c r="B16" s="32" t="s">
        <v>71</v>
      </c>
      <c r="C16" s="33">
        <f>SUM(D16:F16)</f>
        <v>11032643.048507001</v>
      </c>
      <c r="D16" s="33">
        <f>D17+D18+D19</f>
        <v>5829813</v>
      </c>
      <c r="E16" s="33">
        <f>E17+E18</f>
        <v>4169359.5692720003</v>
      </c>
      <c r="F16" s="34">
        <f>F17+F18</f>
        <v>1033470.479235</v>
      </c>
      <c r="G16" s="35">
        <v>7</v>
      </c>
      <c r="H16" s="32" t="s">
        <v>74</v>
      </c>
      <c r="I16" s="33">
        <f t="shared" si="0"/>
        <v>1937171.8458830002</v>
      </c>
      <c r="J16" s="33">
        <f>'TH CHI_62_342_51_52_53_31'!F77</f>
        <v>1736404.7300210001</v>
      </c>
      <c r="K16" s="33">
        <f>'TH CHI_62_342_51_52_53_31'!$I$77</f>
        <v>179265.12734599999</v>
      </c>
      <c r="L16" s="34">
        <f>'TH CHI_62_342_51_52_53_31'!$L$77</f>
        <v>21501.988516000001</v>
      </c>
      <c r="M16" s="1">
        <v>735330.57</v>
      </c>
      <c r="N16" s="1">
        <f>379027/2</f>
        <v>189513.5</v>
      </c>
      <c r="O16" s="1">
        <v>150000</v>
      </c>
      <c r="P16" s="1">
        <f>+N16-O16</f>
        <v>39513.5</v>
      </c>
      <c r="Q16" s="1">
        <v>379027</v>
      </c>
      <c r="R16" s="1">
        <f>+Q16-O16</f>
        <v>229027</v>
      </c>
    </row>
    <row r="17" spans="1:14">
      <c r="A17" s="31"/>
      <c r="B17" s="32" t="s">
        <v>73</v>
      </c>
      <c r="C17" s="33">
        <f t="shared" si="2"/>
        <v>6777662.2131140009</v>
      </c>
      <c r="D17" s="33">
        <f>'TH THU_61_342_50_31'!F100</f>
        <v>3398277</v>
      </c>
      <c r="E17" s="33">
        <f>'TH THU_61_342_50_31'!G100</f>
        <v>2795442.0380000002</v>
      </c>
      <c r="F17" s="34">
        <f>'TH THU_61_342_50_31'!H100</f>
        <v>583943.17511399998</v>
      </c>
      <c r="G17" s="38">
        <v>8</v>
      </c>
      <c r="H17" s="39" t="s">
        <v>76</v>
      </c>
      <c r="I17" s="580">
        <f t="shared" si="0"/>
        <v>32846.826802000003</v>
      </c>
      <c r="J17" s="580">
        <f>'TH CHI_62_342_51_52_53_31'!$F$107</f>
        <v>31031</v>
      </c>
      <c r="K17" s="580">
        <f>'TH CHI_62_342_51_52_53_31'!$I$107</f>
        <v>1815.826802</v>
      </c>
      <c r="L17" s="40">
        <f>'TH CHI_62_342_51_52_53_31'!$L$107</f>
        <v>0</v>
      </c>
      <c r="M17" s="36">
        <f>+M16-J14</f>
        <v>51268.248874999932</v>
      </c>
    </row>
    <row r="18" spans="1:14">
      <c r="A18" s="37"/>
      <c r="B18" s="32" t="s">
        <v>75</v>
      </c>
      <c r="C18" s="33">
        <f>SUM(D18:F18)</f>
        <v>4254980.8353929995</v>
      </c>
      <c r="D18" s="33">
        <f>'TH THU_61_342_50_31'!F101</f>
        <v>2431536</v>
      </c>
      <c r="E18" s="33">
        <f>'TH THU_61_342_50_31'!G101</f>
        <v>1373917.5312719999</v>
      </c>
      <c r="F18" s="34">
        <f>'TH THU_61_342_50_31'!H101</f>
        <v>449527.30412099999</v>
      </c>
      <c r="G18" s="512"/>
      <c r="H18" s="513"/>
      <c r="I18" s="513"/>
      <c r="J18" s="513"/>
      <c r="K18" s="513"/>
      <c r="L18" s="514"/>
      <c r="M18" s="1">
        <v>86597.686707000001</v>
      </c>
    </row>
    <row r="19" spans="1:14" hidden="1">
      <c r="A19" s="37"/>
      <c r="B19" s="453" t="s">
        <v>734</v>
      </c>
      <c r="C19" s="33">
        <f>SUM(D19:F19)</f>
        <v>0</v>
      </c>
      <c r="D19" s="33"/>
      <c r="E19" s="33"/>
      <c r="F19" s="34"/>
      <c r="G19" s="449"/>
      <c r="H19" s="450"/>
      <c r="I19" s="451"/>
      <c r="J19" s="451"/>
      <c r="K19" s="451"/>
      <c r="L19" s="452"/>
    </row>
    <row r="20" spans="1:14" ht="25.5">
      <c r="A20" s="41">
        <v>7</v>
      </c>
      <c r="B20" s="39" t="s">
        <v>77</v>
      </c>
      <c r="C20" s="580">
        <f>+D20+E20+F20</f>
        <v>17191.065999999999</v>
      </c>
      <c r="D20" s="580">
        <f>'TH THU_61_342_50_31'!F85</f>
        <v>0</v>
      </c>
      <c r="E20" s="580">
        <f>'TH THU_61_342_50_31'!G85</f>
        <v>5647.4340000000002</v>
      </c>
      <c r="F20" s="40">
        <f>'TH THU_61_342_50_31'!H85</f>
        <v>11543.632</v>
      </c>
      <c r="G20" s="42"/>
      <c r="H20" s="43"/>
      <c r="I20" s="43"/>
      <c r="J20" s="43"/>
      <c r="K20" s="43"/>
      <c r="L20" s="44"/>
      <c r="M20" s="36">
        <f>+K16+L16</f>
        <v>200767.11586200001</v>
      </c>
    </row>
    <row r="21" spans="1:14" s="25" customFormat="1" hidden="1"/>
    <row r="22" spans="1:14" hidden="1">
      <c r="A22" s="37"/>
      <c r="B22" s="32"/>
      <c r="C22" s="33"/>
      <c r="D22" s="33"/>
      <c r="E22" s="33"/>
      <c r="F22" s="34"/>
      <c r="G22" s="35"/>
      <c r="H22" s="32"/>
      <c r="I22" s="33"/>
      <c r="J22" s="33"/>
      <c r="K22" s="33"/>
      <c r="L22" s="34"/>
    </row>
    <row r="23" spans="1:14">
      <c r="A23" s="45"/>
      <c r="B23" s="46" t="s">
        <v>946</v>
      </c>
      <c r="C23" s="47">
        <f>SUM(D23:F23)</f>
        <v>122724.36797099817</v>
      </c>
      <c r="D23" s="596">
        <f>+D7-J7</f>
        <v>6143.3973079975694</v>
      </c>
      <c r="E23" s="47">
        <f>+E7-K7</f>
        <v>89885.052839000709</v>
      </c>
      <c r="F23" s="48">
        <f>+F7-L7</f>
        <v>26695.917823999887</v>
      </c>
      <c r="G23" s="49"/>
      <c r="H23" s="50"/>
      <c r="I23" s="51"/>
      <c r="J23" s="51"/>
      <c r="K23" s="51"/>
      <c r="L23" s="52"/>
      <c r="M23" s="36">
        <f>+E23+F23</f>
        <v>116580.9706630006</v>
      </c>
      <c r="N23" s="1">
        <v>205638</v>
      </c>
    </row>
    <row r="24" spans="1:14" hidden="1">
      <c r="A24" s="53"/>
      <c r="B24" s="54" t="s">
        <v>78</v>
      </c>
      <c r="C24" s="55"/>
      <c r="D24" s="55"/>
      <c r="E24" s="55"/>
      <c r="F24" s="56"/>
      <c r="G24" s="49"/>
      <c r="H24" s="50"/>
      <c r="I24" s="51"/>
      <c r="J24" s="51"/>
      <c r="K24" s="51"/>
      <c r="L24" s="52"/>
      <c r="M24" s="36"/>
    </row>
    <row r="25" spans="1:14" s="67" customFormat="1" hidden="1">
      <c r="A25" s="57"/>
      <c r="B25" s="58" t="s">
        <v>79</v>
      </c>
      <c r="C25" s="59"/>
      <c r="D25" s="60">
        <f>+D23-D26</f>
        <v>-156357.60269200243</v>
      </c>
      <c r="E25" s="59"/>
      <c r="F25" s="61"/>
      <c r="G25" s="62"/>
      <c r="H25" s="63"/>
      <c r="I25" s="64"/>
      <c r="J25" s="64"/>
      <c r="K25" s="64"/>
      <c r="L25" s="65"/>
      <c r="M25" s="66"/>
      <c r="N25" s="66">
        <f>+I9+I16+I27</f>
        <v>4297597.6793640004</v>
      </c>
    </row>
    <row r="26" spans="1:14" s="77" customFormat="1" ht="25.5" hidden="1">
      <c r="A26" s="68"/>
      <c r="B26" s="58" t="s">
        <v>735</v>
      </c>
      <c r="C26" s="69"/>
      <c r="D26" s="70">
        <v>162501</v>
      </c>
      <c r="E26" s="69"/>
      <c r="F26" s="71"/>
      <c r="G26" s="72"/>
      <c r="H26" s="73"/>
      <c r="I26" s="74"/>
      <c r="J26" s="74"/>
      <c r="K26" s="74"/>
      <c r="L26" s="75"/>
      <c r="M26" s="76"/>
    </row>
    <row r="27" spans="1:14">
      <c r="A27" s="78" t="s">
        <v>80</v>
      </c>
      <c r="B27" s="79" t="s">
        <v>81</v>
      </c>
      <c r="C27" s="80">
        <f>+D27+E27+F27</f>
        <v>0</v>
      </c>
      <c r="D27" s="80"/>
      <c r="E27" s="80"/>
      <c r="F27" s="81"/>
      <c r="G27" s="82" t="s">
        <v>80</v>
      </c>
      <c r="H27" s="83" t="s">
        <v>82</v>
      </c>
      <c r="I27" s="80">
        <f>SUM(J27:L27)</f>
        <v>86597.686707000001</v>
      </c>
      <c r="J27" s="80">
        <v>86597.686707000001</v>
      </c>
      <c r="K27" s="80"/>
      <c r="L27" s="81"/>
    </row>
    <row r="28" spans="1:14" ht="22.5" customHeight="1">
      <c r="A28" s="84"/>
      <c r="B28" s="579"/>
      <c r="C28" s="85"/>
      <c r="D28" s="8"/>
      <c r="E28" s="7"/>
      <c r="F28" s="7"/>
      <c r="G28" s="6"/>
      <c r="I28" s="85"/>
      <c r="J28" s="7"/>
      <c r="K28" s="7"/>
      <c r="L28" s="7"/>
      <c r="M28" s="1">
        <v>8482.8799999999992</v>
      </c>
    </row>
    <row r="29" spans="1:14" ht="15" customHeight="1">
      <c r="A29" s="86"/>
      <c r="B29" s="87" t="s">
        <v>1018</v>
      </c>
      <c r="C29" s="88"/>
      <c r="D29" s="8"/>
      <c r="E29" s="7"/>
      <c r="F29" s="89" t="s">
        <v>1019</v>
      </c>
      <c r="G29" s="6"/>
      <c r="I29" s="88"/>
      <c r="J29" s="89" t="s">
        <v>1020</v>
      </c>
      <c r="K29" s="7"/>
      <c r="L29" s="7"/>
      <c r="M29" s="1">
        <v>44171.745375999999</v>
      </c>
    </row>
    <row r="30" spans="1:14" ht="15.75" customHeight="1">
      <c r="A30" s="86"/>
      <c r="B30" s="90" t="s">
        <v>83</v>
      </c>
      <c r="C30" s="88"/>
      <c r="D30" s="8"/>
      <c r="E30" s="7"/>
      <c r="F30" s="511" t="s">
        <v>84</v>
      </c>
      <c r="G30" s="6"/>
      <c r="I30" s="88"/>
      <c r="J30" s="511" t="s">
        <v>85</v>
      </c>
      <c r="K30" s="7"/>
      <c r="L30" s="7"/>
      <c r="M30" s="36">
        <f>+J16+M29</f>
        <v>1780576.4753970001</v>
      </c>
    </row>
    <row r="31" spans="1:14" ht="15" customHeight="1">
      <c r="A31" s="86"/>
      <c r="B31" s="91"/>
      <c r="C31" s="88"/>
      <c r="D31" s="8"/>
      <c r="E31" s="7"/>
      <c r="F31" s="7"/>
      <c r="G31" s="6"/>
      <c r="I31" s="88"/>
      <c r="J31" s="511" t="s">
        <v>86</v>
      </c>
      <c r="K31" s="7"/>
      <c r="L31" s="7"/>
      <c r="M31" s="7">
        <v>833784409269</v>
      </c>
    </row>
    <row r="32" spans="1:14" ht="22.5" customHeight="1">
      <c r="A32" s="86"/>
      <c r="B32" s="462">
        <v>1667548984168</v>
      </c>
      <c r="C32" s="88"/>
      <c r="D32" s="92">
        <f>+E9+F9</f>
        <v>430248.030386</v>
      </c>
      <c r="E32" s="7"/>
      <c r="F32" s="7"/>
      <c r="G32" s="6"/>
      <c r="H32" s="36">
        <f>'TH CHI_62_342_51_52_53_31'!E108</f>
        <v>16651353.036225997</v>
      </c>
      <c r="I32" s="88"/>
      <c r="J32" s="7"/>
      <c r="K32" s="7"/>
      <c r="L32" s="7"/>
    </row>
    <row r="33" spans="1:13">
      <c r="A33" s="86"/>
      <c r="B33" s="86"/>
      <c r="C33" s="444">
        <v>4860762.9841680005</v>
      </c>
      <c r="D33" s="7"/>
      <c r="E33" s="7"/>
      <c r="F33" s="86"/>
      <c r="G33" s="6"/>
      <c r="H33" s="36">
        <f>I7-H32</f>
        <v>0</v>
      </c>
      <c r="J33" s="86" t="s">
        <v>87</v>
      </c>
      <c r="K33" s="7"/>
      <c r="L33" s="7"/>
      <c r="M33" s="1">
        <v>14000</v>
      </c>
    </row>
    <row r="34" spans="1:13" s="95" customFormat="1">
      <c r="A34" s="510"/>
      <c r="B34" s="510" t="s">
        <v>88</v>
      </c>
      <c r="C34" s="445">
        <f>D16-C33</f>
        <v>969050.01583199948</v>
      </c>
      <c r="D34" s="94"/>
      <c r="E34" s="94"/>
      <c r="F34" s="511"/>
      <c r="G34" s="510"/>
      <c r="H34" s="98">
        <f>+E23+F23</f>
        <v>116580.9706630006</v>
      </c>
      <c r="J34" s="511" t="s">
        <v>89</v>
      </c>
      <c r="K34" s="94"/>
      <c r="L34" s="94"/>
      <c r="M34" s="95">
        <f>+M33-M28</f>
        <v>5517.1200000000008</v>
      </c>
    </row>
    <row r="35" spans="1:13" s="95" customFormat="1">
      <c r="A35" s="510"/>
      <c r="B35" s="96">
        <f>+C23-B37</f>
        <v>-653789.84624300082</v>
      </c>
      <c r="C35" s="510">
        <v>214782.003185999</v>
      </c>
      <c r="D35" s="94">
        <v>668114.94470199943</v>
      </c>
      <c r="E35" s="97">
        <f>+D23-D35</f>
        <v>-661971.54739400186</v>
      </c>
      <c r="F35" s="511"/>
      <c r="G35" s="510"/>
      <c r="J35" s="511"/>
      <c r="K35" s="94"/>
      <c r="L35" s="94"/>
    </row>
    <row r="36" spans="1:13" s="95" customFormat="1">
      <c r="A36" s="510"/>
      <c r="B36" s="510">
        <v>338390.78388499998</v>
      </c>
      <c r="C36" s="445">
        <f>C23-C35</f>
        <v>-92057.635215000832</v>
      </c>
      <c r="D36" s="94"/>
      <c r="E36" s="94"/>
      <c r="F36" s="525" t="s">
        <v>948</v>
      </c>
      <c r="G36" s="510"/>
      <c r="H36" s="524">
        <f>+C7-E16-F16</f>
        <v>11571247.355689999</v>
      </c>
      <c r="I36" s="98">
        <f>+J10+J27</f>
        <v>87001.591360000006</v>
      </c>
      <c r="J36" s="511"/>
      <c r="K36" s="94"/>
      <c r="L36" s="94"/>
    </row>
    <row r="37" spans="1:13" s="95" customFormat="1">
      <c r="A37" s="510"/>
      <c r="B37" s="510">
        <v>776514.21421399899</v>
      </c>
      <c r="C37" s="447">
        <f>'TH THU_61_342_50_31'!F8+'TH THU_61_342_50_31'!G8+'TH THU_61_342_50_31'!H8</f>
        <v>16774077.404197002</v>
      </c>
      <c r="D37" s="94"/>
      <c r="E37" s="94"/>
      <c r="F37" s="525" t="s">
        <v>949</v>
      </c>
      <c r="G37" s="510"/>
      <c r="H37" s="524">
        <f>+I7-I15</f>
        <v>11448522.987718999</v>
      </c>
      <c r="J37" s="511"/>
      <c r="K37" s="94"/>
      <c r="L37" s="94"/>
    </row>
    <row r="38" spans="1:13" s="95" customFormat="1">
      <c r="A38" s="510"/>
      <c r="B38" s="510"/>
      <c r="C38" s="445">
        <f>C7-C37</f>
        <v>0</v>
      </c>
      <c r="D38" s="94"/>
      <c r="E38" s="94"/>
      <c r="F38" s="525" t="s">
        <v>944</v>
      </c>
      <c r="G38" s="510"/>
      <c r="H38" s="524">
        <f>+H36-H37</f>
        <v>122724.36797099933</v>
      </c>
      <c r="J38" s="511"/>
      <c r="K38" s="94"/>
      <c r="L38" s="94"/>
    </row>
    <row r="39" spans="1:13">
      <c r="A39" s="6"/>
      <c r="B39" s="510" t="s">
        <v>90</v>
      </c>
      <c r="C39" s="36"/>
      <c r="D39" s="7"/>
      <c r="E39" s="7"/>
      <c r="F39" s="7"/>
      <c r="G39" s="6"/>
      <c r="I39" s="1659"/>
      <c r="J39" s="1659"/>
      <c r="K39" s="1659"/>
      <c r="L39" s="7"/>
    </row>
    <row r="40" spans="1:13">
      <c r="B40" s="7">
        <v>9326307767</v>
      </c>
      <c r="C40" s="36"/>
      <c r="G40" s="6"/>
      <c r="M40" s="33">
        <f>287180.488582+37667.779756+65018+488732</f>
        <v>878598.26833800005</v>
      </c>
    </row>
    <row r="41" spans="1:13">
      <c r="B41" s="1">
        <v>24410808250</v>
      </c>
      <c r="C41" s="1">
        <v>425</v>
      </c>
      <c r="D41" s="36">
        <v>6638.0820000000003</v>
      </c>
      <c r="E41" s="1">
        <v>21690.991047</v>
      </c>
      <c r="G41" s="6"/>
    </row>
    <row r="42" spans="1:13">
      <c r="B42" s="99">
        <f>+B41-B40</f>
        <v>15084500483</v>
      </c>
      <c r="C42" s="100">
        <f>+C41+D7</f>
        <v>10512241.447145998</v>
      </c>
      <c r="D42" s="100">
        <f>+D41+E7</f>
        <v>5083870.3319320008</v>
      </c>
      <c r="E42" s="100">
        <f>+E41+F7</f>
        <v>1206719.698166</v>
      </c>
      <c r="G42" s="6"/>
      <c r="H42" s="36"/>
      <c r="I42" s="1" t="s">
        <v>91</v>
      </c>
    </row>
    <row r="43" spans="1:13">
      <c r="B43" s="1">
        <v>13925313.673157999</v>
      </c>
      <c r="C43" s="1" t="s">
        <v>92</v>
      </c>
      <c r="I43" s="101">
        <f>+J7-J16</f>
        <v>8769268.319817001</v>
      </c>
    </row>
    <row r="44" spans="1:13">
      <c r="B44" s="36">
        <f>+C7</f>
        <v>16774077.404196998</v>
      </c>
      <c r="C44" s="1" t="s">
        <v>93</v>
      </c>
      <c r="D44" s="7"/>
    </row>
    <row r="45" spans="1:13">
      <c r="B45" s="36">
        <f>+B43-B44</f>
        <v>-2848763.7310389988</v>
      </c>
      <c r="C45" s="1" t="s">
        <v>94</v>
      </c>
      <c r="E45" s="36"/>
    </row>
    <row r="46" spans="1:13">
      <c r="B46" s="1">
        <v>323296.52944499999</v>
      </c>
    </row>
    <row r="47" spans="1:13">
      <c r="B47" s="36">
        <f>+B45-B46</f>
        <v>-3172060.2604839988</v>
      </c>
    </row>
  </sheetData>
  <sheetProtection selectLockedCells="1" selectUnlockedCells="1"/>
  <mergeCells count="6">
    <mergeCell ref="I39:K39"/>
    <mergeCell ref="A2:L2"/>
    <mergeCell ref="A5:A6"/>
    <mergeCell ref="B5:B6"/>
    <mergeCell ref="G5:G6"/>
    <mergeCell ref="H5:H6"/>
  </mergeCells>
  <phoneticPr fontId="160" type="noConversion"/>
  <pageMargins left="0.25" right="0" top="0.25" bottom="0" header="0.51180555555555596" footer="0.51180555555555596"/>
  <pageSetup paperSize="9" scale="90" firstPageNumber="0" orientation="landscape" r:id="rId1"/>
  <headerFooter alignWithMargins="0"/>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27"/>
  <sheetViews>
    <sheetView topLeftCell="A44" workbookViewId="0">
      <selection activeCell="E86" sqref="E86"/>
    </sheetView>
  </sheetViews>
  <sheetFormatPr defaultColWidth="46.7109375" defaultRowHeight="15.75"/>
  <cols>
    <col min="1" max="1" width="5.42578125" style="102" customWidth="1"/>
    <col min="2" max="2" width="42.140625" style="102" customWidth="1"/>
    <col min="3" max="3" width="11.42578125" style="117" customWidth="1"/>
    <col min="4" max="4" width="11.7109375" style="134" customWidth="1"/>
    <col min="5" max="5" width="14" style="400" customWidth="1"/>
    <col min="6" max="6" width="14" style="117" customWidth="1"/>
    <col min="7" max="7" width="11.7109375" style="117" hidden="1" customWidth="1"/>
    <col min="8" max="8" width="15.5703125" style="117" hidden="1" customWidth="1"/>
    <col min="9" max="9" width="14.85546875" style="102" customWidth="1"/>
    <col min="10" max="10" width="10.7109375" style="102" hidden="1" customWidth="1"/>
    <col min="11" max="11" width="12.42578125" style="117" hidden="1" customWidth="1"/>
    <col min="12" max="12" width="14.28515625" style="102" customWidth="1"/>
    <col min="13" max="13" width="10" style="102" hidden="1" customWidth="1"/>
    <col min="14" max="14" width="12.85546875" style="117" hidden="1" customWidth="1"/>
    <col min="15" max="15" width="8.85546875" style="102" customWidth="1"/>
    <col min="16" max="16" width="9.85546875" style="102" customWidth="1"/>
    <col min="17" max="17" width="0" style="102" hidden="1" customWidth="1"/>
    <col min="18" max="18" width="17.5703125" style="102" customWidth="1"/>
    <col min="19" max="19" width="12.42578125" style="102" customWidth="1"/>
    <col min="20" max="20" width="16.140625" style="102" customWidth="1"/>
    <col min="21" max="254" width="9.140625" style="102" customWidth="1"/>
    <col min="255" max="255" width="5.42578125" style="102" customWidth="1"/>
    <col min="256" max="16384" width="46.7109375" style="102"/>
  </cols>
  <sheetData>
    <row r="1" spans="1:20" ht="22.5" customHeight="1">
      <c r="B1" s="542" t="s">
        <v>43</v>
      </c>
      <c r="L1" s="104"/>
      <c r="M1" s="104"/>
      <c r="N1" s="253"/>
      <c r="P1" s="464"/>
      <c r="Q1" s="104"/>
    </row>
    <row r="2" spans="1:20" ht="51" customHeight="1">
      <c r="B2" s="1814" t="s">
        <v>1021</v>
      </c>
      <c r="C2" s="1677"/>
      <c r="D2" s="1677"/>
      <c r="E2" s="1677"/>
      <c r="F2" s="1677"/>
      <c r="G2" s="1677"/>
      <c r="H2" s="1677"/>
      <c r="I2" s="1677"/>
      <c r="J2" s="1677"/>
      <c r="K2" s="1677"/>
      <c r="L2" s="1677"/>
      <c r="M2" s="1677"/>
      <c r="N2" s="1677"/>
      <c r="O2" s="1677"/>
      <c r="P2" s="1677"/>
      <c r="Q2" s="254"/>
    </row>
    <row r="3" spans="1:20" s="117" customFormat="1" ht="15.75" customHeight="1">
      <c r="B3" s="105"/>
      <c r="C3" s="516"/>
      <c r="D3" s="255"/>
      <c r="E3" s="1607"/>
      <c r="F3" s="507"/>
      <c r="G3" s="257"/>
      <c r="H3" s="257"/>
      <c r="I3" s="256"/>
      <c r="J3" s="256"/>
      <c r="K3" s="256"/>
      <c r="L3" s="257"/>
      <c r="M3" s="257"/>
      <c r="N3" s="257"/>
      <c r="P3" s="258" t="s">
        <v>44</v>
      </c>
      <c r="Q3" s="258"/>
    </row>
    <row r="4" spans="1:20" ht="15.75" customHeight="1">
      <c r="A4" s="259"/>
      <c r="B4" s="260"/>
      <c r="C4" s="1678" t="s">
        <v>939</v>
      </c>
      <c r="D4" s="1678"/>
      <c r="E4" s="1678" t="s">
        <v>942</v>
      </c>
      <c r="F4" s="1678"/>
      <c r="G4" s="1678"/>
      <c r="H4" s="1678"/>
      <c r="I4" s="1678"/>
      <c r="J4" s="1678"/>
      <c r="K4" s="1678"/>
      <c r="L4" s="1678"/>
      <c r="M4" s="531"/>
      <c r="N4" s="531"/>
      <c r="O4" s="1815" t="s">
        <v>97</v>
      </c>
      <c r="P4" s="1815"/>
      <c r="Q4" s="531"/>
      <c r="R4" s="116"/>
    </row>
    <row r="5" spans="1:20" ht="15.95" customHeight="1">
      <c r="A5" s="261" t="s">
        <v>45</v>
      </c>
      <c r="B5" s="262" t="s">
        <v>98</v>
      </c>
      <c r="C5" s="109" t="s">
        <v>101</v>
      </c>
      <c r="D5" s="263" t="s">
        <v>99</v>
      </c>
      <c r="E5" s="1608" t="s">
        <v>240</v>
      </c>
      <c r="F5" s="1680" t="s">
        <v>78</v>
      </c>
      <c r="G5" s="1680"/>
      <c r="H5" s="1680"/>
      <c r="I5" s="1680"/>
      <c r="J5" s="1680"/>
      <c r="K5" s="1680"/>
      <c r="L5" s="1680"/>
      <c r="M5" s="264"/>
      <c r="N5" s="264"/>
      <c r="O5" s="463" t="s">
        <v>101</v>
      </c>
      <c r="P5" s="463" t="s">
        <v>99</v>
      </c>
      <c r="Q5" s="107" t="s">
        <v>241</v>
      </c>
    </row>
    <row r="6" spans="1:20" ht="15.95" customHeight="1">
      <c r="A6" s="265"/>
      <c r="B6" s="266"/>
      <c r="C6" s="111" t="s">
        <v>102</v>
      </c>
      <c r="D6" s="267" t="s">
        <v>103</v>
      </c>
      <c r="E6" s="1609" t="s">
        <v>242</v>
      </c>
      <c r="F6" s="508" t="s">
        <v>243</v>
      </c>
      <c r="G6" s="463" t="s">
        <v>974</v>
      </c>
      <c r="H6" s="463" t="s">
        <v>975</v>
      </c>
      <c r="I6" s="463" t="s">
        <v>244</v>
      </c>
      <c r="J6" s="463" t="s">
        <v>974</v>
      </c>
      <c r="K6" s="463" t="s">
        <v>976</v>
      </c>
      <c r="L6" s="463" t="s">
        <v>245</v>
      </c>
      <c r="M6" s="463" t="s">
        <v>974</v>
      </c>
      <c r="N6" s="463" t="s">
        <v>976</v>
      </c>
      <c r="O6" s="463" t="s">
        <v>102</v>
      </c>
      <c r="P6" s="463" t="s">
        <v>103</v>
      </c>
      <c r="Q6" s="110" t="s">
        <v>246</v>
      </c>
    </row>
    <row r="7" spans="1:20" ht="16.5" customHeight="1">
      <c r="A7" s="265"/>
      <c r="B7" s="268" t="s">
        <v>142</v>
      </c>
      <c r="C7" s="268" t="s">
        <v>104</v>
      </c>
      <c r="D7" s="267" t="s">
        <v>105</v>
      </c>
      <c r="E7" s="1610" t="s">
        <v>247</v>
      </c>
      <c r="F7" s="269" t="s">
        <v>248</v>
      </c>
      <c r="G7" s="269"/>
      <c r="H7" s="269"/>
      <c r="I7" s="269" t="s">
        <v>249</v>
      </c>
      <c r="J7" s="269"/>
      <c r="K7" s="269"/>
      <c r="L7" s="269" t="s">
        <v>250</v>
      </c>
      <c r="M7" s="269"/>
      <c r="N7" s="269"/>
      <c r="O7" s="269" t="s">
        <v>251</v>
      </c>
      <c r="P7" s="269" t="s">
        <v>252</v>
      </c>
      <c r="Q7" s="139"/>
      <c r="R7" s="103"/>
      <c r="T7" s="103"/>
    </row>
    <row r="8" spans="1:20" ht="17.25" customHeight="1">
      <c r="A8" s="270" t="s">
        <v>57</v>
      </c>
      <c r="B8" s="271" t="s">
        <v>253</v>
      </c>
      <c r="C8" s="233">
        <f>C9+C35+C75+C76+C80</f>
        <v>9160028</v>
      </c>
      <c r="D8" s="272">
        <f>+D9+D35+D75+D76+D77+D26+D80</f>
        <v>9504996</v>
      </c>
      <c r="E8" s="1611">
        <f>+F8+I8+L8</f>
        <v>11415676.160916999</v>
      </c>
      <c r="F8" s="205">
        <f>F9+F26+F35+F75+F77+F80</f>
        <v>6305282.4805659996</v>
      </c>
      <c r="G8" s="205"/>
      <c r="H8" s="205"/>
      <c r="I8" s="205">
        <f>+I9+I26+I35+I75+I77+I80</f>
        <v>3952060.8910559993</v>
      </c>
      <c r="J8" s="205"/>
      <c r="K8" s="205"/>
      <c r="L8" s="205">
        <f>+L9+L26+L35+L75+L77+L80</f>
        <v>1158332.789295</v>
      </c>
      <c r="M8" s="273"/>
      <c r="N8" s="205"/>
      <c r="O8" s="273">
        <f>E8/C8*100</f>
        <v>124.62490465004036</v>
      </c>
      <c r="P8" s="273">
        <f>E8/D8*100</f>
        <v>120.10185128870121</v>
      </c>
      <c r="Q8" s="274" t="e">
        <f>+E8/"#REF!*100"</f>
        <v>#VALUE!</v>
      </c>
      <c r="R8" s="103"/>
      <c r="T8" s="103"/>
    </row>
    <row r="9" spans="1:20" ht="18" customHeight="1">
      <c r="A9" s="270" t="s">
        <v>108</v>
      </c>
      <c r="B9" s="275" t="s">
        <v>59</v>
      </c>
      <c r="C9" s="517">
        <f>1656790</f>
        <v>1656790</v>
      </c>
      <c r="D9" s="276">
        <v>1785790</v>
      </c>
      <c r="E9" s="594">
        <f>+F9+I9+L9</f>
        <v>2273828.1467739996</v>
      </c>
      <c r="F9" s="205">
        <f>+F10+F24+F25</f>
        <v>1703453.2417049999</v>
      </c>
      <c r="G9" s="205"/>
      <c r="H9" s="205"/>
      <c r="I9" s="205">
        <f>+I10+I24+I25</f>
        <v>398738.66041099996</v>
      </c>
      <c r="J9" s="273"/>
      <c r="K9" s="205"/>
      <c r="L9" s="205">
        <f>+L10+L24+L25</f>
        <v>171636.24465800001</v>
      </c>
      <c r="M9" s="273"/>
      <c r="N9" s="205"/>
      <c r="O9" s="273">
        <f>E9/C9*100</f>
        <v>137.24299076974148</v>
      </c>
      <c r="P9" s="273">
        <f>E9/D9*100</f>
        <v>127.32897747069923</v>
      </c>
      <c r="Q9" s="277" t="e">
        <f>+E9/"#REF!*100"</f>
        <v>#VALUE!</v>
      </c>
      <c r="R9" s="103"/>
    </row>
    <row r="10" spans="1:20" ht="29.25">
      <c r="A10" s="270">
        <v>1</v>
      </c>
      <c r="B10" s="278" t="s">
        <v>492</v>
      </c>
      <c r="C10" s="402">
        <v>1656790</v>
      </c>
      <c r="D10" s="402">
        <v>1785790</v>
      </c>
      <c r="E10" s="1611">
        <f>F10+I10+L10</f>
        <v>2171696.2130899997</v>
      </c>
      <c r="F10" s="205">
        <f>+F11+F12+F13+F14+F15+F16+F17+F18+F19+F20+F21+F22+F23</f>
        <v>1602044.563021</v>
      </c>
      <c r="G10" s="205">
        <f>+G11+G12+G13+G14+G15+G16+G17+G18+G19+G20+G21+G22+G23</f>
        <v>633340.47815500002</v>
      </c>
      <c r="H10" s="205">
        <f>+H11+H12+H13+H14+H15+H16+H17+H18+H19+H20+H21+H22+H23</f>
        <v>0</v>
      </c>
      <c r="I10" s="205">
        <f>+I11+I12+I13+I14+I15+I16+I17+I18+I19+I20+I21+I22+I23</f>
        <v>398015.40541099996</v>
      </c>
      <c r="J10" s="205">
        <f>+SUM(J11:J23)</f>
        <v>12853.423792</v>
      </c>
      <c r="K10" s="205">
        <f>+SUM(K11:K23)</f>
        <v>0</v>
      </c>
      <c r="L10" s="205">
        <f>+L11+L12+L13+L14+L15+L16+L17+L18+L19+L20+L21+L22+L23</f>
        <v>171636.24465800001</v>
      </c>
      <c r="M10" s="205">
        <f>+M11+M12+M13+M14+M15+M16+M17+M18+M19+M20+M21+M22+M23</f>
        <v>96203.247968999989</v>
      </c>
      <c r="N10" s="205">
        <f>+N11+N12+N13+N14+N15+N16+N17+N18+N19+N20+N21+N22+N23</f>
        <v>0</v>
      </c>
      <c r="O10" s="273">
        <f>E10/C10*100</f>
        <v>131.07854423855767</v>
      </c>
      <c r="P10" s="273">
        <f>E10/D10*100</f>
        <v>121.60983167617691</v>
      </c>
      <c r="Q10" s="277"/>
      <c r="R10" s="103">
        <f>+(E10-E23)/C10*100</f>
        <v>122.43506823067496</v>
      </c>
      <c r="S10" s="931">
        <f>(E10-E23)/D10*100</f>
        <v>113.59073390146656</v>
      </c>
    </row>
    <row r="11" spans="1:20" ht="18" customHeight="1">
      <c r="A11" s="280" t="s">
        <v>254</v>
      </c>
      <c r="B11" s="281" t="s">
        <v>255</v>
      </c>
      <c r="C11" s="402">
        <v>0</v>
      </c>
      <c r="D11" s="279">
        <v>0</v>
      </c>
      <c r="E11" s="583">
        <f>+F11+I11+L11</f>
        <v>29253.509900000001</v>
      </c>
      <c r="F11" s="213">
        <v>29114.277900000001</v>
      </c>
      <c r="G11" s="213"/>
      <c r="H11" s="213"/>
      <c r="I11" s="532">
        <v>139.232</v>
      </c>
      <c r="J11" s="219"/>
      <c r="K11" s="213"/>
      <c r="L11" s="279">
        <v>0</v>
      </c>
      <c r="M11" s="219"/>
      <c r="N11" s="213"/>
      <c r="O11" s="279">
        <v>0</v>
      </c>
      <c r="P11" s="279">
        <v>0</v>
      </c>
      <c r="Q11" s="282"/>
      <c r="R11" s="103">
        <f>+E10-E23</f>
        <v>2028491.9669389997</v>
      </c>
    </row>
    <row r="12" spans="1:20" ht="18" customHeight="1">
      <c r="A12" s="280" t="s">
        <v>256</v>
      </c>
      <c r="B12" s="281" t="s">
        <v>257</v>
      </c>
      <c r="C12" s="402">
        <v>0</v>
      </c>
      <c r="D12" s="279">
        <v>0</v>
      </c>
      <c r="E12" s="583">
        <f t="shared" ref="E12:E22" si="0">+F12+I12+L12</f>
        <v>11565.008900000001</v>
      </c>
      <c r="F12" s="213">
        <v>11511.0542</v>
      </c>
      <c r="G12" s="213"/>
      <c r="H12" s="213"/>
      <c r="I12" s="532">
        <v>53.954700000000003</v>
      </c>
      <c r="J12" s="219"/>
      <c r="K12" s="213"/>
      <c r="L12" s="279">
        <v>0</v>
      </c>
      <c r="M12" s="219"/>
      <c r="N12" s="213"/>
      <c r="O12" s="279">
        <v>0</v>
      </c>
      <c r="P12" s="279">
        <v>0</v>
      </c>
      <c r="Q12" s="282"/>
      <c r="R12" s="103">
        <f>+R11/C10*100</f>
        <v>122.43506823067496</v>
      </c>
    </row>
    <row r="13" spans="1:20" s="117" customFormat="1" ht="18" customHeight="1">
      <c r="A13" s="463" t="s">
        <v>258</v>
      </c>
      <c r="B13" s="217" t="s">
        <v>259</v>
      </c>
      <c r="C13" s="402">
        <v>0</v>
      </c>
      <c r="D13" s="402">
        <v>0</v>
      </c>
      <c r="E13" s="583">
        <f t="shared" si="0"/>
        <v>235167.633508</v>
      </c>
      <c r="F13" s="503">
        <f>112619.79232-G13</f>
        <v>71693.375520000001</v>
      </c>
      <c r="G13" s="213">
        <v>40926.416799999999</v>
      </c>
      <c r="H13" s="213"/>
      <c r="I13" s="213">
        <f>164617.396988-J13</f>
        <v>163474.257988</v>
      </c>
      <c r="J13" s="213">
        <v>1143.1389999999999</v>
      </c>
      <c r="K13" s="213"/>
      <c r="L13" s="402">
        <f>120-M13</f>
        <v>0</v>
      </c>
      <c r="M13" s="213">
        <v>120</v>
      </c>
      <c r="N13" s="213"/>
      <c r="O13" s="402">
        <v>0</v>
      </c>
      <c r="P13" s="402">
        <v>0</v>
      </c>
      <c r="Q13" s="282"/>
      <c r="R13" s="330"/>
    </row>
    <row r="14" spans="1:20" s="117" customFormat="1" ht="18" customHeight="1">
      <c r="A14" s="463" t="s">
        <v>260</v>
      </c>
      <c r="B14" s="217" t="s">
        <v>261</v>
      </c>
      <c r="C14" s="402">
        <v>0</v>
      </c>
      <c r="D14" s="402">
        <v>0</v>
      </c>
      <c r="E14" s="583">
        <f t="shared" si="0"/>
        <v>643.31500000000005</v>
      </c>
      <c r="F14" s="213">
        <v>643.31500000000005</v>
      </c>
      <c r="G14" s="213"/>
      <c r="H14" s="213"/>
      <c r="I14" s="402">
        <v>0</v>
      </c>
      <c r="J14" s="213"/>
      <c r="K14" s="213"/>
      <c r="L14" s="402">
        <v>0</v>
      </c>
      <c r="M14" s="213"/>
      <c r="N14" s="213"/>
      <c r="O14" s="402">
        <v>0</v>
      </c>
      <c r="P14" s="402">
        <v>0</v>
      </c>
      <c r="Q14" s="282"/>
      <c r="R14" s="330"/>
    </row>
    <row r="15" spans="1:20" ht="18" customHeight="1">
      <c r="A15" s="280" t="s">
        <v>262</v>
      </c>
      <c r="B15" s="281" t="s">
        <v>263</v>
      </c>
      <c r="C15" s="402">
        <v>0</v>
      </c>
      <c r="D15" s="279">
        <v>0</v>
      </c>
      <c r="E15" s="583">
        <f t="shared" si="0"/>
        <v>128430.53434100001</v>
      </c>
      <c r="F15" s="213">
        <v>127927.791341</v>
      </c>
      <c r="G15" s="213"/>
      <c r="H15" s="213"/>
      <c r="I15" s="219">
        <v>228.64699999999999</v>
      </c>
      <c r="J15" s="219"/>
      <c r="K15" s="213"/>
      <c r="L15" s="532">
        <v>274.096</v>
      </c>
      <c r="M15" s="219"/>
      <c r="N15" s="213"/>
      <c r="O15" s="279">
        <v>0</v>
      </c>
      <c r="P15" s="279">
        <v>0</v>
      </c>
      <c r="Q15" s="282"/>
      <c r="R15" s="103"/>
    </row>
    <row r="16" spans="1:20" ht="18" customHeight="1">
      <c r="A16" s="280" t="s">
        <v>264</v>
      </c>
      <c r="B16" s="281" t="s">
        <v>265</v>
      </c>
      <c r="C16" s="402">
        <v>0</v>
      </c>
      <c r="D16" s="279">
        <v>0</v>
      </c>
      <c r="E16" s="583">
        <f t="shared" si="0"/>
        <v>62204.969066999998</v>
      </c>
      <c r="F16" s="213">
        <v>45495.248045</v>
      </c>
      <c r="G16" s="213"/>
      <c r="H16" s="213"/>
      <c r="I16" s="219">
        <f>15630.437022-J16</f>
        <v>14704.780022000001</v>
      </c>
      <c r="J16" s="219">
        <v>925.65700000000004</v>
      </c>
      <c r="K16" s="213"/>
      <c r="L16" s="532">
        <f>3100.861-M16</f>
        <v>2004.9409999999998</v>
      </c>
      <c r="M16" s="219">
        <v>1095.92</v>
      </c>
      <c r="N16" s="213"/>
      <c r="O16" s="279">
        <v>0</v>
      </c>
      <c r="P16" s="279">
        <v>0</v>
      </c>
      <c r="Q16" s="282"/>
      <c r="R16" s="103"/>
    </row>
    <row r="17" spans="1:20" ht="18" customHeight="1">
      <c r="A17" s="280" t="s">
        <v>266</v>
      </c>
      <c r="B17" s="281" t="s">
        <v>267</v>
      </c>
      <c r="C17" s="402">
        <v>0</v>
      </c>
      <c r="D17" s="279">
        <v>0</v>
      </c>
      <c r="E17" s="583">
        <f t="shared" si="0"/>
        <v>21659.773572999999</v>
      </c>
      <c r="F17" s="213">
        <v>21659.773572999999</v>
      </c>
      <c r="G17" s="213"/>
      <c r="H17" s="213"/>
      <c r="I17" s="279">
        <v>0</v>
      </c>
      <c r="J17" s="219"/>
      <c r="K17" s="213"/>
      <c r="L17" s="279">
        <v>0</v>
      </c>
      <c r="M17" s="219"/>
      <c r="N17" s="213"/>
      <c r="O17" s="279">
        <v>0</v>
      </c>
      <c r="P17" s="279">
        <v>0</v>
      </c>
      <c r="Q17" s="282"/>
      <c r="R17" s="103"/>
    </row>
    <row r="18" spans="1:20" ht="18" customHeight="1">
      <c r="A18" s="280" t="s">
        <v>268</v>
      </c>
      <c r="B18" s="281" t="s">
        <v>269</v>
      </c>
      <c r="C18" s="402">
        <v>0</v>
      </c>
      <c r="D18" s="279">
        <v>0</v>
      </c>
      <c r="E18" s="583">
        <f>+F18+I18+L18</f>
        <v>833.39199999999994</v>
      </c>
      <c r="F18" s="533">
        <v>239.852</v>
      </c>
      <c r="G18" s="213"/>
      <c r="H18" s="213"/>
      <c r="I18" s="219">
        <v>593.54</v>
      </c>
      <c r="J18" s="219"/>
      <c r="K18" s="213"/>
      <c r="L18" s="279">
        <v>0</v>
      </c>
      <c r="M18" s="219"/>
      <c r="N18" s="213"/>
      <c r="O18" s="279">
        <v>0</v>
      </c>
      <c r="P18" s="279">
        <v>0</v>
      </c>
      <c r="Q18" s="282"/>
      <c r="R18" s="297"/>
    </row>
    <row r="19" spans="1:20" ht="18" customHeight="1">
      <c r="A19" s="280" t="s">
        <v>270</v>
      </c>
      <c r="B19" s="281" t="s">
        <v>271</v>
      </c>
      <c r="C19" s="402">
        <v>0</v>
      </c>
      <c r="D19" s="279">
        <v>0</v>
      </c>
      <c r="E19" s="583">
        <f t="shared" si="0"/>
        <v>357.36599999999999</v>
      </c>
      <c r="F19" s="213">
        <f>459.89-G19</f>
        <v>319.89</v>
      </c>
      <c r="G19" s="213">
        <v>140</v>
      </c>
      <c r="H19" s="213"/>
      <c r="I19" s="532">
        <v>37.475999999999999</v>
      </c>
      <c r="J19" s="219"/>
      <c r="K19" s="213"/>
      <c r="L19" s="279">
        <v>0</v>
      </c>
      <c r="M19" s="219"/>
      <c r="N19" s="213"/>
      <c r="O19" s="279">
        <v>0</v>
      </c>
      <c r="P19" s="279">
        <v>0</v>
      </c>
      <c r="Q19" s="282"/>
      <c r="R19" s="103"/>
    </row>
    <row r="20" spans="1:20" ht="18" customHeight="1">
      <c r="A20" s="280" t="s">
        <v>272</v>
      </c>
      <c r="B20" s="281" t="s">
        <v>273</v>
      </c>
      <c r="C20" s="402">
        <v>0</v>
      </c>
      <c r="D20" s="279">
        <v>0</v>
      </c>
      <c r="E20" s="583">
        <f t="shared" si="0"/>
        <v>1112998.1705</v>
      </c>
      <c r="F20" s="213">
        <f>1392979.695074-G20</f>
        <v>825713.9312189999</v>
      </c>
      <c r="G20" s="213">
        <f>442844.620482+124421.143373</f>
        <v>567265.76385500003</v>
      </c>
      <c r="H20" s="213"/>
      <c r="I20" s="219">
        <f>208938.321045-J20</f>
        <v>199853.69325299998</v>
      </c>
      <c r="J20" s="219">
        <v>9084.6277919999993</v>
      </c>
      <c r="K20" s="213"/>
      <c r="L20" s="219">
        <f>179967.657197-M20</f>
        <v>87430.546027999997</v>
      </c>
      <c r="M20" s="219">
        <v>92537.111168999996</v>
      </c>
      <c r="N20" s="213"/>
      <c r="O20" s="279">
        <v>0</v>
      </c>
      <c r="P20" s="279">
        <v>0</v>
      </c>
      <c r="Q20" s="282"/>
      <c r="R20" s="103"/>
    </row>
    <row r="21" spans="1:20" ht="18" customHeight="1">
      <c r="A21" s="280" t="s">
        <v>274</v>
      </c>
      <c r="B21" s="281" t="s">
        <v>275</v>
      </c>
      <c r="C21" s="402">
        <v>0</v>
      </c>
      <c r="D21" s="279">
        <v>0</v>
      </c>
      <c r="E21" s="583">
        <f t="shared" si="0"/>
        <v>337132.88014999998</v>
      </c>
      <c r="F21" s="213">
        <f>326102.309572-G21</f>
        <v>306008.59007199999</v>
      </c>
      <c r="G21" s="213">
        <v>20093.719499999999</v>
      </c>
      <c r="H21" s="213"/>
      <c r="I21" s="219">
        <f>18927.628448-J21</f>
        <v>17227.628447999999</v>
      </c>
      <c r="J21" s="219">
        <v>1700</v>
      </c>
      <c r="K21" s="213"/>
      <c r="L21" s="219">
        <f>16346.87843-M21</f>
        <v>13896.661630000001</v>
      </c>
      <c r="M21" s="219">
        <v>2450.2168000000001</v>
      </c>
      <c r="N21" s="213"/>
      <c r="O21" s="279">
        <v>0</v>
      </c>
      <c r="P21" s="279">
        <v>0</v>
      </c>
      <c r="Q21" s="282"/>
      <c r="R21" s="103"/>
    </row>
    <row r="22" spans="1:20" ht="18" customHeight="1">
      <c r="A22" s="280" t="s">
        <v>276</v>
      </c>
      <c r="B22" s="281" t="s">
        <v>277</v>
      </c>
      <c r="C22" s="402">
        <v>0</v>
      </c>
      <c r="D22" s="279">
        <v>0</v>
      </c>
      <c r="E22" s="583">
        <f t="shared" si="0"/>
        <v>88245.41399999999</v>
      </c>
      <c r="F22" s="213">
        <f>23427.796-G22</f>
        <v>18513.217999999997</v>
      </c>
      <c r="G22" s="213">
        <v>4914.5780000000004</v>
      </c>
      <c r="H22" s="213"/>
      <c r="I22" s="532">
        <v>1702.1959999999999</v>
      </c>
      <c r="J22" s="279"/>
      <c r="K22" s="279"/>
      <c r="L22" s="532">
        <v>68030</v>
      </c>
      <c r="M22" s="219"/>
      <c r="N22" s="213"/>
      <c r="O22" s="279">
        <v>0</v>
      </c>
      <c r="P22" s="279">
        <v>0</v>
      </c>
      <c r="Q22" s="282"/>
      <c r="R22" s="103"/>
    </row>
    <row r="23" spans="1:20" ht="18" customHeight="1">
      <c r="A23" s="280" t="s">
        <v>278</v>
      </c>
      <c r="B23" s="281" t="s">
        <v>279</v>
      </c>
      <c r="C23" s="402">
        <v>0</v>
      </c>
      <c r="D23" s="279">
        <v>0</v>
      </c>
      <c r="E23" s="583">
        <f>F23+I23+L23</f>
        <v>143204.246151</v>
      </c>
      <c r="F23" s="213">
        <v>143204.246151</v>
      </c>
      <c r="G23" s="213"/>
      <c r="H23" s="213"/>
      <c r="I23" s="279">
        <v>0</v>
      </c>
      <c r="J23" s="279"/>
      <c r="K23" s="279"/>
      <c r="L23" s="279">
        <v>0</v>
      </c>
      <c r="M23" s="219"/>
      <c r="N23" s="213"/>
      <c r="O23" s="279">
        <v>0</v>
      </c>
      <c r="P23" s="279">
        <v>0</v>
      </c>
      <c r="Q23" s="282"/>
      <c r="R23" s="103"/>
      <c r="S23" s="103"/>
    </row>
    <row r="24" spans="1:20" ht="33" customHeight="1">
      <c r="A24" s="270">
        <v>2</v>
      </c>
      <c r="B24" s="278" t="s">
        <v>280</v>
      </c>
      <c r="C24" s="402">
        <v>0</v>
      </c>
      <c r="D24" s="279">
        <v>0</v>
      </c>
      <c r="E24" s="1611">
        <f>F24+I24+L24</f>
        <v>32774.400000000001</v>
      </c>
      <c r="F24" s="205">
        <v>32774.400000000001</v>
      </c>
      <c r="G24" s="205"/>
      <c r="H24" s="205"/>
      <c r="I24" s="279">
        <v>0</v>
      </c>
      <c r="J24" s="279"/>
      <c r="K24" s="279"/>
      <c r="L24" s="279">
        <v>0</v>
      </c>
      <c r="M24" s="273"/>
      <c r="N24" s="205"/>
      <c r="O24" s="279">
        <v>0</v>
      </c>
      <c r="P24" s="279">
        <v>0</v>
      </c>
      <c r="Q24" s="277"/>
      <c r="R24" s="103"/>
    </row>
    <row r="25" spans="1:20" ht="18" customHeight="1">
      <c r="A25" s="270">
        <v>3</v>
      </c>
      <c r="B25" s="275" t="s">
        <v>281</v>
      </c>
      <c r="C25" s="402">
        <v>0</v>
      </c>
      <c r="D25" s="279">
        <v>0</v>
      </c>
      <c r="E25" s="1612">
        <f>F25+I25+L25</f>
        <v>69357.533684000009</v>
      </c>
      <c r="F25" s="402">
        <v>68634.278684000004</v>
      </c>
      <c r="G25" s="205"/>
      <c r="H25" s="205"/>
      <c r="I25" s="279">
        <v>723.255</v>
      </c>
      <c r="J25" s="279"/>
      <c r="K25" s="279"/>
      <c r="L25" s="279">
        <v>0</v>
      </c>
      <c r="M25" s="273"/>
      <c r="N25" s="205"/>
      <c r="O25" s="279">
        <v>0</v>
      </c>
      <c r="P25" s="279">
        <v>0</v>
      </c>
      <c r="Q25" s="277"/>
      <c r="R25" s="103"/>
    </row>
    <row r="26" spans="1:20" ht="18" customHeight="1">
      <c r="A26" s="270" t="s">
        <v>109</v>
      </c>
      <c r="B26" s="275" t="s">
        <v>119</v>
      </c>
      <c r="C26" s="402">
        <f>86500</f>
        <v>86500</v>
      </c>
      <c r="D26" s="465">
        <f>86500+1783</f>
        <v>88283</v>
      </c>
      <c r="E26" s="594">
        <f>F26+I26+L26</f>
        <v>87001.591360000006</v>
      </c>
      <c r="F26" s="205">
        <f>403.904653+86597.686707</f>
        <v>87001.591360000006</v>
      </c>
      <c r="G26" s="205"/>
      <c r="H26" s="205"/>
      <c r="I26" s="279">
        <v>0</v>
      </c>
      <c r="J26" s="279"/>
      <c r="K26" s="279"/>
      <c r="L26" s="279">
        <v>0</v>
      </c>
      <c r="M26" s="273"/>
      <c r="N26" s="205"/>
      <c r="O26" s="273">
        <f t="shared" ref="O26:O73" si="1">E26/C26*100</f>
        <v>100.57987440462428</v>
      </c>
      <c r="P26" s="273">
        <f t="shared" ref="P26:P73" si="2">E26/D26*100</f>
        <v>98.54852164063297</v>
      </c>
      <c r="Q26" s="277"/>
      <c r="R26" s="103"/>
    </row>
    <row r="27" spans="1:20" ht="18" hidden="1" customHeight="1">
      <c r="A27" s="270"/>
      <c r="B27" s="275"/>
      <c r="C27" s="402"/>
      <c r="D27" s="276"/>
      <c r="E27" s="594"/>
      <c r="F27" s="205"/>
      <c r="G27" s="205"/>
      <c r="H27" s="205"/>
      <c r="I27" s="273"/>
      <c r="J27" s="273"/>
      <c r="K27" s="205"/>
      <c r="L27" s="273"/>
      <c r="M27" s="273"/>
      <c r="N27" s="205"/>
      <c r="O27" s="273" t="e">
        <f t="shared" si="1"/>
        <v>#DIV/0!</v>
      </c>
      <c r="P27" s="273" t="e">
        <f t="shared" si="2"/>
        <v>#DIV/0!</v>
      </c>
      <c r="Q27" s="277"/>
      <c r="R27" s="103"/>
    </row>
    <row r="28" spans="1:20" ht="18" hidden="1" customHeight="1">
      <c r="A28" s="270"/>
      <c r="B28" s="275"/>
      <c r="C28" s="402"/>
      <c r="D28" s="276"/>
      <c r="E28" s="594"/>
      <c r="F28" s="205"/>
      <c r="G28" s="205"/>
      <c r="H28" s="205"/>
      <c r="I28" s="273"/>
      <c r="J28" s="273"/>
      <c r="K28" s="205"/>
      <c r="L28" s="273"/>
      <c r="M28" s="273"/>
      <c r="N28" s="205"/>
      <c r="O28" s="273" t="e">
        <f t="shared" si="1"/>
        <v>#DIV/0!</v>
      </c>
      <c r="P28" s="273" t="e">
        <f t="shared" si="2"/>
        <v>#DIV/0!</v>
      </c>
      <c r="Q28" s="277"/>
      <c r="R28" s="103"/>
    </row>
    <row r="29" spans="1:20" ht="15" hidden="1" customHeight="1">
      <c r="A29" s="281"/>
      <c r="B29" s="283" t="s">
        <v>282</v>
      </c>
      <c r="C29" s="402"/>
      <c r="D29" s="284"/>
      <c r="E29" s="1613">
        <f>F29+I29+L29</f>
        <v>0</v>
      </c>
      <c r="F29" s="286"/>
      <c r="G29" s="286"/>
      <c r="H29" s="286"/>
      <c r="I29" s="285"/>
      <c r="J29" s="285">
        <f>J31</f>
        <v>0</v>
      </c>
      <c r="K29" s="286"/>
      <c r="L29" s="285"/>
      <c r="M29" s="285"/>
      <c r="N29" s="286"/>
      <c r="O29" s="273" t="e">
        <f t="shared" si="1"/>
        <v>#DIV/0!</v>
      </c>
      <c r="P29" s="273" t="e">
        <f t="shared" si="2"/>
        <v>#DIV/0!</v>
      </c>
      <c r="Q29" s="287"/>
      <c r="R29" s="103"/>
      <c r="T29" s="103"/>
    </row>
    <row r="30" spans="1:20" ht="15" hidden="1" customHeight="1">
      <c r="A30" s="281"/>
      <c r="B30" s="283" t="s">
        <v>283</v>
      </c>
      <c r="C30" s="402"/>
      <c r="D30" s="284"/>
      <c r="E30" s="1613">
        <f>F30+I30+L30</f>
        <v>0</v>
      </c>
      <c r="F30" s="286"/>
      <c r="G30" s="286"/>
      <c r="H30" s="286"/>
      <c r="I30" s="285"/>
      <c r="J30" s="285"/>
      <c r="K30" s="286"/>
      <c r="L30" s="285"/>
      <c r="M30" s="285"/>
      <c r="N30" s="286"/>
      <c r="O30" s="273" t="e">
        <f t="shared" si="1"/>
        <v>#DIV/0!</v>
      </c>
      <c r="P30" s="273" t="e">
        <f t="shared" si="2"/>
        <v>#DIV/0!</v>
      </c>
      <c r="Q30" s="287"/>
      <c r="R30" s="103"/>
      <c r="T30" s="103"/>
    </row>
    <row r="31" spans="1:20" s="117" customFormat="1" ht="15" hidden="1" customHeight="1">
      <c r="A31" s="288">
        <v>1</v>
      </c>
      <c r="B31" s="281" t="s">
        <v>284</v>
      </c>
      <c r="C31" s="402"/>
      <c r="D31" s="289"/>
      <c r="E31" s="1614">
        <f>F31+I31+L31</f>
        <v>0</v>
      </c>
      <c r="F31" s="213"/>
      <c r="G31" s="213"/>
      <c r="H31" s="213"/>
      <c r="I31" s="219"/>
      <c r="J31" s="219"/>
      <c r="K31" s="213"/>
      <c r="L31" s="219"/>
      <c r="M31" s="219"/>
      <c r="N31" s="213"/>
      <c r="O31" s="273" t="e">
        <f t="shared" si="1"/>
        <v>#DIV/0!</v>
      </c>
      <c r="P31" s="273" t="e">
        <f t="shared" si="2"/>
        <v>#DIV/0!</v>
      </c>
      <c r="Q31" s="282" t="e">
        <f>+E31/"#REF!*100"</f>
        <v>#VALUE!</v>
      </c>
      <c r="R31" s="290"/>
    </row>
    <row r="32" spans="1:20" s="293" customFormat="1" ht="15" hidden="1" customHeight="1">
      <c r="A32" s="291"/>
      <c r="B32" s="283" t="s">
        <v>285</v>
      </c>
      <c r="C32" s="402"/>
      <c r="D32" s="284"/>
      <c r="E32" s="1613">
        <f>F32+I32+L32</f>
        <v>0</v>
      </c>
      <c r="F32" s="286"/>
      <c r="G32" s="286"/>
      <c r="H32" s="286"/>
      <c r="I32" s="285"/>
      <c r="J32" s="285"/>
      <c r="K32" s="286"/>
      <c r="L32" s="285"/>
      <c r="M32" s="285"/>
      <c r="N32" s="286"/>
      <c r="O32" s="273" t="e">
        <f t="shared" si="1"/>
        <v>#DIV/0!</v>
      </c>
      <c r="P32" s="273" t="e">
        <f t="shared" si="2"/>
        <v>#DIV/0!</v>
      </c>
      <c r="Q32" s="287"/>
      <c r="R32" s="292"/>
      <c r="T32" s="294"/>
    </row>
    <row r="33" spans="1:20" s="293" customFormat="1" ht="15" hidden="1" customHeight="1">
      <c r="A33" s="291">
        <v>2</v>
      </c>
      <c r="B33" s="281" t="s">
        <v>286</v>
      </c>
      <c r="C33" s="402"/>
      <c r="D33" s="284"/>
      <c r="E33" s="1613">
        <f>+F33</f>
        <v>0</v>
      </c>
      <c r="F33" s="286"/>
      <c r="G33" s="286"/>
      <c r="H33" s="286"/>
      <c r="I33" s="285"/>
      <c r="J33" s="285"/>
      <c r="K33" s="286"/>
      <c r="L33" s="285"/>
      <c r="M33" s="285"/>
      <c r="N33" s="286"/>
      <c r="O33" s="273" t="e">
        <f t="shared" si="1"/>
        <v>#DIV/0!</v>
      </c>
      <c r="P33" s="273" t="e">
        <f t="shared" si="2"/>
        <v>#DIV/0!</v>
      </c>
      <c r="Q33" s="287"/>
      <c r="R33" s="292"/>
      <c r="T33" s="294"/>
    </row>
    <row r="34" spans="1:20" ht="15" hidden="1" customHeight="1">
      <c r="A34" s="281">
        <v>3</v>
      </c>
      <c r="B34" s="281" t="s">
        <v>287</v>
      </c>
      <c r="C34" s="402"/>
      <c r="D34" s="295"/>
      <c r="E34" s="1614">
        <f>+F34+I34+L34</f>
        <v>0</v>
      </c>
      <c r="F34" s="213"/>
      <c r="G34" s="213"/>
      <c r="H34" s="213"/>
      <c r="I34" s="219"/>
      <c r="J34" s="219"/>
      <c r="K34" s="213"/>
      <c r="L34" s="219"/>
      <c r="M34" s="219"/>
      <c r="N34" s="213"/>
      <c r="O34" s="273" t="e">
        <f t="shared" si="1"/>
        <v>#DIV/0!</v>
      </c>
      <c r="P34" s="273" t="e">
        <f t="shared" si="2"/>
        <v>#DIV/0!</v>
      </c>
      <c r="Q34" s="282"/>
      <c r="T34" s="103"/>
    </row>
    <row r="35" spans="1:20" ht="17.25" customHeight="1">
      <c r="A35" s="270" t="s">
        <v>118</v>
      </c>
      <c r="B35" s="275" t="s">
        <v>66</v>
      </c>
      <c r="C35" s="402">
        <f>5409477</f>
        <v>5409477</v>
      </c>
      <c r="D35" s="466">
        <f>+D36+D37+D38+D39+D40+D41+D42+D43+D44+D45+D46+D47+D48-1</f>
        <v>5676262</v>
      </c>
      <c r="E35" s="1611">
        <f>+F35+I35+L35</f>
        <v>6240733.7518939991</v>
      </c>
      <c r="F35" s="205">
        <f t="shared" ref="F35:M35" si="3">+F36+F37+F38+F39+F40+F41+F42+F43+F44+F45+F46+F47+F48</f>
        <v>2093360.596355</v>
      </c>
      <c r="G35" s="205">
        <f t="shared" si="3"/>
        <v>0</v>
      </c>
      <c r="H35" s="205">
        <f t="shared" si="3"/>
        <v>50721.842969999998</v>
      </c>
      <c r="I35" s="205">
        <f t="shared" si="3"/>
        <v>3299246.9307769993</v>
      </c>
      <c r="J35" s="205">
        <f t="shared" si="3"/>
        <v>0</v>
      </c>
      <c r="K35" s="205">
        <f t="shared" si="3"/>
        <v>61956.748729999992</v>
      </c>
      <c r="L35" s="205">
        <f t="shared" si="3"/>
        <v>848126.22476199991</v>
      </c>
      <c r="M35" s="205">
        <f t="shared" si="3"/>
        <v>0</v>
      </c>
      <c r="N35" s="205">
        <f>+N36+N37+N38+N39+N40+N41+N42+N43+N44+N45+N46+N47+N48</f>
        <v>20865.08339</v>
      </c>
      <c r="O35" s="273">
        <f t="shared" si="1"/>
        <v>115.3666750388993</v>
      </c>
      <c r="P35" s="273">
        <f t="shared" si="2"/>
        <v>109.94442736952593</v>
      </c>
      <c r="Q35" s="282" t="e">
        <f>+E35/"#REF!*100"</f>
        <v>#VALUE!</v>
      </c>
      <c r="R35" s="103"/>
      <c r="T35" s="103"/>
    </row>
    <row r="36" spans="1:20" ht="17.25" customHeight="1">
      <c r="A36" s="280">
        <v>1</v>
      </c>
      <c r="B36" s="281" t="s">
        <v>255</v>
      </c>
      <c r="C36" s="402">
        <v>0</v>
      </c>
      <c r="D36" s="467">
        <v>118253</v>
      </c>
      <c r="E36" s="1614">
        <f>F36+I36+L36</f>
        <v>161167.61423400001</v>
      </c>
      <c r="F36" s="213">
        <f>53784.131-H36</f>
        <v>49934.131000000001</v>
      </c>
      <c r="G36" s="213"/>
      <c r="H36" s="213">
        <v>3850</v>
      </c>
      <c r="I36" s="213">
        <v>52944.2713</v>
      </c>
      <c r="J36" s="219"/>
      <c r="K36" s="213"/>
      <c r="L36" s="213">
        <v>58289.211933999999</v>
      </c>
      <c r="M36" s="219"/>
      <c r="N36" s="213"/>
      <c r="O36" s="279">
        <v>0</v>
      </c>
      <c r="P36" s="219">
        <f t="shared" si="2"/>
        <v>136.29050783827893</v>
      </c>
      <c r="Q36" s="282"/>
      <c r="R36" s="134"/>
      <c r="T36" s="103"/>
    </row>
    <row r="37" spans="1:20" ht="17.25" customHeight="1">
      <c r="A37" s="280">
        <v>2</v>
      </c>
      <c r="B37" s="281" t="s">
        <v>257</v>
      </c>
      <c r="C37" s="402">
        <v>0</v>
      </c>
      <c r="D37" s="467">
        <v>36701</v>
      </c>
      <c r="E37" s="1614">
        <f>F37+I37+L37</f>
        <v>46520.654710000003</v>
      </c>
      <c r="F37" s="213">
        <f>26569-H37</f>
        <v>13816</v>
      </c>
      <c r="G37" s="213"/>
      <c r="H37" s="583">
        <f>3600+9153</f>
        <v>12753</v>
      </c>
      <c r="I37" s="213">
        <f>21476.2549-K37</f>
        <v>12534.2549</v>
      </c>
      <c r="J37" s="219"/>
      <c r="K37" s="583">
        <v>8942</v>
      </c>
      <c r="L37" s="213">
        <v>20170.399809999999</v>
      </c>
      <c r="M37" s="219"/>
      <c r="N37" s="213"/>
      <c r="O37" s="279">
        <v>0</v>
      </c>
      <c r="P37" s="219">
        <f t="shared" si="2"/>
        <v>126.7558233018174</v>
      </c>
      <c r="Q37" s="282"/>
      <c r="R37" s="134"/>
      <c r="T37" s="103"/>
    </row>
    <row r="38" spans="1:20" ht="17.25" customHeight="1">
      <c r="A38" s="280">
        <v>3</v>
      </c>
      <c r="B38" s="281" t="s">
        <v>259</v>
      </c>
      <c r="C38" s="533">
        <v>1989752</v>
      </c>
      <c r="D38" s="467">
        <v>2211146</v>
      </c>
      <c r="E38" s="1614">
        <f t="shared" ref="E38:E48" si="4">F38+I38+L38</f>
        <v>2308106.7387399999</v>
      </c>
      <c r="F38" s="503">
        <f>390261.912639-H38+14950.371</f>
        <v>397848.69363899995</v>
      </c>
      <c r="G38" s="213"/>
      <c r="H38" s="213">
        <v>7363.59</v>
      </c>
      <c r="I38" s="213">
        <f>1906544.311852-K38</f>
        <v>1903099.4904719999</v>
      </c>
      <c r="J38" s="219"/>
      <c r="K38" s="213">
        <v>3444.8213799999999</v>
      </c>
      <c r="L38" s="213">
        <v>7158.5546290000002</v>
      </c>
      <c r="M38" s="219"/>
      <c r="N38" s="213"/>
      <c r="O38" s="219">
        <f t="shared" si="1"/>
        <v>115.99971949971655</v>
      </c>
      <c r="P38" s="219">
        <f t="shared" si="2"/>
        <v>104.38508984662252</v>
      </c>
      <c r="Q38" s="282"/>
      <c r="T38" s="103"/>
    </row>
    <row r="39" spans="1:20" ht="17.25" customHeight="1">
      <c r="A39" s="280">
        <v>4</v>
      </c>
      <c r="B39" s="281" t="s">
        <v>261</v>
      </c>
      <c r="C39" s="533">
        <v>24374</v>
      </c>
      <c r="D39" s="467">
        <v>24734</v>
      </c>
      <c r="E39" s="1614">
        <f t="shared" si="4"/>
        <v>26009.921506999999</v>
      </c>
      <c r="F39" s="213">
        <v>20562.415843999999</v>
      </c>
      <c r="G39" s="213"/>
      <c r="H39" s="213"/>
      <c r="I39" s="213">
        <v>5447.5056629999999</v>
      </c>
      <c r="J39" s="219"/>
      <c r="K39" s="213"/>
      <c r="L39" s="213">
        <v>0</v>
      </c>
      <c r="M39" s="219"/>
      <c r="N39" s="213"/>
      <c r="O39" s="219">
        <f t="shared" si="1"/>
        <v>106.7117482030032</v>
      </c>
      <c r="P39" s="219">
        <f t="shared" si="2"/>
        <v>105.15857324735182</v>
      </c>
      <c r="Q39" s="282"/>
      <c r="R39" s="134"/>
      <c r="T39" s="103"/>
    </row>
    <row r="40" spans="1:20" ht="17.25" customHeight="1">
      <c r="A40" s="280">
        <v>5</v>
      </c>
      <c r="B40" s="281" t="s">
        <v>263</v>
      </c>
      <c r="C40" s="402">
        <v>0</v>
      </c>
      <c r="D40" s="467">
        <v>621908</v>
      </c>
      <c r="E40" s="1614">
        <f>F40+I40+L40</f>
        <v>662784.48974600004</v>
      </c>
      <c r="F40" s="213">
        <f>467840.685991-H40</f>
        <v>461000.176515</v>
      </c>
      <c r="G40" s="213"/>
      <c r="H40" s="213">
        <v>6840.5094760000002</v>
      </c>
      <c r="I40" s="213">
        <f>208724.727101-K40</f>
        <v>201428.95923099999</v>
      </c>
      <c r="J40" s="219"/>
      <c r="K40" s="213">
        <v>7295.7678699999997</v>
      </c>
      <c r="L40" s="213">
        <v>355.35399999999998</v>
      </c>
      <c r="M40" s="219"/>
      <c r="N40" s="213"/>
      <c r="O40" s="279">
        <v>0</v>
      </c>
      <c r="P40" s="219">
        <f t="shared" si="2"/>
        <v>106.57275509335787</v>
      </c>
      <c r="Q40" s="282"/>
      <c r="T40" s="103"/>
    </row>
    <row r="41" spans="1:20" ht="17.25" customHeight="1">
      <c r="A41" s="280">
        <v>6</v>
      </c>
      <c r="B41" s="281" t="s">
        <v>265</v>
      </c>
      <c r="C41" s="402">
        <v>0</v>
      </c>
      <c r="D41" s="467">
        <v>50008</v>
      </c>
      <c r="E41" s="1614">
        <f t="shared" si="4"/>
        <v>56482.379126</v>
      </c>
      <c r="F41" s="213">
        <f>36982.112458-H41</f>
        <v>33081.384358000003</v>
      </c>
      <c r="G41" s="213"/>
      <c r="H41" s="583">
        <f>3230.7281+560+110</f>
        <v>3900.7280999999998</v>
      </c>
      <c r="I41" s="213">
        <v>15276.693449</v>
      </c>
      <c r="J41" s="219"/>
      <c r="K41" s="213"/>
      <c r="L41" s="213">
        <v>8124.3013190000001</v>
      </c>
      <c r="M41" s="219"/>
      <c r="N41" s="213"/>
      <c r="O41" s="279">
        <v>0</v>
      </c>
      <c r="P41" s="219">
        <f t="shared" si="2"/>
        <v>112.94668678211485</v>
      </c>
      <c r="Q41" s="282"/>
      <c r="T41" s="103"/>
    </row>
    <row r="42" spans="1:20" ht="17.25" customHeight="1">
      <c r="A42" s="280">
        <v>7</v>
      </c>
      <c r="B42" s="281" t="s">
        <v>267</v>
      </c>
      <c r="C42" s="402">
        <v>0</v>
      </c>
      <c r="D42" s="467">
        <v>21684</v>
      </c>
      <c r="E42" s="1614">
        <f t="shared" si="4"/>
        <v>21577.128782</v>
      </c>
      <c r="F42" s="213">
        <f>9079.918921-H42</f>
        <v>8782.2734450000007</v>
      </c>
      <c r="G42" s="213"/>
      <c r="H42" s="213">
        <v>297.64547599999997</v>
      </c>
      <c r="I42" s="213">
        <v>10946.435269</v>
      </c>
      <c r="J42" s="219"/>
      <c r="K42" s="213"/>
      <c r="L42" s="213">
        <v>1848.4200679999999</v>
      </c>
      <c r="M42" s="219"/>
      <c r="N42" s="213"/>
      <c r="O42" s="279">
        <v>0</v>
      </c>
      <c r="P42" s="219">
        <f t="shared" si="2"/>
        <v>99.507142510606897</v>
      </c>
      <c r="Q42" s="282"/>
      <c r="T42" s="103"/>
    </row>
    <row r="43" spans="1:20" ht="17.25" customHeight="1">
      <c r="A43" s="280">
        <v>8</v>
      </c>
      <c r="B43" s="281" t="s">
        <v>269</v>
      </c>
      <c r="C43" s="402">
        <v>0</v>
      </c>
      <c r="D43" s="467">
        <v>27184</v>
      </c>
      <c r="E43" s="1614">
        <f t="shared" si="4"/>
        <v>26218.646970999998</v>
      </c>
      <c r="F43" s="213">
        <f>15925.384912-H43</f>
        <v>15675.384912</v>
      </c>
      <c r="G43" s="213"/>
      <c r="H43" s="213">
        <v>250</v>
      </c>
      <c r="I43" s="213">
        <v>8491.1910590000007</v>
      </c>
      <c r="J43" s="219"/>
      <c r="K43" s="213"/>
      <c r="L43" s="213">
        <v>2052.0709999999999</v>
      </c>
      <c r="M43" s="219"/>
      <c r="N43" s="213"/>
      <c r="O43" s="279">
        <v>0</v>
      </c>
      <c r="P43" s="219">
        <f t="shared" si="2"/>
        <v>96.44881905164803</v>
      </c>
      <c r="Q43" s="282"/>
      <c r="T43" s="103"/>
    </row>
    <row r="44" spans="1:20" ht="17.25" customHeight="1">
      <c r="A44" s="280">
        <v>9</v>
      </c>
      <c r="B44" s="281" t="s">
        <v>271</v>
      </c>
      <c r="C44" s="518">
        <v>66148</v>
      </c>
      <c r="D44" s="467">
        <v>89277</v>
      </c>
      <c r="E44" s="1614">
        <f t="shared" si="4"/>
        <v>90212.974799000018</v>
      </c>
      <c r="F44" s="213">
        <v>45648.319447000002</v>
      </c>
      <c r="G44" s="213"/>
      <c r="H44" s="213"/>
      <c r="I44" s="213">
        <v>35848.912273000002</v>
      </c>
      <c r="J44" s="219"/>
      <c r="K44" s="213"/>
      <c r="L44" s="213">
        <v>8715.7430789999999</v>
      </c>
      <c r="M44" s="219"/>
      <c r="N44" s="213"/>
      <c r="O44" s="219">
        <f t="shared" si="1"/>
        <v>136.38050250801237</v>
      </c>
      <c r="P44" s="219">
        <f t="shared" si="2"/>
        <v>101.04839409814399</v>
      </c>
      <c r="Q44" s="282"/>
      <c r="T44" s="103"/>
    </row>
    <row r="45" spans="1:20" ht="17.25" customHeight="1">
      <c r="A45" s="280">
        <v>10</v>
      </c>
      <c r="B45" s="281" t="s">
        <v>273</v>
      </c>
      <c r="C45" s="402">
        <v>0</v>
      </c>
      <c r="D45" s="467">
        <v>987914</v>
      </c>
      <c r="E45" s="1614">
        <f t="shared" si="4"/>
        <v>1065461.767484</v>
      </c>
      <c r="F45" s="213">
        <f>558837.754607-H45</f>
        <v>547300.07713900006</v>
      </c>
      <c r="G45" s="213"/>
      <c r="H45" s="213">
        <v>11537.677468</v>
      </c>
      <c r="I45" s="213">
        <f>404030.089274-K45</f>
        <v>400547.89427400002</v>
      </c>
      <c r="J45" s="219"/>
      <c r="K45" s="213">
        <v>3482.1950000000002</v>
      </c>
      <c r="L45" s="213">
        <f>128797.117771-N45</f>
        <v>117613.796071</v>
      </c>
      <c r="M45" s="219"/>
      <c r="N45" s="213">
        <v>11183.3217</v>
      </c>
      <c r="O45" s="279">
        <v>0</v>
      </c>
      <c r="P45" s="219">
        <f t="shared" si="2"/>
        <v>107.84964758916263</v>
      </c>
      <c r="Q45" s="282"/>
      <c r="R45" s="116"/>
      <c r="T45" s="103"/>
    </row>
    <row r="46" spans="1:20" ht="29.25" customHeight="1">
      <c r="A46" s="280">
        <v>11</v>
      </c>
      <c r="B46" s="296" t="s">
        <v>495</v>
      </c>
      <c r="C46" s="402">
        <v>0</v>
      </c>
      <c r="D46" s="467">
        <v>1176865</v>
      </c>
      <c r="E46" s="1614">
        <f t="shared" si="4"/>
        <v>1280073.5074629998</v>
      </c>
      <c r="F46" s="213">
        <f>341255.44615-H46</f>
        <v>337937.56469999999</v>
      </c>
      <c r="G46" s="213"/>
      <c r="H46" s="213">
        <v>3317.8814499999999</v>
      </c>
      <c r="I46" s="213">
        <f>379436.689603-K46</f>
        <v>378137.72512299998</v>
      </c>
      <c r="J46" s="219"/>
      <c r="K46" s="213">
        <v>1298.9644800000001</v>
      </c>
      <c r="L46" s="213">
        <f>571227.67933-N46</f>
        <v>563998.21763999993</v>
      </c>
      <c r="M46" s="219"/>
      <c r="N46" s="213">
        <v>7229.4616900000001</v>
      </c>
      <c r="O46" s="279">
        <v>0</v>
      </c>
      <c r="P46" s="219">
        <f t="shared" si="2"/>
        <v>108.76978306458258</v>
      </c>
      <c r="Q46" s="282"/>
      <c r="R46" s="116"/>
      <c r="T46" s="103"/>
    </row>
    <row r="47" spans="1:20" ht="17.25" customHeight="1">
      <c r="A47" s="280">
        <v>12</v>
      </c>
      <c r="B47" s="281" t="s">
        <v>277</v>
      </c>
      <c r="C47" s="402">
        <v>0</v>
      </c>
      <c r="D47" s="467">
        <v>253368</v>
      </c>
      <c r="E47" s="1614">
        <f t="shared" si="4"/>
        <v>408028.24348099995</v>
      </c>
      <c r="F47" s="213">
        <f>111091.244776-H47</f>
        <v>110480.43377600001</v>
      </c>
      <c r="G47" s="213"/>
      <c r="H47" s="213">
        <v>610.81100000000004</v>
      </c>
      <c r="I47" s="213">
        <f>279403.056498-K47</f>
        <v>241910.05649799999</v>
      </c>
      <c r="J47" s="219"/>
      <c r="K47" s="583">
        <v>37493</v>
      </c>
      <c r="L47" s="213">
        <f>58090.053207-N47</f>
        <v>55637.753206999994</v>
      </c>
      <c r="M47" s="219"/>
      <c r="N47" s="583">
        <f>981.3+1471</f>
        <v>2452.3000000000002</v>
      </c>
      <c r="O47" s="279">
        <v>0</v>
      </c>
      <c r="P47" s="219">
        <f t="shared" si="2"/>
        <v>161.04174303029583</v>
      </c>
      <c r="Q47" s="282"/>
      <c r="R47" s="205"/>
      <c r="T47" s="103"/>
    </row>
    <row r="48" spans="1:20" ht="17.25" customHeight="1">
      <c r="A48" s="280">
        <v>13</v>
      </c>
      <c r="B48" s="281" t="s">
        <v>288</v>
      </c>
      <c r="C48" s="402">
        <v>0</v>
      </c>
      <c r="D48" s="467">
        <v>57221</v>
      </c>
      <c r="E48" s="1614">
        <f t="shared" si="4"/>
        <v>88089.684850999998</v>
      </c>
      <c r="F48" s="213">
        <f>50888.279525+405.462055</f>
        <v>51293.741580000002</v>
      </c>
      <c r="G48" s="213"/>
      <c r="H48" s="213"/>
      <c r="I48" s="213">
        <v>32633.541266</v>
      </c>
      <c r="J48" s="219"/>
      <c r="K48" s="213"/>
      <c r="L48" s="213">
        <v>4162.4020049999999</v>
      </c>
      <c r="M48" s="219"/>
      <c r="N48" s="213"/>
      <c r="O48" s="279">
        <v>0</v>
      </c>
      <c r="P48" s="219">
        <f t="shared" si="2"/>
        <v>153.94642675066845</v>
      </c>
      <c r="Q48" s="282"/>
      <c r="T48" s="103"/>
    </row>
    <row r="49" spans="1:20" ht="17.25" hidden="1" customHeight="1">
      <c r="A49" s="270"/>
      <c r="B49" s="275"/>
      <c r="C49" s="517"/>
      <c r="D49" s="466"/>
      <c r="E49" s="1611"/>
      <c r="F49" s="205"/>
      <c r="G49" s="205"/>
      <c r="H49" s="205"/>
      <c r="I49" s="205"/>
      <c r="J49" s="273"/>
      <c r="K49" s="205"/>
      <c r="L49" s="205"/>
      <c r="M49" s="273"/>
      <c r="N49" s="205"/>
      <c r="O49" s="273" t="e">
        <f t="shared" si="1"/>
        <v>#DIV/0!</v>
      </c>
      <c r="P49" s="273" t="e">
        <f t="shared" si="2"/>
        <v>#DIV/0!</v>
      </c>
      <c r="Q49" s="282"/>
      <c r="T49" s="103"/>
    </row>
    <row r="50" spans="1:20" ht="17.25" hidden="1" customHeight="1">
      <c r="A50" s="270"/>
      <c r="B50" s="275"/>
      <c r="C50" s="517"/>
      <c r="D50" s="466"/>
      <c r="E50" s="1611"/>
      <c r="F50" s="205"/>
      <c r="G50" s="205"/>
      <c r="H50" s="205"/>
      <c r="I50" s="205"/>
      <c r="J50" s="273"/>
      <c r="K50" s="205"/>
      <c r="L50" s="205"/>
      <c r="M50" s="273"/>
      <c r="N50" s="205"/>
      <c r="O50" s="273" t="e">
        <f t="shared" si="1"/>
        <v>#DIV/0!</v>
      </c>
      <c r="P50" s="273" t="e">
        <f t="shared" si="2"/>
        <v>#DIV/0!</v>
      </c>
      <c r="Q50" s="282"/>
      <c r="T50" s="103"/>
    </row>
    <row r="51" spans="1:20" ht="18.75" hidden="1" customHeight="1">
      <c r="A51" s="281">
        <v>1</v>
      </c>
      <c r="B51" s="281" t="s">
        <v>289</v>
      </c>
      <c r="C51" s="518"/>
      <c r="D51" s="289"/>
      <c r="E51" s="1614">
        <f>F51+I51+L51</f>
        <v>0</v>
      </c>
      <c r="F51" s="213"/>
      <c r="G51" s="213"/>
      <c r="H51" s="213"/>
      <c r="I51" s="219"/>
      <c r="J51" s="219"/>
      <c r="K51" s="213"/>
      <c r="L51" s="219"/>
      <c r="M51" s="219"/>
      <c r="N51" s="213"/>
      <c r="O51" s="273" t="e">
        <f t="shared" si="1"/>
        <v>#DIV/0!</v>
      </c>
      <c r="P51" s="273" t="e">
        <f t="shared" si="2"/>
        <v>#DIV/0!</v>
      </c>
      <c r="Q51" s="282"/>
      <c r="T51" s="103"/>
    </row>
    <row r="52" spans="1:20" ht="15.75" hidden="1" customHeight="1">
      <c r="A52" s="281">
        <v>2</v>
      </c>
      <c r="B52" s="281" t="s">
        <v>290</v>
      </c>
      <c r="C52" s="518"/>
      <c r="D52" s="289"/>
      <c r="E52" s="1614">
        <f>SUM(E53:E55)</f>
        <v>0</v>
      </c>
      <c r="F52" s="213">
        <f t="shared" ref="F52:N52" si="5">+F53+F54+F55</f>
        <v>0</v>
      </c>
      <c r="G52" s="213">
        <f t="shared" si="5"/>
        <v>0</v>
      </c>
      <c r="H52" s="213">
        <f t="shared" si="5"/>
        <v>0</v>
      </c>
      <c r="I52" s="219">
        <f t="shared" si="5"/>
        <v>0</v>
      </c>
      <c r="J52" s="219">
        <f t="shared" si="5"/>
        <v>0</v>
      </c>
      <c r="K52" s="213">
        <f t="shared" si="5"/>
        <v>0</v>
      </c>
      <c r="L52" s="219">
        <f t="shared" si="5"/>
        <v>0</v>
      </c>
      <c r="M52" s="219">
        <f t="shared" si="5"/>
        <v>0</v>
      </c>
      <c r="N52" s="213">
        <f t="shared" si="5"/>
        <v>0</v>
      </c>
      <c r="O52" s="273" t="e">
        <f t="shared" si="1"/>
        <v>#DIV/0!</v>
      </c>
      <c r="P52" s="273" t="e">
        <f t="shared" si="2"/>
        <v>#DIV/0!</v>
      </c>
      <c r="Q52" s="282"/>
      <c r="T52" s="297"/>
    </row>
    <row r="53" spans="1:20" ht="15.75" hidden="1" customHeight="1">
      <c r="A53" s="291" t="s">
        <v>291</v>
      </c>
      <c r="B53" s="283" t="s">
        <v>292</v>
      </c>
      <c r="C53" s="519"/>
      <c r="D53" s="284"/>
      <c r="E53" s="1613">
        <f t="shared" ref="E53:E66" si="6">F53+I53+L53</f>
        <v>0</v>
      </c>
      <c r="F53" s="286"/>
      <c r="G53" s="286"/>
      <c r="H53" s="286"/>
      <c r="I53" s="285"/>
      <c r="J53" s="285"/>
      <c r="K53" s="286"/>
      <c r="L53" s="285"/>
      <c r="M53" s="285"/>
      <c r="N53" s="286"/>
      <c r="O53" s="273" t="e">
        <f t="shared" si="1"/>
        <v>#DIV/0!</v>
      </c>
      <c r="P53" s="273" t="e">
        <f t="shared" si="2"/>
        <v>#DIV/0!</v>
      </c>
      <c r="Q53" s="282"/>
      <c r="R53" s="103"/>
    </row>
    <row r="54" spans="1:20" ht="15.75" hidden="1" customHeight="1">
      <c r="A54" s="291" t="s">
        <v>293</v>
      </c>
      <c r="B54" s="283" t="s">
        <v>294</v>
      </c>
      <c r="C54" s="519"/>
      <c r="D54" s="284"/>
      <c r="E54" s="1613">
        <f t="shared" si="6"/>
        <v>0</v>
      </c>
      <c r="F54" s="286"/>
      <c r="G54" s="286"/>
      <c r="H54" s="286"/>
      <c r="I54" s="285"/>
      <c r="J54" s="285"/>
      <c r="K54" s="286"/>
      <c r="L54" s="285"/>
      <c r="M54" s="285"/>
      <c r="N54" s="286"/>
      <c r="O54" s="273" t="e">
        <f t="shared" si="1"/>
        <v>#DIV/0!</v>
      </c>
      <c r="P54" s="273" t="e">
        <f t="shared" si="2"/>
        <v>#DIV/0!</v>
      </c>
      <c r="Q54" s="282"/>
    </row>
    <row r="55" spans="1:20" ht="15.75" hidden="1" customHeight="1">
      <c r="A55" s="291" t="s">
        <v>295</v>
      </c>
      <c r="B55" s="283" t="s">
        <v>296</v>
      </c>
      <c r="C55" s="519"/>
      <c r="D55" s="284"/>
      <c r="E55" s="1613">
        <f t="shared" si="6"/>
        <v>0</v>
      </c>
      <c r="F55" s="286"/>
      <c r="G55" s="286"/>
      <c r="H55" s="286"/>
      <c r="I55" s="285"/>
      <c r="J55" s="468"/>
      <c r="K55" s="286"/>
      <c r="L55" s="285"/>
      <c r="M55" s="285"/>
      <c r="N55" s="286"/>
      <c r="O55" s="273" t="e">
        <f t="shared" si="1"/>
        <v>#DIV/0!</v>
      </c>
      <c r="P55" s="273" t="e">
        <f t="shared" si="2"/>
        <v>#DIV/0!</v>
      </c>
      <c r="Q55" s="282"/>
    </row>
    <row r="56" spans="1:20" ht="15.75" hidden="1" customHeight="1">
      <c r="A56" s="281">
        <v>3</v>
      </c>
      <c r="B56" s="281" t="s">
        <v>297</v>
      </c>
      <c r="C56" s="518"/>
      <c r="D56" s="289"/>
      <c r="E56" s="583">
        <f t="shared" si="6"/>
        <v>0</v>
      </c>
      <c r="F56" s="213">
        <f>+F57+F58+F59</f>
        <v>0</v>
      </c>
      <c r="G56" s="213">
        <f>+G57+G58+G59</f>
        <v>0</v>
      </c>
      <c r="H56" s="213">
        <f>+H57</f>
        <v>0</v>
      </c>
      <c r="I56" s="219">
        <f>+I57+I58+I59</f>
        <v>0</v>
      </c>
      <c r="J56" s="219">
        <f>+J57</f>
        <v>0</v>
      </c>
      <c r="K56" s="213">
        <f>+K57</f>
        <v>0</v>
      </c>
      <c r="L56" s="219">
        <f>+L57+L58+L59</f>
        <v>0</v>
      </c>
      <c r="M56" s="219">
        <f>+M57+M58+M59</f>
        <v>0</v>
      </c>
      <c r="N56" s="213"/>
      <c r="O56" s="273" t="e">
        <f t="shared" si="1"/>
        <v>#DIV/0!</v>
      </c>
      <c r="P56" s="273" t="e">
        <f t="shared" si="2"/>
        <v>#DIV/0!</v>
      </c>
      <c r="Q56" s="282"/>
    </row>
    <row r="57" spans="1:20" ht="15.75" hidden="1" customHeight="1">
      <c r="A57" s="291" t="s">
        <v>298</v>
      </c>
      <c r="B57" s="283" t="s">
        <v>299</v>
      </c>
      <c r="C57" s="519"/>
      <c r="D57" s="284"/>
      <c r="E57" s="1613">
        <f t="shared" si="6"/>
        <v>0</v>
      </c>
      <c r="F57" s="286"/>
      <c r="G57" s="286"/>
      <c r="H57" s="286"/>
      <c r="I57" s="285"/>
      <c r="J57" s="285"/>
      <c r="K57" s="286"/>
      <c r="L57" s="285"/>
      <c r="M57" s="285"/>
      <c r="N57" s="286"/>
      <c r="O57" s="273" t="e">
        <f t="shared" si="1"/>
        <v>#DIV/0!</v>
      </c>
      <c r="P57" s="273" t="e">
        <f t="shared" si="2"/>
        <v>#DIV/0!</v>
      </c>
      <c r="Q57" s="282"/>
    </row>
    <row r="58" spans="1:20" ht="15.75" hidden="1" customHeight="1">
      <c r="A58" s="291" t="s">
        <v>300</v>
      </c>
      <c r="B58" s="283" t="s">
        <v>301</v>
      </c>
      <c r="C58" s="519"/>
      <c r="D58" s="284"/>
      <c r="E58" s="1613">
        <f t="shared" si="6"/>
        <v>0</v>
      </c>
      <c r="F58" s="286"/>
      <c r="G58" s="286"/>
      <c r="H58" s="286"/>
      <c r="I58" s="285"/>
      <c r="J58" s="285"/>
      <c r="K58" s="286"/>
      <c r="L58" s="285"/>
      <c r="M58" s="285"/>
      <c r="N58" s="286"/>
      <c r="O58" s="273" t="e">
        <f t="shared" si="1"/>
        <v>#DIV/0!</v>
      </c>
      <c r="P58" s="273" t="e">
        <f t="shared" si="2"/>
        <v>#DIV/0!</v>
      </c>
      <c r="Q58" s="282"/>
    </row>
    <row r="59" spans="1:20" ht="15.75" hidden="1" customHeight="1">
      <c r="A59" s="291" t="s">
        <v>302</v>
      </c>
      <c r="B59" s="283" t="s">
        <v>303</v>
      </c>
      <c r="C59" s="519"/>
      <c r="D59" s="284"/>
      <c r="E59" s="1613">
        <f t="shared" si="6"/>
        <v>0</v>
      </c>
      <c r="F59" s="286"/>
      <c r="G59" s="286"/>
      <c r="H59" s="286"/>
      <c r="I59" s="285"/>
      <c r="J59" s="469"/>
      <c r="K59" s="286"/>
      <c r="L59" s="285"/>
      <c r="M59" s="285"/>
      <c r="N59" s="286"/>
      <c r="O59" s="273" t="e">
        <f t="shared" si="1"/>
        <v>#DIV/0!</v>
      </c>
      <c r="P59" s="273" t="e">
        <f t="shared" si="2"/>
        <v>#DIV/0!</v>
      </c>
      <c r="Q59" s="282"/>
    </row>
    <row r="60" spans="1:20" ht="15.75" hidden="1" customHeight="1">
      <c r="A60" s="281">
        <v>4</v>
      </c>
      <c r="B60" s="281" t="s">
        <v>304</v>
      </c>
      <c r="C60" s="518"/>
      <c r="D60" s="289"/>
      <c r="E60" s="1614">
        <f t="shared" si="6"/>
        <v>0</v>
      </c>
      <c r="F60" s="213"/>
      <c r="G60" s="213"/>
      <c r="H60" s="213"/>
      <c r="I60" s="219"/>
      <c r="J60" s="219"/>
      <c r="K60" s="213"/>
      <c r="L60" s="219"/>
      <c r="M60" s="219"/>
      <c r="N60" s="213"/>
      <c r="O60" s="273" t="e">
        <f t="shared" si="1"/>
        <v>#DIV/0!</v>
      </c>
      <c r="P60" s="273" t="e">
        <f t="shared" si="2"/>
        <v>#DIV/0!</v>
      </c>
      <c r="Q60" s="282"/>
    </row>
    <row r="61" spans="1:20" ht="15.75" hidden="1" customHeight="1">
      <c r="A61" s="281">
        <v>5</v>
      </c>
      <c r="B61" s="281" t="s">
        <v>305</v>
      </c>
      <c r="C61" s="518"/>
      <c r="D61" s="289"/>
      <c r="E61" s="1614">
        <f t="shared" si="6"/>
        <v>0</v>
      </c>
      <c r="F61" s="213"/>
      <c r="G61" s="213"/>
      <c r="H61" s="213"/>
      <c r="I61" s="219"/>
      <c r="J61" s="219"/>
      <c r="K61" s="213"/>
      <c r="L61" s="219"/>
      <c r="M61" s="219"/>
      <c r="N61" s="213"/>
      <c r="O61" s="273" t="e">
        <f t="shared" si="1"/>
        <v>#DIV/0!</v>
      </c>
      <c r="P61" s="273" t="e">
        <f t="shared" si="2"/>
        <v>#DIV/0!</v>
      </c>
      <c r="Q61" s="282"/>
    </row>
    <row r="62" spans="1:20" ht="15.75" hidden="1" customHeight="1">
      <c r="A62" s="281">
        <v>6</v>
      </c>
      <c r="B62" s="281" t="s">
        <v>306</v>
      </c>
      <c r="C62" s="518"/>
      <c r="D62" s="289"/>
      <c r="E62" s="1614">
        <f t="shared" si="6"/>
        <v>0</v>
      </c>
      <c r="F62" s="213"/>
      <c r="G62" s="213"/>
      <c r="H62" s="213"/>
      <c r="I62" s="219"/>
      <c r="J62" s="219"/>
      <c r="K62" s="213"/>
      <c r="L62" s="219"/>
      <c r="M62" s="219"/>
      <c r="N62" s="213"/>
      <c r="O62" s="273" t="e">
        <f t="shared" si="1"/>
        <v>#DIV/0!</v>
      </c>
      <c r="P62" s="273" t="e">
        <f t="shared" si="2"/>
        <v>#DIV/0!</v>
      </c>
      <c r="Q62" s="282"/>
    </row>
    <row r="63" spans="1:20" ht="15.75" hidden="1" customHeight="1">
      <c r="A63" s="288">
        <v>7</v>
      </c>
      <c r="B63" s="281" t="s">
        <v>307</v>
      </c>
      <c r="C63" s="518"/>
      <c r="D63" s="289"/>
      <c r="E63" s="1614">
        <f t="shared" si="6"/>
        <v>0</v>
      </c>
      <c r="F63" s="213"/>
      <c r="G63" s="213"/>
      <c r="H63" s="213"/>
      <c r="I63" s="219"/>
      <c r="J63" s="219"/>
      <c r="K63" s="213"/>
      <c r="L63" s="219"/>
      <c r="M63" s="219"/>
      <c r="N63" s="213"/>
      <c r="O63" s="273" t="e">
        <f t="shared" si="1"/>
        <v>#DIV/0!</v>
      </c>
      <c r="P63" s="273" t="e">
        <f t="shared" si="2"/>
        <v>#DIV/0!</v>
      </c>
      <c r="Q63" s="282"/>
    </row>
    <row r="64" spans="1:20" ht="15.75" hidden="1" customHeight="1">
      <c r="A64" s="288">
        <v>8</v>
      </c>
      <c r="B64" s="281" t="s">
        <v>308</v>
      </c>
      <c r="C64" s="518"/>
      <c r="D64" s="289"/>
      <c r="E64" s="1614">
        <f t="shared" si="6"/>
        <v>0</v>
      </c>
      <c r="F64" s="213"/>
      <c r="G64" s="213"/>
      <c r="H64" s="213"/>
      <c r="I64" s="219"/>
      <c r="J64" s="219"/>
      <c r="K64" s="213"/>
      <c r="L64" s="219"/>
      <c r="M64" s="219"/>
      <c r="N64" s="213"/>
      <c r="O64" s="273" t="e">
        <f t="shared" si="1"/>
        <v>#DIV/0!</v>
      </c>
      <c r="P64" s="273" t="e">
        <f t="shared" si="2"/>
        <v>#DIV/0!</v>
      </c>
      <c r="Q64" s="282"/>
    </row>
    <row r="65" spans="1:18" ht="15.75" hidden="1" customHeight="1">
      <c r="A65" s="281">
        <v>9</v>
      </c>
      <c r="B65" s="281" t="s">
        <v>309</v>
      </c>
      <c r="C65" s="518"/>
      <c r="D65" s="289"/>
      <c r="E65" s="1614">
        <f t="shared" si="6"/>
        <v>0</v>
      </c>
      <c r="F65" s="213"/>
      <c r="G65" s="213"/>
      <c r="H65" s="213"/>
      <c r="I65" s="219"/>
      <c r="J65" s="219"/>
      <c r="K65" s="213"/>
      <c r="L65" s="219"/>
      <c r="M65" s="219"/>
      <c r="N65" s="213"/>
      <c r="O65" s="273" t="e">
        <f t="shared" si="1"/>
        <v>#DIV/0!</v>
      </c>
      <c r="P65" s="273" t="e">
        <f t="shared" si="2"/>
        <v>#DIV/0!</v>
      </c>
      <c r="Q65" s="282"/>
    </row>
    <row r="66" spans="1:18" ht="16.5" hidden="1" customHeight="1">
      <c r="A66" s="281">
        <v>10</v>
      </c>
      <c r="B66" s="281" t="s">
        <v>310</v>
      </c>
      <c r="C66" s="518"/>
      <c r="D66" s="295"/>
      <c r="E66" s="1614">
        <f t="shared" si="6"/>
        <v>0</v>
      </c>
      <c r="F66" s="213"/>
      <c r="G66" s="213"/>
      <c r="H66" s="213"/>
      <c r="I66" s="219"/>
      <c r="J66" s="219"/>
      <c r="K66" s="213"/>
      <c r="L66" s="219"/>
      <c r="M66" s="219"/>
      <c r="N66" s="213"/>
      <c r="O66" s="273" t="e">
        <f t="shared" si="1"/>
        <v>#DIV/0!</v>
      </c>
      <c r="P66" s="273" t="e">
        <f t="shared" si="2"/>
        <v>#DIV/0!</v>
      </c>
      <c r="Q66" s="282"/>
    </row>
    <row r="67" spans="1:18" ht="16.5" hidden="1" customHeight="1">
      <c r="A67" s="281">
        <v>11</v>
      </c>
      <c r="B67" s="281" t="s">
        <v>311</v>
      </c>
      <c r="C67" s="518"/>
      <c r="D67" s="289"/>
      <c r="E67" s="1614">
        <f>+E68+E69+E70</f>
        <v>0</v>
      </c>
      <c r="F67" s="213">
        <f>+F68+F69+F70</f>
        <v>0</v>
      </c>
      <c r="G67" s="213">
        <f>+G68+G69+G70</f>
        <v>0</v>
      </c>
      <c r="H67" s="213">
        <f>+H68+H69+H70</f>
        <v>0</v>
      </c>
      <c r="I67" s="219">
        <f>+I68+I69+I70</f>
        <v>0</v>
      </c>
      <c r="J67" s="219">
        <f>+J68</f>
        <v>0</v>
      </c>
      <c r="K67" s="213"/>
      <c r="L67" s="219">
        <f>+L68+L69+L70</f>
        <v>0</v>
      </c>
      <c r="M67" s="219">
        <f>+M68</f>
        <v>0</v>
      </c>
      <c r="N67" s="213"/>
      <c r="O67" s="273" t="e">
        <f t="shared" si="1"/>
        <v>#DIV/0!</v>
      </c>
      <c r="P67" s="273" t="e">
        <f t="shared" si="2"/>
        <v>#DIV/0!</v>
      </c>
      <c r="Q67" s="282"/>
    </row>
    <row r="68" spans="1:18" ht="16.5" hidden="1" customHeight="1">
      <c r="A68" s="291" t="s">
        <v>312</v>
      </c>
      <c r="B68" s="283" t="s">
        <v>313</v>
      </c>
      <c r="C68" s="519"/>
      <c r="D68" s="289"/>
      <c r="E68" s="1613">
        <f t="shared" ref="E68:E75" si="7">F68+I68+L68</f>
        <v>0</v>
      </c>
      <c r="F68" s="286"/>
      <c r="G68" s="286"/>
      <c r="H68" s="286"/>
      <c r="I68" s="285"/>
      <c r="J68" s="285"/>
      <c r="K68" s="286"/>
      <c r="L68" s="285"/>
      <c r="M68" s="285"/>
      <c r="N68" s="286"/>
      <c r="O68" s="273" t="e">
        <f t="shared" si="1"/>
        <v>#DIV/0!</v>
      </c>
      <c r="P68" s="273" t="e">
        <f t="shared" si="2"/>
        <v>#DIV/0!</v>
      </c>
      <c r="Q68" s="282"/>
    </row>
    <row r="69" spans="1:18" ht="16.5" hidden="1" customHeight="1">
      <c r="A69" s="291" t="s">
        <v>314</v>
      </c>
      <c r="B69" s="283" t="s">
        <v>315</v>
      </c>
      <c r="C69" s="519"/>
      <c r="D69" s="284"/>
      <c r="E69" s="1613">
        <f t="shared" si="7"/>
        <v>0</v>
      </c>
      <c r="F69" s="286"/>
      <c r="G69" s="286"/>
      <c r="H69" s="286"/>
      <c r="I69" s="285"/>
      <c r="J69" s="285"/>
      <c r="K69" s="286"/>
      <c r="L69" s="285"/>
      <c r="M69" s="285"/>
      <c r="N69" s="286"/>
      <c r="O69" s="273" t="e">
        <f t="shared" si="1"/>
        <v>#DIV/0!</v>
      </c>
      <c r="P69" s="273" t="e">
        <f t="shared" si="2"/>
        <v>#DIV/0!</v>
      </c>
      <c r="Q69" s="282"/>
    </row>
    <row r="70" spans="1:18" ht="16.5" hidden="1" customHeight="1">
      <c r="A70" s="291" t="s">
        <v>316</v>
      </c>
      <c r="B70" s="283" t="s">
        <v>317</v>
      </c>
      <c r="C70" s="519"/>
      <c r="D70" s="284"/>
      <c r="E70" s="1613">
        <f t="shared" si="7"/>
        <v>0</v>
      </c>
      <c r="F70" s="286"/>
      <c r="G70" s="286"/>
      <c r="H70" s="286"/>
      <c r="I70" s="285"/>
      <c r="J70" s="285"/>
      <c r="K70" s="286"/>
      <c r="L70" s="285"/>
      <c r="M70" s="285"/>
      <c r="N70" s="286"/>
      <c r="O70" s="273" t="e">
        <f t="shared" si="1"/>
        <v>#DIV/0!</v>
      </c>
      <c r="P70" s="273" t="e">
        <f t="shared" si="2"/>
        <v>#DIV/0!</v>
      </c>
      <c r="Q70" s="282"/>
    </row>
    <row r="71" spans="1:18" ht="16.5" hidden="1" customHeight="1">
      <c r="A71" s="288">
        <v>12</v>
      </c>
      <c r="B71" s="281" t="s">
        <v>255</v>
      </c>
      <c r="C71" s="518"/>
      <c r="D71" s="289"/>
      <c r="E71" s="1614">
        <f t="shared" si="7"/>
        <v>0</v>
      </c>
      <c r="F71" s="213"/>
      <c r="G71" s="213"/>
      <c r="H71" s="213"/>
      <c r="I71" s="219"/>
      <c r="J71" s="219"/>
      <c r="K71" s="213"/>
      <c r="L71" s="219"/>
      <c r="M71" s="219"/>
      <c r="N71" s="213"/>
      <c r="O71" s="273" t="e">
        <f t="shared" si="1"/>
        <v>#DIV/0!</v>
      </c>
      <c r="P71" s="273" t="e">
        <f t="shared" si="2"/>
        <v>#DIV/0!</v>
      </c>
      <c r="Q71" s="282" t="e">
        <f>+E71/"#REF!*100"</f>
        <v>#VALUE!</v>
      </c>
    </row>
    <row r="72" spans="1:18" ht="16.5" hidden="1" customHeight="1">
      <c r="A72" s="288">
        <v>13</v>
      </c>
      <c r="B72" s="281" t="s">
        <v>318</v>
      </c>
      <c r="C72" s="518"/>
      <c r="D72" s="295"/>
      <c r="E72" s="1614">
        <f t="shared" si="7"/>
        <v>0</v>
      </c>
      <c r="F72" s="213"/>
      <c r="G72" s="213"/>
      <c r="H72" s="213"/>
      <c r="I72" s="219"/>
      <c r="J72" s="219"/>
      <c r="K72" s="213"/>
      <c r="L72" s="219"/>
      <c r="M72" s="219"/>
      <c r="N72" s="213"/>
      <c r="O72" s="273" t="e">
        <f t="shared" si="1"/>
        <v>#DIV/0!</v>
      </c>
      <c r="P72" s="273" t="e">
        <f t="shared" si="2"/>
        <v>#DIV/0!</v>
      </c>
      <c r="Q72" s="282" t="e">
        <f>+E72/"#REF!*100"</f>
        <v>#VALUE!</v>
      </c>
    </row>
    <row r="73" spans="1:18" s="299" customFormat="1" ht="15" hidden="1" customHeight="1">
      <c r="A73" s="281">
        <v>12</v>
      </c>
      <c r="B73" s="281" t="s">
        <v>288</v>
      </c>
      <c r="C73" s="518"/>
      <c r="D73" s="289"/>
      <c r="E73" s="1614">
        <f t="shared" si="7"/>
        <v>0</v>
      </c>
      <c r="F73" s="213"/>
      <c r="G73" s="213"/>
      <c r="H73" s="213"/>
      <c r="I73" s="219"/>
      <c r="J73" s="219"/>
      <c r="K73" s="213"/>
      <c r="L73" s="219"/>
      <c r="M73" s="285"/>
      <c r="N73" s="213"/>
      <c r="O73" s="273" t="e">
        <f t="shared" si="1"/>
        <v>#DIV/0!</v>
      </c>
      <c r="P73" s="273" t="e">
        <f t="shared" si="2"/>
        <v>#DIV/0!</v>
      </c>
      <c r="Q73" s="298" t="e">
        <f>+E73/"#REF!*100"</f>
        <v>#VALUE!</v>
      </c>
    </row>
    <row r="74" spans="1:18" s="299" customFormat="1" ht="17.25" hidden="1" customHeight="1">
      <c r="A74" s="270" t="s">
        <v>118</v>
      </c>
      <c r="B74" s="275" t="s">
        <v>319</v>
      </c>
      <c r="C74" s="517"/>
      <c r="D74" s="276"/>
      <c r="E74" s="1611">
        <f t="shared" si="7"/>
        <v>0</v>
      </c>
      <c r="F74" s="205"/>
      <c r="G74" s="205"/>
      <c r="H74" s="205"/>
      <c r="I74" s="273"/>
      <c r="J74" s="273"/>
      <c r="K74" s="205"/>
      <c r="L74" s="273"/>
      <c r="M74" s="273"/>
      <c r="N74" s="205"/>
      <c r="O74" s="273" t="e">
        <f>E74/C74*100</f>
        <v>#DIV/0!</v>
      </c>
      <c r="P74" s="273" t="e">
        <f>E74/D74*100</f>
        <v>#DIV/0!</v>
      </c>
      <c r="Q74" s="298"/>
    </row>
    <row r="75" spans="1:18" s="299" customFormat="1" ht="17.25" customHeight="1">
      <c r="A75" s="270" t="s">
        <v>320</v>
      </c>
      <c r="B75" s="275" t="s">
        <v>68</v>
      </c>
      <c r="C75" s="517">
        <v>1000</v>
      </c>
      <c r="D75" s="276">
        <v>1000</v>
      </c>
      <c r="E75" s="1611">
        <f t="shared" si="7"/>
        <v>1000</v>
      </c>
      <c r="F75" s="205">
        <v>1000</v>
      </c>
      <c r="G75" s="205"/>
      <c r="H75" s="205"/>
      <c r="I75" s="402">
        <v>0</v>
      </c>
      <c r="J75" s="402"/>
      <c r="K75" s="402"/>
      <c r="L75" s="402">
        <v>0</v>
      </c>
      <c r="M75" s="273"/>
      <c r="N75" s="205"/>
      <c r="O75" s="273">
        <f>E75/C75*100</f>
        <v>100</v>
      </c>
      <c r="P75" s="273">
        <f>E75/D75*100</f>
        <v>100</v>
      </c>
      <c r="Q75" s="298"/>
      <c r="R75" s="300"/>
    </row>
    <row r="76" spans="1:18" s="302" customFormat="1" ht="17.25" customHeight="1">
      <c r="A76" s="540" t="s">
        <v>321</v>
      </c>
      <c r="B76" s="543" t="s">
        <v>322</v>
      </c>
      <c r="C76" s="517">
        <v>143210</v>
      </c>
      <c r="D76" s="465">
        <v>149400</v>
      </c>
      <c r="E76" s="1615">
        <v>0</v>
      </c>
      <c r="F76" s="402">
        <v>0</v>
      </c>
      <c r="G76" s="402"/>
      <c r="H76" s="402"/>
      <c r="I76" s="402">
        <v>0</v>
      </c>
      <c r="J76" s="402"/>
      <c r="K76" s="402"/>
      <c r="L76" s="402">
        <v>0</v>
      </c>
      <c r="M76" s="205"/>
      <c r="N76" s="205"/>
      <c r="O76" s="205">
        <f>E76/C76*100</f>
        <v>0</v>
      </c>
      <c r="P76" s="205">
        <f>E76/D76*100</f>
        <v>0</v>
      </c>
      <c r="Q76" s="298"/>
    </row>
    <row r="77" spans="1:18" s="299" customFormat="1" ht="17.25" customHeight="1">
      <c r="A77" s="270" t="s">
        <v>323</v>
      </c>
      <c r="B77" s="275" t="s">
        <v>324</v>
      </c>
      <c r="C77" s="517"/>
      <c r="D77" s="276"/>
      <c r="E77" s="1611">
        <f>F77+I77+L77</f>
        <v>1937171.8458830002</v>
      </c>
      <c r="F77" s="595">
        <f>1356884.374032+15074+352681-6143.397308+19245.629-1336.875703</f>
        <v>1736404.7300210001</v>
      </c>
      <c r="G77" s="205"/>
      <c r="H77" s="205"/>
      <c r="I77" s="205">
        <v>179265.12734599999</v>
      </c>
      <c r="J77" s="205"/>
      <c r="K77" s="205"/>
      <c r="L77" s="205">
        <v>21501.988516000001</v>
      </c>
      <c r="M77" s="273"/>
      <c r="N77" s="205"/>
      <c r="O77" s="273"/>
      <c r="P77" s="273"/>
      <c r="Q77" s="298"/>
    </row>
    <row r="78" spans="1:18" s="299" customFormat="1" ht="16.5" hidden="1" customHeight="1">
      <c r="A78" s="270" t="s">
        <v>325</v>
      </c>
      <c r="B78" s="275" t="s">
        <v>326</v>
      </c>
      <c r="C78" s="402">
        <v>0</v>
      </c>
      <c r="D78" s="279">
        <v>0</v>
      </c>
      <c r="E78" s="1612">
        <v>0</v>
      </c>
      <c r="F78" s="402">
        <v>0</v>
      </c>
      <c r="G78" s="279"/>
      <c r="H78" s="279"/>
      <c r="I78" s="279">
        <v>0</v>
      </c>
      <c r="J78" s="279"/>
      <c r="K78" s="279"/>
      <c r="L78" s="279">
        <v>0</v>
      </c>
      <c r="M78" s="279"/>
      <c r="N78" s="279"/>
      <c r="O78" s="279">
        <v>0</v>
      </c>
      <c r="P78" s="279">
        <v>0</v>
      </c>
      <c r="Q78" s="298" t="e">
        <f>+E78/"#REF!*100"</f>
        <v>#VALUE!</v>
      </c>
    </row>
    <row r="79" spans="1:18" s="299" customFormat="1" ht="17.25" hidden="1" customHeight="1">
      <c r="A79" s="270" t="s">
        <v>325</v>
      </c>
      <c r="B79" s="275" t="s">
        <v>120</v>
      </c>
      <c r="C79" s="520"/>
      <c r="D79" s="276"/>
      <c r="E79" s="1611"/>
      <c r="F79" s="205"/>
      <c r="G79" s="205"/>
      <c r="H79" s="205"/>
      <c r="I79" s="273"/>
      <c r="J79" s="273"/>
      <c r="K79" s="205"/>
      <c r="L79" s="273"/>
      <c r="M79" s="273"/>
      <c r="N79" s="205"/>
      <c r="O79" s="273"/>
      <c r="P79" s="273"/>
      <c r="Q79" s="282" t="e">
        <f>+E79/"#REF!*100"</f>
        <v>#VALUE!</v>
      </c>
    </row>
    <row r="80" spans="1:18" s="299" customFormat="1" ht="18" customHeight="1">
      <c r="A80" s="270" t="s">
        <v>325</v>
      </c>
      <c r="B80" s="275" t="s">
        <v>328</v>
      </c>
      <c r="C80" s="521">
        <f>+C81+C100</f>
        <v>1949551</v>
      </c>
      <c r="D80" s="470">
        <f>+D81+D100</f>
        <v>1804261</v>
      </c>
      <c r="E80" s="594">
        <f>F80+I80+L80</f>
        <v>875940.825006</v>
      </c>
      <c r="F80" s="205">
        <f t="shared" ref="F80:N80" si="8">F81+F100</f>
        <v>684062.32112500002</v>
      </c>
      <c r="G80" s="205">
        <f t="shared" si="8"/>
        <v>633340.47815500002</v>
      </c>
      <c r="H80" s="205">
        <f>H81+H100</f>
        <v>50721.842970000005</v>
      </c>
      <c r="I80" s="205">
        <f>I81+I100</f>
        <v>74810.172522000008</v>
      </c>
      <c r="J80" s="205">
        <f t="shared" si="8"/>
        <v>12853.423792</v>
      </c>
      <c r="K80" s="205">
        <f>K81+K100</f>
        <v>61956.748729999999</v>
      </c>
      <c r="L80" s="205">
        <f t="shared" si="8"/>
        <v>117068.331359</v>
      </c>
      <c r="M80" s="273">
        <f t="shared" si="8"/>
        <v>96203.247969000004</v>
      </c>
      <c r="N80" s="205">
        <f t="shared" si="8"/>
        <v>22336.08339</v>
      </c>
      <c r="O80" s="273">
        <f>E80/C80*100</f>
        <v>44.930387817810356</v>
      </c>
      <c r="P80" s="273">
        <f>E80/D80*100</f>
        <v>48.548454187393062</v>
      </c>
      <c r="Q80" s="282" t="e">
        <f>+E80/"#REF!*100"</f>
        <v>#VALUE!</v>
      </c>
      <c r="R80" s="301"/>
    </row>
    <row r="81" spans="1:19" s="299" customFormat="1" ht="16.5" customHeight="1">
      <c r="A81" s="280">
        <v>1</v>
      </c>
      <c r="B81" s="281" t="s">
        <v>983</v>
      </c>
      <c r="C81" s="522">
        <f>SUM(C82:C99)</f>
        <v>935083</v>
      </c>
      <c r="D81" s="467">
        <f>SUM(D82:D99)</f>
        <v>935083</v>
      </c>
      <c r="E81" s="1614">
        <f>SUM(E82:E99)</f>
        <v>649014.26483299991</v>
      </c>
      <c r="F81" s="213">
        <f>SUM(F82:F99)</f>
        <v>505041.76095200004</v>
      </c>
      <c r="G81" s="213">
        <f t="shared" ref="G81:H81" si="9">SUM(G82:G99)</f>
        <v>467992.91798199998</v>
      </c>
      <c r="H81" s="213">
        <f t="shared" si="9"/>
        <v>37048.842970000005</v>
      </c>
      <c r="I81" s="219">
        <f>SUM(I82:I99)</f>
        <v>28375.172522000001</v>
      </c>
      <c r="J81" s="219">
        <f>SUM(J82:J99)</f>
        <v>12853.423792</v>
      </c>
      <c r="K81" s="213">
        <f>SUM(K82:K99)</f>
        <v>15521.748729999999</v>
      </c>
      <c r="L81" s="219">
        <f>SUM(L82:L99)</f>
        <v>115597.331359</v>
      </c>
      <c r="M81" s="219">
        <f>SUM(M82:M100)</f>
        <v>96203.247969000004</v>
      </c>
      <c r="N81" s="213">
        <f>SUM(N82:N100)</f>
        <v>20865.08339</v>
      </c>
      <c r="O81" s="219">
        <f>E81/C81*100</f>
        <v>69.407129081910369</v>
      </c>
      <c r="P81" s="539">
        <f>E81/D81*100</f>
        <v>69.407129081910369</v>
      </c>
      <c r="Q81" s="282"/>
      <c r="R81" s="300"/>
    </row>
    <row r="82" spans="1:19" s="1600" customFormat="1" ht="16.5" customHeight="1">
      <c r="A82" s="1595" t="s">
        <v>254</v>
      </c>
      <c r="B82" s="1596" t="s">
        <v>773</v>
      </c>
      <c r="C82" s="1597">
        <v>47092</v>
      </c>
      <c r="D82" s="1598">
        <v>47092</v>
      </c>
      <c r="E82" s="538">
        <f>+F82+I82+L82</f>
        <v>56058.427014000001</v>
      </c>
      <c r="F82" s="503">
        <f>G82+H82</f>
        <v>2658.2200400000002</v>
      </c>
      <c r="G82" s="503"/>
      <c r="H82" s="503">
        <v>2658.2200400000002</v>
      </c>
      <c r="I82" s="503">
        <f>J82+K82</f>
        <v>7649.3977919999998</v>
      </c>
      <c r="J82" s="503">
        <v>7649.3977919999998</v>
      </c>
      <c r="K82" s="503"/>
      <c r="L82" s="503">
        <f>M82+N82</f>
        <v>45750.809181999997</v>
      </c>
      <c r="M82" s="503">
        <v>30685.071692000001</v>
      </c>
      <c r="N82" s="503">
        <v>15065.73749</v>
      </c>
      <c r="O82" s="503">
        <f>E82/C82*100</f>
        <v>119.04023403975197</v>
      </c>
      <c r="P82" s="503">
        <f t="shared" ref="P82:P83" si="10">E82/D82*100</f>
        <v>119.04023403975197</v>
      </c>
      <c r="Q82" s="1599" t="e">
        <f>+E82/"#REF!*100"</f>
        <v>#VALUE!</v>
      </c>
      <c r="S82" s="1601"/>
    </row>
    <row r="83" spans="1:19" s="1600" customFormat="1" ht="16.5" customHeight="1">
      <c r="A83" s="1595" t="s">
        <v>256</v>
      </c>
      <c r="B83" s="1596" t="s">
        <v>329</v>
      </c>
      <c r="C83" s="1597">
        <v>82800</v>
      </c>
      <c r="D83" s="1598">
        <v>82800</v>
      </c>
      <c r="E83" s="538">
        <f>+F83+I83+L83</f>
        <v>94982.006481999997</v>
      </c>
      <c r="F83" s="503">
        <f t="shared" ref="F83:F98" si="11">G83+H83</f>
        <v>11966.758426</v>
      </c>
      <c r="G83" s="503">
        <v>41.097000000000001</v>
      </c>
      <c r="H83" s="503">
        <v>11925.661426000001</v>
      </c>
      <c r="I83" s="503">
        <f t="shared" ref="I83:I99" si="12">J83+K83</f>
        <v>13168.725879</v>
      </c>
      <c r="J83" s="503">
        <v>5204.0259999999998</v>
      </c>
      <c r="K83" s="503">
        <v>7964.6998789999998</v>
      </c>
      <c r="L83" s="503">
        <f t="shared" ref="L83:L99" si="13">M83+N83</f>
        <v>69846.522177000006</v>
      </c>
      <c r="M83" s="503">
        <v>65518.176276999999</v>
      </c>
      <c r="N83" s="503">
        <v>4328.3459000000003</v>
      </c>
      <c r="O83" s="503">
        <f>E83/C83*100</f>
        <v>114.71256821497585</v>
      </c>
      <c r="P83" s="503">
        <f t="shared" si="10"/>
        <v>114.71256821497585</v>
      </c>
      <c r="Q83" s="1599"/>
      <c r="R83" s="1601"/>
      <c r="S83" s="1601"/>
    </row>
    <row r="84" spans="1:19" s="1600" customFormat="1" ht="30">
      <c r="A84" s="1595" t="s">
        <v>258</v>
      </c>
      <c r="B84" s="1602" t="s">
        <v>2722</v>
      </c>
      <c r="C84" s="1603">
        <v>0</v>
      </c>
      <c r="D84" s="1603">
        <v>0</v>
      </c>
      <c r="E84" s="538">
        <f>+F84+I84+L84</f>
        <v>140</v>
      </c>
      <c r="F84" s="503">
        <f t="shared" si="11"/>
        <v>140</v>
      </c>
      <c r="G84" s="503">
        <v>140</v>
      </c>
      <c r="H84" s="503"/>
      <c r="I84" s="503">
        <f t="shared" si="12"/>
        <v>0</v>
      </c>
      <c r="J84" s="503"/>
      <c r="K84" s="503"/>
      <c r="L84" s="1604">
        <f t="shared" si="13"/>
        <v>0</v>
      </c>
      <c r="M84" s="503"/>
      <c r="N84" s="503"/>
      <c r="O84" s="1603">
        <v>0</v>
      </c>
      <c r="P84" s="1603">
        <v>0</v>
      </c>
      <c r="Q84" s="1599"/>
      <c r="R84" s="1606">
        <f>+D82+D83</f>
        <v>129892</v>
      </c>
      <c r="S84" s="1605"/>
    </row>
    <row r="85" spans="1:19" s="1600" customFormat="1" ht="16.5" customHeight="1">
      <c r="A85" s="1595" t="s">
        <v>260</v>
      </c>
      <c r="B85" s="1602" t="s">
        <v>977</v>
      </c>
      <c r="C85" s="1603">
        <v>0</v>
      </c>
      <c r="D85" s="1603">
        <v>0</v>
      </c>
      <c r="E85" s="538">
        <f t="shared" ref="E85:E99" si="14">+F85+I85+L85</f>
        <v>252.17198099999999</v>
      </c>
      <c r="F85" s="503">
        <f t="shared" si="11"/>
        <v>0</v>
      </c>
      <c r="G85" s="503"/>
      <c r="H85" s="503"/>
      <c r="I85" s="503">
        <f t="shared" si="12"/>
        <v>252.17198099999999</v>
      </c>
      <c r="J85" s="503"/>
      <c r="K85" s="503">
        <v>252.17198099999999</v>
      </c>
      <c r="L85" s="1604">
        <f t="shared" si="13"/>
        <v>0</v>
      </c>
      <c r="M85" s="503"/>
      <c r="N85" s="503"/>
      <c r="O85" s="1603">
        <v>0</v>
      </c>
      <c r="P85" s="1603">
        <v>0</v>
      </c>
      <c r="Q85" s="1599"/>
      <c r="R85" s="1605">
        <f>+'BIEU 68 CK NSNN'!C14+'BIEU 68 CK NSNN'!C42</f>
        <v>129892</v>
      </c>
      <c r="S85" s="1601"/>
    </row>
    <row r="86" spans="1:19" s="299" customFormat="1" ht="30">
      <c r="A86" s="280" t="s">
        <v>262</v>
      </c>
      <c r="B86" s="296" t="s">
        <v>978</v>
      </c>
      <c r="C86" s="402">
        <v>0</v>
      </c>
      <c r="D86" s="402">
        <v>0</v>
      </c>
      <c r="E86" s="1614">
        <f t="shared" si="14"/>
        <v>9.109</v>
      </c>
      <c r="F86" s="213">
        <f t="shared" si="11"/>
        <v>0</v>
      </c>
      <c r="G86" s="213"/>
      <c r="H86" s="213"/>
      <c r="I86" s="213">
        <f t="shared" si="12"/>
        <v>9.109</v>
      </c>
      <c r="J86" s="219"/>
      <c r="K86" s="213">
        <v>9.109</v>
      </c>
      <c r="L86" s="518">
        <f t="shared" si="13"/>
        <v>0</v>
      </c>
      <c r="M86" s="219"/>
      <c r="N86" s="213"/>
      <c r="O86" s="279">
        <v>0</v>
      </c>
      <c r="P86" s="279">
        <v>0</v>
      </c>
      <c r="Q86" s="282"/>
      <c r="R86" s="301">
        <f>+E82+E83+E84+E85</f>
        <v>151432.605477</v>
      </c>
    </row>
    <row r="87" spans="1:19" s="299" customFormat="1" ht="16.5" customHeight="1">
      <c r="A87" s="280" t="s">
        <v>264</v>
      </c>
      <c r="B87" s="296" t="s">
        <v>960</v>
      </c>
      <c r="C87" s="536">
        <v>6958</v>
      </c>
      <c r="D87" s="536">
        <v>6958</v>
      </c>
      <c r="E87" s="1614">
        <f t="shared" si="14"/>
        <v>14136.277345999999</v>
      </c>
      <c r="F87" s="503">
        <f t="shared" si="11"/>
        <v>6840.5094760000002</v>
      </c>
      <c r="G87" s="213"/>
      <c r="H87" s="213">
        <v>6840.5094760000002</v>
      </c>
      <c r="I87" s="213">
        <f t="shared" si="12"/>
        <v>7295.7678699999997</v>
      </c>
      <c r="J87" s="219"/>
      <c r="K87" s="213">
        <v>7295.7678699999997</v>
      </c>
      <c r="L87" s="518">
        <f t="shared" si="13"/>
        <v>0</v>
      </c>
      <c r="M87" s="219"/>
      <c r="N87" s="213"/>
      <c r="O87" s="219">
        <f>E87/C87*100</f>
        <v>203.16581411325089</v>
      </c>
      <c r="P87" s="539">
        <f t="shared" ref="P87:P99" si="15">E87/D87*100</f>
        <v>203.16581411325089</v>
      </c>
      <c r="Q87" s="282"/>
      <c r="R87" s="301">
        <f>+'BIEU 68 CK NSNN'!J14+'BIEU 68 CK NSNN'!J42</f>
        <v>151432.605477</v>
      </c>
    </row>
    <row r="88" spans="1:19" s="299" customFormat="1" ht="30">
      <c r="A88" s="463" t="s">
        <v>266</v>
      </c>
      <c r="B88" s="296" t="s">
        <v>979</v>
      </c>
      <c r="C88" s="536">
        <v>25000</v>
      </c>
      <c r="D88" s="537">
        <v>25000</v>
      </c>
      <c r="E88" s="1614">
        <f t="shared" si="14"/>
        <v>15904.023847</v>
      </c>
      <c r="F88" s="503">
        <f t="shared" si="11"/>
        <v>15904.023847</v>
      </c>
      <c r="G88" s="213">
        <v>15904.023847</v>
      </c>
      <c r="H88" s="213"/>
      <c r="I88" s="518">
        <f t="shared" si="12"/>
        <v>0</v>
      </c>
      <c r="J88" s="219"/>
      <c r="K88" s="213"/>
      <c r="L88" s="518">
        <f t="shared" si="13"/>
        <v>0</v>
      </c>
      <c r="M88" s="219"/>
      <c r="N88" s="213"/>
      <c r="O88" s="219">
        <f t="shared" ref="O88:O99" si="16">E88/C88*100</f>
        <v>63.616095388000005</v>
      </c>
      <c r="P88" s="539">
        <f t="shared" si="15"/>
        <v>63.616095388000005</v>
      </c>
      <c r="Q88" s="282"/>
    </row>
    <row r="89" spans="1:19" s="299" customFormat="1" ht="30">
      <c r="A89" s="280" t="s">
        <v>268</v>
      </c>
      <c r="B89" s="296" t="s">
        <v>961</v>
      </c>
      <c r="C89" s="536">
        <v>30574</v>
      </c>
      <c r="D89" s="537">
        <v>30574</v>
      </c>
      <c r="E89" s="1614">
        <f t="shared" si="14"/>
        <v>33046.902189</v>
      </c>
      <c r="F89" s="503">
        <f t="shared" si="11"/>
        <v>33046.902189</v>
      </c>
      <c r="G89" s="213">
        <v>30216.262261</v>
      </c>
      <c r="H89" s="213">
        <v>2830.6399280000001</v>
      </c>
      <c r="I89" s="518">
        <f t="shared" si="12"/>
        <v>0</v>
      </c>
      <c r="J89" s="219"/>
      <c r="K89" s="213"/>
      <c r="L89" s="518">
        <f t="shared" si="13"/>
        <v>0</v>
      </c>
      <c r="M89" s="219"/>
      <c r="N89" s="213"/>
      <c r="O89" s="219">
        <f t="shared" si="16"/>
        <v>108.08825207365736</v>
      </c>
      <c r="P89" s="539">
        <f t="shared" si="15"/>
        <v>108.08825207365736</v>
      </c>
      <c r="Q89" s="282"/>
    </row>
    <row r="90" spans="1:19" s="299" customFormat="1" ht="45">
      <c r="A90" s="280" t="s">
        <v>270</v>
      </c>
      <c r="B90" s="296" t="s">
        <v>962</v>
      </c>
      <c r="C90" s="536">
        <v>69232</v>
      </c>
      <c r="D90" s="537">
        <v>69232</v>
      </c>
      <c r="E90" s="1614">
        <f t="shared" si="14"/>
        <v>52273.083454</v>
      </c>
      <c r="F90" s="503">
        <f t="shared" si="11"/>
        <v>52273.083454</v>
      </c>
      <c r="G90" s="213">
        <v>52273.083454</v>
      </c>
      <c r="H90" s="213"/>
      <c r="I90" s="518">
        <f t="shared" si="12"/>
        <v>0</v>
      </c>
      <c r="J90" s="219"/>
      <c r="K90" s="213"/>
      <c r="L90" s="518">
        <f t="shared" si="13"/>
        <v>0</v>
      </c>
      <c r="M90" s="219"/>
      <c r="N90" s="213"/>
      <c r="O90" s="219">
        <f t="shared" si="16"/>
        <v>75.504222691818811</v>
      </c>
      <c r="P90" s="539">
        <f t="shared" si="15"/>
        <v>75.504222691818811</v>
      </c>
      <c r="Q90" s="282"/>
    </row>
    <row r="91" spans="1:19" s="299" customFormat="1" ht="45">
      <c r="A91" s="463" t="s">
        <v>272</v>
      </c>
      <c r="B91" s="296" t="s">
        <v>963</v>
      </c>
      <c r="C91" s="536">
        <v>1380</v>
      </c>
      <c r="D91" s="536">
        <v>1380</v>
      </c>
      <c r="E91" s="1614">
        <f t="shared" si="14"/>
        <v>3600</v>
      </c>
      <c r="F91" s="503">
        <f t="shared" si="11"/>
        <v>3600</v>
      </c>
      <c r="G91" s="213"/>
      <c r="H91" s="213">
        <v>3600</v>
      </c>
      <c r="I91" s="518">
        <f t="shared" si="12"/>
        <v>0</v>
      </c>
      <c r="J91" s="219"/>
      <c r="K91" s="213"/>
      <c r="L91" s="518">
        <f t="shared" si="13"/>
        <v>0</v>
      </c>
      <c r="M91" s="219"/>
      <c r="N91" s="213"/>
      <c r="O91" s="219">
        <f t="shared" si="16"/>
        <v>260.86956521739131</v>
      </c>
      <c r="P91" s="539">
        <f t="shared" si="15"/>
        <v>260.86956521739131</v>
      </c>
      <c r="Q91" s="282"/>
    </row>
    <row r="92" spans="1:19" s="299" customFormat="1" ht="30">
      <c r="A92" s="280" t="s">
        <v>274</v>
      </c>
      <c r="B92" s="296" t="s">
        <v>964</v>
      </c>
      <c r="C92" s="536">
        <v>3507</v>
      </c>
      <c r="D92" s="536">
        <v>3507</v>
      </c>
      <c r="E92" s="1614">
        <f t="shared" si="14"/>
        <v>6239.549</v>
      </c>
      <c r="F92" s="503">
        <f t="shared" si="11"/>
        <v>6239.549</v>
      </c>
      <c r="G92" s="213"/>
      <c r="H92" s="213">
        <v>6239.549</v>
      </c>
      <c r="I92" s="518">
        <f t="shared" si="12"/>
        <v>0</v>
      </c>
      <c r="J92" s="219"/>
      <c r="K92" s="213"/>
      <c r="L92" s="518">
        <f t="shared" si="13"/>
        <v>0</v>
      </c>
      <c r="M92" s="219"/>
      <c r="N92" s="213"/>
      <c r="O92" s="219">
        <f t="shared" si="16"/>
        <v>177.91699458226404</v>
      </c>
      <c r="P92" s="539">
        <f t="shared" si="15"/>
        <v>177.91699458226404</v>
      </c>
      <c r="Q92" s="282"/>
    </row>
    <row r="93" spans="1:19" s="299" customFormat="1" ht="30">
      <c r="A93" s="280" t="s">
        <v>276</v>
      </c>
      <c r="B93" s="296" t="s">
        <v>965</v>
      </c>
      <c r="C93" s="536">
        <f>5458+1126</f>
        <v>6584</v>
      </c>
      <c r="D93" s="537">
        <f>5458+1126</f>
        <v>6584</v>
      </c>
      <c r="E93" s="1614">
        <f t="shared" si="14"/>
        <v>5525.3890000000001</v>
      </c>
      <c r="F93" s="503">
        <f t="shared" si="11"/>
        <v>5525.3890000000001</v>
      </c>
      <c r="G93" s="213">
        <v>4914.5780000000004</v>
      </c>
      <c r="H93" s="213">
        <v>610.81100000000004</v>
      </c>
      <c r="I93" s="518">
        <f t="shared" si="12"/>
        <v>0</v>
      </c>
      <c r="J93" s="219"/>
      <c r="K93" s="213"/>
      <c r="L93" s="518">
        <f t="shared" si="13"/>
        <v>0</v>
      </c>
      <c r="M93" s="219"/>
      <c r="N93" s="213"/>
      <c r="O93" s="219">
        <f t="shared" si="16"/>
        <v>83.921461117861483</v>
      </c>
      <c r="P93" s="539">
        <f t="shared" si="15"/>
        <v>83.921461117861483</v>
      </c>
      <c r="Q93" s="282"/>
    </row>
    <row r="94" spans="1:19" s="299" customFormat="1">
      <c r="A94" s="463" t="s">
        <v>278</v>
      </c>
      <c r="B94" s="296" t="s">
        <v>966</v>
      </c>
      <c r="C94" s="536">
        <v>1115</v>
      </c>
      <c r="D94" s="536">
        <v>1115</v>
      </c>
      <c r="E94" s="1614">
        <f t="shared" si="14"/>
        <v>2343.4521</v>
      </c>
      <c r="F94" s="503">
        <f t="shared" si="11"/>
        <v>2343.4521</v>
      </c>
      <c r="G94" s="213"/>
      <c r="H94" s="213">
        <v>2343.4521</v>
      </c>
      <c r="I94" s="518">
        <f t="shared" si="12"/>
        <v>0</v>
      </c>
      <c r="J94" s="219"/>
      <c r="K94" s="213"/>
      <c r="L94" s="518">
        <f t="shared" si="13"/>
        <v>0</v>
      </c>
      <c r="M94" s="219"/>
      <c r="N94" s="213"/>
      <c r="O94" s="219">
        <f t="shared" si="16"/>
        <v>210.17507623318386</v>
      </c>
      <c r="P94" s="539">
        <f t="shared" si="15"/>
        <v>210.17507623318386</v>
      </c>
      <c r="Q94" s="282"/>
    </row>
    <row r="95" spans="1:19" s="299" customFormat="1" ht="30">
      <c r="A95" s="280" t="s">
        <v>972</v>
      </c>
      <c r="B95" s="296" t="s">
        <v>967</v>
      </c>
      <c r="C95" s="536">
        <v>398105</v>
      </c>
      <c r="D95" s="536">
        <v>398105</v>
      </c>
      <c r="E95" s="1614">
        <f t="shared" si="14"/>
        <v>147456.36254599999</v>
      </c>
      <c r="F95" s="503">
        <f t="shared" si="11"/>
        <v>147456.36254599999</v>
      </c>
      <c r="G95" s="213">
        <v>147456.36254599999</v>
      </c>
      <c r="H95" s="213"/>
      <c r="I95" s="518">
        <f t="shared" si="12"/>
        <v>0</v>
      </c>
      <c r="J95" s="219"/>
      <c r="K95" s="213"/>
      <c r="L95" s="518">
        <f t="shared" si="13"/>
        <v>0</v>
      </c>
      <c r="M95" s="219"/>
      <c r="N95" s="213"/>
      <c r="O95" s="219">
        <f t="shared" si="16"/>
        <v>37.039565578427798</v>
      </c>
      <c r="P95" s="539">
        <f t="shared" si="15"/>
        <v>37.039565578427798</v>
      </c>
      <c r="Q95" s="282"/>
    </row>
    <row r="96" spans="1:19" s="299" customFormat="1" ht="30">
      <c r="A96" s="280" t="s">
        <v>973</v>
      </c>
      <c r="B96" s="296" t="s">
        <v>968</v>
      </c>
      <c r="C96" s="536">
        <v>135433</v>
      </c>
      <c r="D96" s="537">
        <v>135433</v>
      </c>
      <c r="E96" s="1614">
        <f t="shared" si="14"/>
        <v>103542.33500000001</v>
      </c>
      <c r="F96" s="503">
        <f t="shared" si="11"/>
        <v>103542.33500000001</v>
      </c>
      <c r="G96" s="213">
        <v>103542.33500000001</v>
      </c>
      <c r="H96" s="213"/>
      <c r="I96" s="518">
        <f t="shared" si="12"/>
        <v>0</v>
      </c>
      <c r="J96" s="219"/>
      <c r="K96" s="213"/>
      <c r="L96" s="518">
        <f t="shared" si="13"/>
        <v>0</v>
      </c>
      <c r="M96" s="219"/>
      <c r="N96" s="213"/>
      <c r="O96" s="219">
        <f t="shared" si="16"/>
        <v>76.452810614842775</v>
      </c>
      <c r="P96" s="539">
        <f t="shared" si="15"/>
        <v>76.452810614842775</v>
      </c>
      <c r="Q96" s="282"/>
    </row>
    <row r="97" spans="1:19" s="299" customFormat="1" ht="30">
      <c r="A97" s="463" t="s">
        <v>980</v>
      </c>
      <c r="B97" s="296" t="s">
        <v>969</v>
      </c>
      <c r="C97" s="536">
        <v>26800</v>
      </c>
      <c r="D97" s="537">
        <v>26800</v>
      </c>
      <c r="E97" s="1614">
        <f t="shared" si="14"/>
        <v>15100</v>
      </c>
      <c r="F97" s="503">
        <f t="shared" si="11"/>
        <v>15100</v>
      </c>
      <c r="G97" s="213">
        <v>15100</v>
      </c>
      <c r="H97" s="213"/>
      <c r="I97" s="518">
        <f t="shared" si="12"/>
        <v>0</v>
      </c>
      <c r="J97" s="219"/>
      <c r="K97" s="213"/>
      <c r="L97" s="518">
        <f t="shared" si="13"/>
        <v>0</v>
      </c>
      <c r="M97" s="219"/>
      <c r="N97" s="213"/>
      <c r="O97" s="219">
        <f t="shared" si="16"/>
        <v>56.343283582089555</v>
      </c>
      <c r="P97" s="539">
        <f t="shared" si="15"/>
        <v>56.343283582089555</v>
      </c>
      <c r="Q97" s="282"/>
    </row>
    <row r="98" spans="1:19" s="299" customFormat="1" ht="45">
      <c r="A98" s="280" t="s">
        <v>981</v>
      </c>
      <c r="B98" s="296" t="s">
        <v>970</v>
      </c>
      <c r="C98" s="536">
        <v>73503</v>
      </c>
      <c r="D98" s="537">
        <v>73503</v>
      </c>
      <c r="E98" s="1614">
        <f t="shared" si="14"/>
        <v>72373.925873999993</v>
      </c>
      <c r="F98" s="503">
        <f t="shared" si="11"/>
        <v>72373.925873999993</v>
      </c>
      <c r="G98" s="213">
        <v>72373.925873999993</v>
      </c>
      <c r="H98" s="213"/>
      <c r="I98" s="518">
        <f t="shared" si="12"/>
        <v>0</v>
      </c>
      <c r="J98" s="219"/>
      <c r="K98" s="213"/>
      <c r="L98" s="518">
        <f t="shared" si="13"/>
        <v>0</v>
      </c>
      <c r="M98" s="219"/>
      <c r="N98" s="213"/>
      <c r="O98" s="219">
        <f t="shared" si="16"/>
        <v>98.463907424186758</v>
      </c>
      <c r="P98" s="539">
        <f t="shared" si="15"/>
        <v>98.463907424186758</v>
      </c>
      <c r="Q98" s="282"/>
    </row>
    <row r="99" spans="1:19" s="299" customFormat="1">
      <c r="A99" s="280" t="s">
        <v>982</v>
      </c>
      <c r="B99" s="296" t="s">
        <v>971</v>
      </c>
      <c r="C99" s="536">
        <v>27000</v>
      </c>
      <c r="D99" s="537">
        <v>27000</v>
      </c>
      <c r="E99" s="1614">
        <f t="shared" si="14"/>
        <v>26031.25</v>
      </c>
      <c r="F99" s="503">
        <f>G99+H99</f>
        <v>26031.25</v>
      </c>
      <c r="G99" s="213">
        <v>26031.25</v>
      </c>
      <c r="H99" s="213"/>
      <c r="I99" s="518">
        <f t="shared" si="12"/>
        <v>0</v>
      </c>
      <c r="J99" s="219"/>
      <c r="K99" s="213"/>
      <c r="L99" s="518">
        <f t="shared" si="13"/>
        <v>0</v>
      </c>
      <c r="M99" s="219"/>
      <c r="N99" s="213"/>
      <c r="O99" s="219">
        <f t="shared" si="16"/>
        <v>96.412037037037038</v>
      </c>
      <c r="P99" s="539">
        <f t="shared" si="15"/>
        <v>96.412037037037038</v>
      </c>
      <c r="Q99" s="282"/>
    </row>
    <row r="100" spans="1:19" s="302" customFormat="1" ht="16.5" customHeight="1">
      <c r="A100" s="463">
        <v>2</v>
      </c>
      <c r="B100" s="217" t="s">
        <v>332</v>
      </c>
      <c r="C100" s="523">
        <f>340378+C101+1002164-135433-25000-69232-73503-5458-27000-30574-26800-6958-1115-1380-3507-1126</f>
        <v>1014468</v>
      </c>
      <c r="D100" s="471">
        <f>1674369-398105-135433-25000-69232-73503-5458-27000-30574-26800-6958-1115-1380-3507-1126</f>
        <v>869178</v>
      </c>
      <c r="E100" s="583">
        <f>F100+I100+L100</f>
        <v>226926.56017300001</v>
      </c>
      <c r="F100" s="213">
        <f>+G100+H100</f>
        <v>179020.56017300001</v>
      </c>
      <c r="G100" s="213">
        <f>165347.560173+G101</f>
        <v>165347.56017300001</v>
      </c>
      <c r="H100" s="213">
        <f>H101+560+110+9153+3850</f>
        <v>13673</v>
      </c>
      <c r="I100" s="213">
        <f>+J100+K100</f>
        <v>46435</v>
      </c>
      <c r="J100" s="213"/>
      <c r="K100" s="213">
        <f>37493+8942</f>
        <v>46435</v>
      </c>
      <c r="L100" s="213">
        <f>+M100+N100</f>
        <v>1471</v>
      </c>
      <c r="M100" s="213"/>
      <c r="N100" s="213">
        <v>1471</v>
      </c>
      <c r="O100" s="219">
        <f>E100/C100*100</f>
        <v>22.369021021165775</v>
      </c>
      <c r="P100" s="539">
        <f>E100/D100*100</f>
        <v>26.108180392623836</v>
      </c>
      <c r="Q100" s="282" t="e">
        <f>+E100/"#REF!*100"</f>
        <v>#VALUE!</v>
      </c>
      <c r="R100" s="403"/>
    </row>
    <row r="101" spans="1:19" s="117" customFormat="1" ht="15" customHeight="1">
      <c r="A101" s="217"/>
      <c r="B101" s="404" t="s">
        <v>941</v>
      </c>
      <c r="C101" s="519">
        <f>477117-398105</f>
        <v>79012</v>
      </c>
      <c r="D101" s="405">
        <f>477117-398105</f>
        <v>79012</v>
      </c>
      <c r="E101" s="1616">
        <f>+F101</f>
        <v>0</v>
      </c>
      <c r="F101" s="518">
        <v>0</v>
      </c>
      <c r="G101" s="518"/>
      <c r="H101" s="518">
        <v>0</v>
      </c>
      <c r="I101" s="518">
        <v>0</v>
      </c>
      <c r="J101" s="518"/>
      <c r="K101" s="518"/>
      <c r="L101" s="518">
        <v>0</v>
      </c>
      <c r="M101" s="286"/>
      <c r="N101" s="286"/>
      <c r="O101" s="402">
        <v>0</v>
      </c>
      <c r="P101" s="402">
        <v>0</v>
      </c>
      <c r="Q101" s="350"/>
    </row>
    <row r="102" spans="1:19" ht="15" customHeight="1">
      <c r="A102" s="270" t="s">
        <v>80</v>
      </c>
      <c r="B102" s="271" t="s">
        <v>333</v>
      </c>
      <c r="C102" s="518">
        <f>+C103+C104</f>
        <v>0</v>
      </c>
      <c r="D102" s="305">
        <f>+D103+D104</f>
        <v>0</v>
      </c>
      <c r="E102" s="1611">
        <f>F102+I102+L102</f>
        <v>5202830.0485070003</v>
      </c>
      <c r="F102" s="205">
        <f>+F103+F104</f>
        <v>4169359.5692720003</v>
      </c>
      <c r="G102" s="205">
        <f t="shared" ref="G102:M102" si="17">+G103+G104</f>
        <v>0</v>
      </c>
      <c r="H102" s="205">
        <f t="shared" si="17"/>
        <v>0</v>
      </c>
      <c r="I102" s="273">
        <f>+I103+I104</f>
        <v>1033470.479235</v>
      </c>
      <c r="J102" s="273">
        <f t="shared" si="17"/>
        <v>0</v>
      </c>
      <c r="K102" s="205">
        <f t="shared" si="17"/>
        <v>0</v>
      </c>
      <c r="L102" s="518">
        <f t="shared" si="17"/>
        <v>0</v>
      </c>
      <c r="M102" s="273">
        <f t="shared" si="17"/>
        <v>0</v>
      </c>
      <c r="N102" s="205"/>
      <c r="O102" s="279">
        <v>0</v>
      </c>
      <c r="P102" s="279">
        <v>0</v>
      </c>
      <c r="Q102" s="303" t="e">
        <f>+E102/"#REF!*100"</f>
        <v>#VALUE!</v>
      </c>
    </row>
    <row r="103" spans="1:19" ht="15" customHeight="1">
      <c r="A103" s="304">
        <v>1</v>
      </c>
      <c r="B103" s="281" t="s">
        <v>334</v>
      </c>
      <c r="C103" s="518">
        <v>0</v>
      </c>
      <c r="D103" s="305">
        <v>0</v>
      </c>
      <c r="E103" s="1614">
        <f>F103+I103+L103</f>
        <v>3379385.2131139999</v>
      </c>
      <c r="F103" s="213">
        <v>2795442.0380000002</v>
      </c>
      <c r="G103" s="213"/>
      <c r="H103" s="213"/>
      <c r="I103" s="218">
        <v>583943.17511399998</v>
      </c>
      <c r="J103" s="219"/>
      <c r="K103" s="213"/>
      <c r="L103" s="518">
        <v>0</v>
      </c>
      <c r="M103" s="219"/>
      <c r="N103" s="213"/>
      <c r="O103" s="279">
        <v>0</v>
      </c>
      <c r="P103" s="279">
        <v>0</v>
      </c>
      <c r="Q103" s="303" t="e">
        <f>+E103/"#REF!*100"</f>
        <v>#VALUE!</v>
      </c>
    </row>
    <row r="104" spans="1:19" ht="15.75" customHeight="1">
      <c r="A104" s="304">
        <v>2</v>
      </c>
      <c r="B104" s="281" t="s">
        <v>335</v>
      </c>
      <c r="C104" s="518">
        <f>+C105+C106</f>
        <v>0</v>
      </c>
      <c r="D104" s="305">
        <f>+D105+D106</f>
        <v>0</v>
      </c>
      <c r="E104" s="1614">
        <f>F104+I104+L104</f>
        <v>1823444.8353929999</v>
      </c>
      <c r="F104" s="213">
        <f>+F105+F106</f>
        <v>1373917.5312719999</v>
      </c>
      <c r="G104" s="213"/>
      <c r="H104" s="213"/>
      <c r="I104" s="213">
        <f>+I105+I106</f>
        <v>449527.30412099999</v>
      </c>
      <c r="J104" s="219"/>
      <c r="K104" s="213"/>
      <c r="L104" s="518">
        <f>+L105+L106</f>
        <v>0</v>
      </c>
      <c r="M104" s="219"/>
      <c r="N104" s="213"/>
      <c r="O104" s="279">
        <v>0</v>
      </c>
      <c r="P104" s="279">
        <v>0</v>
      </c>
      <c r="Q104" s="303"/>
    </row>
    <row r="105" spans="1:19" ht="15.75" customHeight="1">
      <c r="A105" s="304" t="s">
        <v>291</v>
      </c>
      <c r="B105" s="281" t="s">
        <v>336</v>
      </c>
      <c r="C105" s="518">
        <v>0</v>
      </c>
      <c r="D105" s="305">
        <v>0</v>
      </c>
      <c r="E105" s="1614">
        <f>F105+I105+L105</f>
        <v>1823444.8353929999</v>
      </c>
      <c r="F105" s="213">
        <v>1373917.5312719999</v>
      </c>
      <c r="G105" s="213"/>
      <c r="H105" s="213"/>
      <c r="I105" s="218">
        <v>449527.30412099999</v>
      </c>
      <c r="J105" s="219"/>
      <c r="K105" s="213"/>
      <c r="L105" s="518">
        <v>0</v>
      </c>
      <c r="M105" s="219"/>
      <c r="N105" s="213"/>
      <c r="O105" s="279">
        <v>0</v>
      </c>
      <c r="P105" s="279">
        <v>0</v>
      </c>
      <c r="Q105" s="306"/>
    </row>
    <row r="106" spans="1:19" ht="14.25" customHeight="1">
      <c r="A106" s="304" t="s">
        <v>293</v>
      </c>
      <c r="B106" s="281" t="s">
        <v>337</v>
      </c>
      <c r="C106" s="518">
        <v>0</v>
      </c>
      <c r="D106" s="305">
        <v>0</v>
      </c>
      <c r="E106" s="1617">
        <v>0</v>
      </c>
      <c r="F106" s="305">
        <v>0</v>
      </c>
      <c r="G106" s="305"/>
      <c r="H106" s="305"/>
      <c r="I106" s="305">
        <v>0</v>
      </c>
      <c r="J106" s="219"/>
      <c r="K106" s="213"/>
      <c r="L106" s="518">
        <v>0</v>
      </c>
      <c r="M106" s="219"/>
      <c r="N106" s="213"/>
      <c r="O106" s="279">
        <v>0</v>
      </c>
      <c r="P106" s="279">
        <v>0</v>
      </c>
      <c r="Q106" s="307"/>
      <c r="S106" s="103"/>
    </row>
    <row r="107" spans="1:19" s="119" customFormat="1" ht="14.25" customHeight="1">
      <c r="A107" s="270" t="s">
        <v>121</v>
      </c>
      <c r="B107" s="275" t="s">
        <v>338</v>
      </c>
      <c r="C107" s="518">
        <v>0</v>
      </c>
      <c r="D107" s="305">
        <v>0</v>
      </c>
      <c r="E107" s="1611">
        <f>F107+I107+L107</f>
        <v>32846.826802000003</v>
      </c>
      <c r="F107" s="205">
        <f>5214+25817</f>
        <v>31031</v>
      </c>
      <c r="G107" s="205"/>
      <c r="H107" s="205"/>
      <c r="I107" s="273">
        <v>1815.826802</v>
      </c>
      <c r="J107" s="273"/>
      <c r="K107" s="205"/>
      <c r="L107" s="518">
        <v>0</v>
      </c>
      <c r="M107" s="273"/>
      <c r="N107" s="205"/>
      <c r="O107" s="279">
        <v>0</v>
      </c>
      <c r="P107" s="279">
        <v>0</v>
      </c>
      <c r="Q107" s="308"/>
    </row>
    <row r="108" spans="1:19" s="126" customFormat="1" ht="17.25" customHeight="1">
      <c r="A108" s="281"/>
      <c r="B108" s="270" t="s">
        <v>339</v>
      </c>
      <c r="C108" s="517">
        <f>+C8+C105</f>
        <v>9160028</v>
      </c>
      <c r="D108" s="276">
        <f>+D8+D102</f>
        <v>9504996</v>
      </c>
      <c r="E108" s="1611">
        <f>+F108+I108+L108</f>
        <v>16651353.036225997</v>
      </c>
      <c r="F108" s="205">
        <f>F8+F102+F107</f>
        <v>10505673.049837999</v>
      </c>
      <c r="G108" s="205">
        <f>+G102+G8</f>
        <v>0</v>
      </c>
      <c r="H108" s="205">
        <f>+H102+H8</f>
        <v>0</v>
      </c>
      <c r="I108" s="205">
        <f>I8+I102+I107</f>
        <v>4987347.1970929997</v>
      </c>
      <c r="J108" s="205">
        <f>+J102+J8</f>
        <v>0</v>
      </c>
      <c r="K108" s="205">
        <f>+K102+K8</f>
        <v>0</v>
      </c>
      <c r="L108" s="205">
        <f>L8+L102+L107</f>
        <v>1158332.789295</v>
      </c>
      <c r="M108" s="273"/>
      <c r="N108" s="205"/>
      <c r="O108" s="273">
        <f>E108/C108*100</f>
        <v>181.78277442193405</v>
      </c>
      <c r="P108" s="273">
        <f>E108/D108*100</f>
        <v>175.18527136914099</v>
      </c>
      <c r="Q108" s="127"/>
      <c r="S108" s="309"/>
    </row>
    <row r="109" spans="1:19" s="126" customFormat="1" ht="16.5" customHeight="1">
      <c r="A109" s="310"/>
      <c r="B109" s="311"/>
      <c r="C109" s="312"/>
      <c r="D109" s="313"/>
      <c r="E109" s="1618"/>
      <c r="F109" s="314"/>
      <c r="G109" s="314"/>
      <c r="H109" s="314"/>
      <c r="I109" s="314"/>
      <c r="J109" s="314"/>
      <c r="K109" s="314"/>
      <c r="L109" s="314"/>
      <c r="M109" s="314"/>
      <c r="N109" s="314"/>
      <c r="O109" s="312"/>
      <c r="P109" s="312"/>
      <c r="Q109" s="127"/>
    </row>
    <row r="110" spans="1:19" s="126" customFormat="1" ht="16.5">
      <c r="A110" s="315"/>
      <c r="B110" s="316" t="s">
        <v>984</v>
      </c>
      <c r="C110" s="1681" t="s">
        <v>985</v>
      </c>
      <c r="D110" s="1681"/>
      <c r="E110" s="1681"/>
      <c r="F110" s="1681"/>
      <c r="G110" s="317"/>
      <c r="H110" s="399"/>
      <c r="I110" s="1682" t="s">
        <v>985</v>
      </c>
      <c r="J110" s="1682"/>
      <c r="K110" s="1682"/>
      <c r="L110" s="1682"/>
      <c r="M110" s="1682"/>
      <c r="N110" s="1682"/>
      <c r="O110" s="1682"/>
      <c r="P110" s="1682"/>
      <c r="Q110" s="127"/>
    </row>
    <row r="111" spans="1:19" s="126" customFormat="1" ht="16.5">
      <c r="A111" s="315"/>
      <c r="B111" s="318" t="s">
        <v>340</v>
      </c>
      <c r="C111" s="1675" t="s">
        <v>239</v>
      </c>
      <c r="D111" s="1675"/>
      <c r="E111" s="1675"/>
      <c r="F111" s="1675"/>
      <c r="G111" s="317"/>
      <c r="H111" s="317"/>
      <c r="I111" s="1676" t="s">
        <v>85</v>
      </c>
      <c r="J111" s="1676"/>
      <c r="K111" s="1676"/>
      <c r="L111" s="1676"/>
      <c r="M111" s="1676"/>
      <c r="N111" s="1676"/>
      <c r="O111" s="1676"/>
      <c r="P111" s="1676"/>
      <c r="Q111" s="127"/>
    </row>
    <row r="112" spans="1:19" s="126" customFormat="1" ht="16.5">
      <c r="A112" s="315"/>
      <c r="B112" s="318"/>
      <c r="C112" s="319"/>
      <c r="D112" s="320"/>
      <c r="E112" s="1619"/>
      <c r="F112" s="472"/>
      <c r="G112" s="399"/>
      <c r="H112" s="399"/>
      <c r="I112" s="1676" t="s">
        <v>86</v>
      </c>
      <c r="J112" s="1676"/>
      <c r="K112" s="1676"/>
      <c r="L112" s="1676"/>
      <c r="M112" s="1676"/>
      <c r="N112" s="1676"/>
      <c r="O112" s="1676"/>
      <c r="P112" s="1676"/>
      <c r="Q112" s="127"/>
      <c r="R112" s="926">
        <f>+'TH CHI_62_342_BTC'!E108</f>
        <v>16564755.349519003</v>
      </c>
      <c r="S112" s="927" t="s">
        <v>2723</v>
      </c>
    </row>
    <row r="113" spans="1:20" s="126" customFormat="1" ht="22.5" customHeight="1">
      <c r="A113" s="310"/>
      <c r="B113" s="311"/>
      <c r="C113" s="312"/>
      <c r="D113" s="313"/>
      <c r="E113" s="1620">
        <v>16231065.309237</v>
      </c>
      <c r="F113" s="534">
        <v>10085385.322849</v>
      </c>
      <c r="G113" s="314"/>
      <c r="H113" s="399"/>
      <c r="I113" s="314">
        <v>4987347.1970929997</v>
      </c>
      <c r="J113" s="314"/>
      <c r="K113" s="314"/>
      <c r="L113" s="314"/>
      <c r="M113" s="314"/>
      <c r="N113" s="314"/>
      <c r="O113" s="312"/>
      <c r="P113" s="312"/>
      <c r="Q113" s="127"/>
      <c r="R113" s="309">
        <f>+E108-R112</f>
        <v>86597.686706993729</v>
      </c>
    </row>
    <row r="114" spans="1:20" ht="16.5">
      <c r="B114" s="515"/>
      <c r="C114" s="325"/>
      <c r="D114" s="321"/>
      <c r="E114" s="572">
        <f>+E108-E113</f>
        <v>420287.72698899731</v>
      </c>
      <c r="F114" s="572">
        <f>+F113-F108</f>
        <v>-420287.72698899917</v>
      </c>
      <c r="G114" s="577"/>
      <c r="H114" s="578"/>
      <c r="I114" s="572">
        <f>+I108-I113</f>
        <v>0</v>
      </c>
      <c r="J114" s="127"/>
      <c r="K114" s="324"/>
      <c r="L114" s="448">
        <v>1158332.789295</v>
      </c>
      <c r="M114" s="127"/>
      <c r="N114" s="324"/>
      <c r="O114" s="127"/>
      <c r="P114" s="127"/>
      <c r="Q114" s="130"/>
      <c r="R114" s="103"/>
      <c r="T114" s="506"/>
    </row>
    <row r="115" spans="1:20">
      <c r="B115" s="129"/>
      <c r="C115" s="324"/>
      <c r="D115" s="130"/>
      <c r="E115" s="442"/>
      <c r="F115" s="509"/>
      <c r="G115" s="325"/>
      <c r="H115" s="325"/>
      <c r="I115" s="131"/>
      <c r="J115" s="129"/>
      <c r="K115" s="326"/>
      <c r="L115" s="572">
        <f>+L108-L114</f>
        <v>0</v>
      </c>
      <c r="M115" s="129"/>
      <c r="N115" s="326"/>
      <c r="O115" s="129"/>
      <c r="P115" s="129"/>
    </row>
    <row r="116" spans="1:20" ht="15" customHeight="1">
      <c r="E116" s="1621"/>
      <c r="F116" s="327"/>
      <c r="G116" s="327"/>
      <c r="H116" s="327"/>
      <c r="I116" s="130"/>
      <c r="J116" s="130"/>
      <c r="K116" s="328"/>
      <c r="L116" s="130"/>
      <c r="M116" s="130"/>
      <c r="N116" s="328"/>
      <c r="O116" s="130"/>
      <c r="P116" s="130"/>
    </row>
    <row r="117" spans="1:20">
      <c r="E117" s="1622"/>
      <c r="F117" s="327"/>
      <c r="I117" s="506"/>
      <c r="L117" s="103"/>
    </row>
    <row r="118" spans="1:20">
      <c r="E118" s="1621"/>
      <c r="F118" s="330"/>
      <c r="I118" s="103"/>
      <c r="L118" s="103"/>
      <c r="R118" s="103"/>
    </row>
    <row r="119" spans="1:20">
      <c r="E119" s="442"/>
      <c r="I119" s="103"/>
      <c r="K119" s="330"/>
      <c r="L119" s="103"/>
    </row>
    <row r="120" spans="1:20">
      <c r="F120" s="330"/>
      <c r="I120" s="103"/>
    </row>
    <row r="121" spans="1:20">
      <c r="E121" s="442"/>
      <c r="F121" s="330"/>
    </row>
    <row r="122" spans="1:20">
      <c r="F122" s="330"/>
      <c r="I122" s="103"/>
    </row>
    <row r="123" spans="1:20">
      <c r="F123" s="330"/>
    </row>
    <row r="127" spans="1:20">
      <c r="B127" s="103">
        <v>123456789</v>
      </c>
    </row>
  </sheetData>
  <sheetProtection selectLockedCells="1" selectUnlockedCells="1"/>
  <mergeCells count="10">
    <mergeCell ref="B2:P2"/>
    <mergeCell ref="C4:D4"/>
    <mergeCell ref="E4:L4"/>
    <mergeCell ref="O4:P4"/>
    <mergeCell ref="I112:P112"/>
    <mergeCell ref="F5:L5"/>
    <mergeCell ref="C110:F110"/>
    <mergeCell ref="I110:P110"/>
    <mergeCell ref="C111:F111"/>
    <mergeCell ref="I111:P111"/>
  </mergeCells>
  <phoneticPr fontId="160" type="noConversion"/>
  <pageMargins left="0.25" right="0" top="0.25" bottom="0.25" header="0.51180555555555596" footer="0.51180555555555596"/>
  <pageSetup paperSize="9" firstPageNumber="0" orientation="landscape" r:id="rId1"/>
  <headerFooter alignWithMargins="0"/>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29"/>
  <sheetViews>
    <sheetView zoomScaleNormal="100" workbookViewId="0">
      <selection activeCell="B29" sqref="B29"/>
    </sheetView>
  </sheetViews>
  <sheetFormatPr defaultRowHeight="15.75"/>
  <cols>
    <col min="1" max="1" width="55.140625" style="1" customWidth="1"/>
    <col min="2" max="2" width="12.42578125" style="1" customWidth="1"/>
    <col min="3" max="3" width="12.140625" style="1" customWidth="1"/>
    <col min="4" max="4" width="11.7109375" style="1" customWidth="1"/>
    <col min="5" max="5" width="12.140625" style="1" customWidth="1"/>
    <col min="6" max="6" width="38" style="1" customWidth="1"/>
    <col min="7" max="7" width="13.140625" style="1" customWidth="1"/>
    <col min="8" max="16384" width="9.140625" style="1"/>
  </cols>
  <sheetData>
    <row r="1" spans="1:7">
      <c r="A1" s="1" t="s">
        <v>95</v>
      </c>
      <c r="F1" s="474" t="s">
        <v>500</v>
      </c>
    </row>
    <row r="2" spans="1:7">
      <c r="A2" s="475" t="s">
        <v>353</v>
      </c>
    </row>
    <row r="3" spans="1:7" ht="6.75" customHeight="1"/>
    <row r="4" spans="1:7" ht="18.75">
      <c r="A4" s="1816" t="s">
        <v>361</v>
      </c>
      <c r="B4" s="1816"/>
      <c r="C4" s="1816"/>
      <c r="D4" s="1816"/>
      <c r="E4" s="1816"/>
      <c r="F4" s="1816"/>
      <c r="G4" s="419" t="s">
        <v>501</v>
      </c>
    </row>
    <row r="5" spans="1:7" ht="18.75">
      <c r="A5" s="1816" t="s">
        <v>1050</v>
      </c>
      <c r="B5" s="1816"/>
      <c r="C5" s="1816"/>
      <c r="D5" s="1816"/>
      <c r="E5" s="1816"/>
      <c r="F5" s="1816"/>
    </row>
    <row r="6" spans="1:7">
      <c r="C6" s="351"/>
      <c r="D6" s="351"/>
      <c r="E6" s="352"/>
      <c r="F6" s="352" t="s">
        <v>354</v>
      </c>
    </row>
    <row r="7" spans="1:7">
      <c r="A7" s="1817" t="s">
        <v>355</v>
      </c>
      <c r="B7" s="1818" t="s">
        <v>240</v>
      </c>
      <c r="C7" s="1819" t="s">
        <v>342</v>
      </c>
      <c r="D7" s="1819"/>
      <c r="E7" s="1819"/>
      <c r="F7" s="1820" t="s">
        <v>125</v>
      </c>
    </row>
    <row r="8" spans="1:7" ht="47.25">
      <c r="A8" s="1817"/>
      <c r="B8" s="1818"/>
      <c r="C8" s="347" t="s">
        <v>120</v>
      </c>
      <c r="D8" s="354" t="s">
        <v>362</v>
      </c>
      <c r="E8" s="354" t="s">
        <v>363</v>
      </c>
      <c r="F8" s="1820"/>
    </row>
    <row r="9" spans="1:7" s="95" customFormat="1" ht="17.100000000000001" customHeight="1">
      <c r="A9" s="355" t="s">
        <v>364</v>
      </c>
      <c r="B9" s="409">
        <f t="shared" ref="B9:B21" si="0">+C9+D9+E9</f>
        <v>0</v>
      </c>
      <c r="C9" s="409">
        <v>0</v>
      </c>
      <c r="D9" s="407">
        <v>0</v>
      </c>
      <c r="E9" s="417">
        <v>0</v>
      </c>
      <c r="F9" s="357"/>
    </row>
    <row r="10" spans="1:7" s="95" customFormat="1" ht="17.100000000000001" customHeight="1">
      <c r="A10" s="358" t="s">
        <v>365</v>
      </c>
      <c r="B10" s="359">
        <f>+B11+B12+B13</f>
        <v>68730.041548000008</v>
      </c>
      <c r="C10" s="359">
        <f>+C11+C12+C13</f>
        <v>68730.041548000008</v>
      </c>
      <c r="D10" s="409">
        <f>+D11+D12+D13</f>
        <v>0</v>
      </c>
      <c r="E10" s="418">
        <v>0</v>
      </c>
      <c r="F10" s="360"/>
    </row>
    <row r="11" spans="1:7" s="77" customFormat="1" ht="17.100000000000001" customHeight="1">
      <c r="A11" s="361" t="s">
        <v>366</v>
      </c>
      <c r="B11" s="407">
        <f t="shared" si="0"/>
        <v>0</v>
      </c>
      <c r="C11" s="407">
        <v>0</v>
      </c>
      <c r="D11" s="407">
        <v>0</v>
      </c>
      <c r="E11" s="410">
        <v>0</v>
      </c>
      <c r="F11" s="362"/>
    </row>
    <row r="12" spans="1:7" s="77" customFormat="1" ht="17.100000000000001" customHeight="1">
      <c r="A12" s="361" t="s">
        <v>367</v>
      </c>
      <c r="B12" s="407">
        <f t="shared" si="0"/>
        <v>0</v>
      </c>
      <c r="C12" s="407">
        <v>0</v>
      </c>
      <c r="D12" s="408">
        <v>0</v>
      </c>
      <c r="E12" s="411">
        <v>0</v>
      </c>
      <c r="F12" s="362"/>
      <c r="G12" s="77">
        <v>2151</v>
      </c>
    </row>
    <row r="13" spans="1:7" s="77" customFormat="1" ht="17.100000000000001" customHeight="1">
      <c r="A13" s="361" t="s">
        <v>368</v>
      </c>
      <c r="B13" s="363">
        <f>SUM(B14:B25)</f>
        <v>68730.041548000008</v>
      </c>
      <c r="C13" s="363">
        <f>SUM(C14:C25)</f>
        <v>68730.041548000008</v>
      </c>
      <c r="D13" s="412">
        <v>0</v>
      </c>
      <c r="E13" s="412">
        <v>0</v>
      </c>
      <c r="F13" s="362"/>
      <c r="G13" s="77">
        <v>2252</v>
      </c>
    </row>
    <row r="14" spans="1:7" s="77" customFormat="1" ht="17.100000000000001" customHeight="1">
      <c r="A14" s="364" t="s">
        <v>369</v>
      </c>
      <c r="B14" s="356">
        <f t="shared" si="0"/>
        <v>22880.819548000003</v>
      </c>
      <c r="C14" s="406">
        <v>22880.819548000003</v>
      </c>
      <c r="D14" s="407">
        <v>0</v>
      </c>
      <c r="E14" s="413">
        <v>0</v>
      </c>
      <c r="F14" s="362" t="s">
        <v>370</v>
      </c>
    </row>
    <row r="15" spans="1:7" s="77" customFormat="1" ht="17.100000000000001" customHeight="1">
      <c r="A15" s="364" t="s">
        <v>371</v>
      </c>
      <c r="B15" s="356">
        <f t="shared" si="0"/>
        <v>10741.873000000001</v>
      </c>
      <c r="C15" s="406">
        <v>10741.873000000001</v>
      </c>
      <c r="D15" s="407">
        <v>0</v>
      </c>
      <c r="E15" s="413">
        <v>0</v>
      </c>
      <c r="F15" s="362" t="s">
        <v>1047</v>
      </c>
    </row>
    <row r="16" spans="1:7" s="77" customFormat="1" ht="17.100000000000001" customHeight="1">
      <c r="A16" s="364" t="s">
        <v>372</v>
      </c>
      <c r="B16" s="356">
        <f t="shared" si="0"/>
        <v>299.58600000000001</v>
      </c>
      <c r="C16" s="406">
        <v>299.58600000000001</v>
      </c>
      <c r="D16" s="408">
        <v>0</v>
      </c>
      <c r="E16" s="411">
        <v>0</v>
      </c>
      <c r="F16" s="362" t="s">
        <v>1048</v>
      </c>
      <c r="G16" s="77">
        <v>2306</v>
      </c>
    </row>
    <row r="17" spans="1:7" s="77" customFormat="1" ht="17.100000000000001" customHeight="1">
      <c r="A17" s="364" t="s">
        <v>373</v>
      </c>
      <c r="B17" s="408">
        <f t="shared" si="0"/>
        <v>0</v>
      </c>
      <c r="C17" s="408">
        <v>0</v>
      </c>
      <c r="D17" s="408">
        <v>0</v>
      </c>
      <c r="E17" s="411">
        <v>0</v>
      </c>
      <c r="F17" s="362" t="s">
        <v>1049</v>
      </c>
    </row>
    <row r="18" spans="1:7" s="77" customFormat="1" ht="17.100000000000001" customHeight="1">
      <c r="A18" s="364" t="s">
        <v>374</v>
      </c>
      <c r="B18" s="356">
        <f t="shared" si="0"/>
        <v>20</v>
      </c>
      <c r="C18" s="406">
        <v>20</v>
      </c>
      <c r="D18" s="408">
        <v>0</v>
      </c>
      <c r="E18" s="411">
        <v>0</v>
      </c>
      <c r="F18" s="362"/>
    </row>
    <row r="19" spans="1:7" s="77" customFormat="1" ht="17.100000000000001" customHeight="1">
      <c r="A19" s="364" t="s">
        <v>375</v>
      </c>
      <c r="B19" s="356">
        <f t="shared" si="0"/>
        <v>141.815</v>
      </c>
      <c r="C19" s="406">
        <v>141.815</v>
      </c>
      <c r="D19" s="408">
        <v>0</v>
      </c>
      <c r="E19" s="411">
        <v>0</v>
      </c>
      <c r="F19" s="362"/>
      <c r="G19" s="77">
        <v>2317</v>
      </c>
    </row>
    <row r="20" spans="1:7" s="77" customFormat="1" ht="17.100000000000001" customHeight="1">
      <c r="A20" s="364" t="s">
        <v>376</v>
      </c>
      <c r="B20" s="356">
        <f t="shared" si="0"/>
        <v>5544.2710000000006</v>
      </c>
      <c r="C20" s="406">
        <v>5544.2710000000006</v>
      </c>
      <c r="D20" s="408">
        <v>0</v>
      </c>
      <c r="E20" s="411">
        <v>0</v>
      </c>
      <c r="F20" s="362"/>
      <c r="G20" s="77">
        <v>2321</v>
      </c>
    </row>
    <row r="21" spans="1:7" s="77" customFormat="1" ht="17.100000000000001" customHeight="1">
      <c r="A21" s="364" t="s">
        <v>377</v>
      </c>
      <c r="B21" s="408">
        <f t="shared" si="0"/>
        <v>2645.4450000000002</v>
      </c>
      <c r="C21" s="408">
        <v>2645.4450000000002</v>
      </c>
      <c r="D21" s="408">
        <v>0</v>
      </c>
      <c r="E21" s="411">
        <v>0</v>
      </c>
      <c r="F21" s="362"/>
      <c r="G21" s="77">
        <v>2322</v>
      </c>
    </row>
    <row r="22" spans="1:7" s="77" customFormat="1" ht="17.100000000000001" customHeight="1">
      <c r="A22" s="365" t="s">
        <v>378</v>
      </c>
      <c r="B22" s="356">
        <f>+C22+D22+E22</f>
        <v>16889.915999999997</v>
      </c>
      <c r="C22" s="406">
        <f>13540.916+3349</f>
        <v>16889.915999999997</v>
      </c>
      <c r="D22" s="414">
        <v>0</v>
      </c>
      <c r="E22" s="415">
        <v>0</v>
      </c>
      <c r="F22" s="362"/>
    </row>
    <row r="23" spans="1:7" s="77" customFormat="1" ht="17.100000000000001" customHeight="1">
      <c r="A23" s="365" t="s">
        <v>379</v>
      </c>
      <c r="B23" s="356">
        <f>+C23+D23+E23</f>
        <v>1315.8320000000001</v>
      </c>
      <c r="C23" s="406">
        <v>1315.8320000000001</v>
      </c>
      <c r="D23" s="414">
        <v>0</v>
      </c>
      <c r="E23" s="415">
        <v>0</v>
      </c>
      <c r="F23" s="362"/>
      <c r="G23" s="77">
        <v>3349</v>
      </c>
    </row>
    <row r="24" spans="1:7" s="77" customFormat="1" ht="17.100000000000001" customHeight="1">
      <c r="A24" s="365" t="s">
        <v>497</v>
      </c>
      <c r="B24" s="356">
        <f>+C24+D24+E24</f>
        <v>1740.0840000000001</v>
      </c>
      <c r="C24" s="406">
        <v>1740.0840000000001</v>
      </c>
      <c r="D24" s="414">
        <v>0</v>
      </c>
      <c r="E24" s="415">
        <v>0</v>
      </c>
      <c r="F24" s="362"/>
    </row>
    <row r="25" spans="1:7" s="77" customFormat="1" ht="17.100000000000001" customHeight="1">
      <c r="A25" s="364" t="s">
        <v>498</v>
      </c>
      <c r="B25" s="408">
        <f>+C25+D25+E25</f>
        <v>6510.4</v>
      </c>
      <c r="C25" s="408">
        <v>6510.4</v>
      </c>
      <c r="D25" s="408">
        <v>0</v>
      </c>
      <c r="E25" s="411">
        <v>0</v>
      </c>
      <c r="F25" s="362"/>
    </row>
    <row r="26" spans="1:7" s="77" customFormat="1" ht="17.100000000000001" customHeight="1">
      <c r="A26" s="364"/>
      <c r="B26" s="408">
        <f>+C26+D26+E26</f>
        <v>0</v>
      </c>
      <c r="C26" s="408">
        <v>0</v>
      </c>
      <c r="D26" s="408">
        <v>0</v>
      </c>
      <c r="E26" s="416">
        <v>0</v>
      </c>
      <c r="F26" s="362"/>
    </row>
    <row r="27" spans="1:7" s="77" customFormat="1" ht="8.25" customHeight="1">
      <c r="A27" s="366"/>
      <c r="B27" s="367"/>
      <c r="C27" s="368"/>
      <c r="D27" s="368"/>
      <c r="E27" s="369"/>
      <c r="F27" s="369"/>
    </row>
    <row r="28" spans="1:7" ht="16.5">
      <c r="C28" s="340"/>
      <c r="D28" s="128"/>
      <c r="E28" s="128" t="s">
        <v>1046</v>
      </c>
    </row>
    <row r="29" spans="1:7">
      <c r="A29" s="93" t="s">
        <v>2715</v>
      </c>
      <c r="B29" s="342"/>
      <c r="C29" s="6"/>
      <c r="D29" s="127"/>
      <c r="E29" s="129" t="s">
        <v>356</v>
      </c>
    </row>
  </sheetData>
  <sheetProtection selectLockedCells="1" selectUnlockedCells="1"/>
  <mergeCells count="6">
    <mergeCell ref="A4:F4"/>
    <mergeCell ref="A5:F5"/>
    <mergeCell ref="A7:A8"/>
    <mergeCell ref="B7:B8"/>
    <mergeCell ref="C7:E7"/>
    <mergeCell ref="F7:F8"/>
  </mergeCells>
  <phoneticPr fontId="160" type="noConversion"/>
  <pageMargins left="0.53" right="0.25" top="0" bottom="0.25" header="0.51180555555555551" footer="0.51180555555555551"/>
  <pageSetup paperSize="9" firstPageNumber="0"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I22"/>
  <sheetViews>
    <sheetView workbookViewId="0">
      <selection activeCell="B27" sqref="B27"/>
    </sheetView>
  </sheetViews>
  <sheetFormatPr defaultRowHeight="15.75"/>
  <cols>
    <col min="1" max="1" width="55" style="1" customWidth="1"/>
    <col min="2" max="2" width="12.140625" style="1" customWidth="1"/>
    <col min="3" max="3" width="11.7109375" style="1" customWidth="1"/>
    <col min="4" max="4" width="13.28515625" style="1" customWidth="1"/>
    <col min="5" max="5" width="11.28515625" style="1" customWidth="1"/>
    <col min="6" max="6" width="29.85546875" style="1" customWidth="1"/>
    <col min="7" max="7" width="9.140625" style="1"/>
    <col min="8" max="8" width="13.7109375" style="1" customWidth="1"/>
    <col min="9" max="16384" width="9.140625" style="1"/>
  </cols>
  <sheetData>
    <row r="1" spans="1:9" ht="23.25" customHeight="1">
      <c r="A1" s="1" t="s">
        <v>537</v>
      </c>
      <c r="F1" s="443" t="s">
        <v>542</v>
      </c>
    </row>
    <row r="2" spans="1:9">
      <c r="A2" s="475" t="s">
        <v>535</v>
      </c>
    </row>
    <row r="4" spans="1:9" ht="18.75">
      <c r="A4" s="1816" t="s">
        <v>1057</v>
      </c>
      <c r="B4" s="1816"/>
      <c r="C4" s="1816"/>
      <c r="D4" s="1816"/>
      <c r="E4" s="1816"/>
      <c r="F4" s="1816"/>
    </row>
    <row r="5" spans="1:9">
      <c r="G5" s="441" t="s">
        <v>536</v>
      </c>
    </row>
    <row r="6" spans="1:9">
      <c r="F6" s="339" t="s">
        <v>389</v>
      </c>
    </row>
    <row r="7" spans="1:9">
      <c r="A7" s="1818" t="s">
        <v>355</v>
      </c>
      <c r="B7" s="1818" t="s">
        <v>240</v>
      </c>
      <c r="C7" s="1821" t="s">
        <v>342</v>
      </c>
      <c r="D7" s="1821"/>
      <c r="E7" s="1821"/>
      <c r="F7" s="1818" t="s">
        <v>125</v>
      </c>
    </row>
    <row r="8" spans="1:9" ht="31.5">
      <c r="A8" s="1818"/>
      <c r="B8" s="1818"/>
      <c r="C8" s="347" t="s">
        <v>390</v>
      </c>
      <c r="D8" s="371" t="s">
        <v>391</v>
      </c>
      <c r="E8" s="347" t="s">
        <v>392</v>
      </c>
      <c r="F8" s="1818"/>
      <c r="H8" s="441">
        <v>15400</v>
      </c>
      <c r="I8" s="441" t="s">
        <v>1059</v>
      </c>
    </row>
    <row r="9" spans="1:9" s="77" customFormat="1">
      <c r="A9" s="372" t="s">
        <v>364</v>
      </c>
      <c r="B9" s="373">
        <f>C9+D9+E9</f>
        <v>24385.71614</v>
      </c>
      <c r="C9" s="373">
        <f>+C10+C15</f>
        <v>23258.71614</v>
      </c>
      <c r="D9" s="373">
        <f>+D10+D15</f>
        <v>1127</v>
      </c>
      <c r="E9" s="373">
        <f>+E10+E15</f>
        <v>0</v>
      </c>
      <c r="F9" s="913" t="s">
        <v>393</v>
      </c>
    </row>
    <row r="10" spans="1:9" s="377" customFormat="1">
      <c r="A10" s="374" t="s">
        <v>394</v>
      </c>
      <c r="B10" s="375">
        <f>+C10+D10+E10</f>
        <v>24385.71614</v>
      </c>
      <c r="C10" s="375">
        <f>SUM(C11:C14)</f>
        <v>23258.71614</v>
      </c>
      <c r="D10" s="375">
        <f>SUM(D11:D14)</f>
        <v>1127</v>
      </c>
      <c r="E10" s="375">
        <f>SUM(E11:E14)</f>
        <v>0</v>
      </c>
      <c r="F10" s="376" t="s">
        <v>395</v>
      </c>
    </row>
    <row r="11" spans="1:9" s="95" customFormat="1">
      <c r="A11" s="378" t="s">
        <v>396</v>
      </c>
      <c r="B11" s="379">
        <f>+C11+D11+E11</f>
        <v>22914.71614</v>
      </c>
      <c r="C11" s="592">
        <f>7514.71614+15400</f>
        <v>22914.71614</v>
      </c>
      <c r="D11" s="379">
        <v>0</v>
      </c>
      <c r="E11" s="379">
        <v>0</v>
      </c>
      <c r="F11" s="376" t="s">
        <v>1058</v>
      </c>
      <c r="H11" s="95">
        <v>62554.39</v>
      </c>
    </row>
    <row r="12" spans="1:9" s="77" customFormat="1">
      <c r="A12" s="378" t="s">
        <v>397</v>
      </c>
      <c r="B12" s="379">
        <f t="shared" ref="B12:B17" si="0">+C12+D12+E12</f>
        <v>0</v>
      </c>
      <c r="C12" s="384">
        <v>0</v>
      </c>
      <c r="D12" s="379">
        <v>0</v>
      </c>
      <c r="E12" s="379">
        <v>0</v>
      </c>
      <c r="F12" s="376"/>
      <c r="H12" s="77">
        <v>26491.02</v>
      </c>
    </row>
    <row r="13" spans="1:9" s="77" customFormat="1">
      <c r="A13" s="378" t="s">
        <v>398</v>
      </c>
      <c r="B13" s="379">
        <f>C13+D13+E13</f>
        <v>1471</v>
      </c>
      <c r="C13" s="379">
        <v>344</v>
      </c>
      <c r="D13" s="379">
        <v>1127</v>
      </c>
      <c r="E13" s="379">
        <v>0</v>
      </c>
      <c r="F13" s="376"/>
      <c r="H13" s="77">
        <f>+H12+H11</f>
        <v>89045.41</v>
      </c>
    </row>
    <row r="14" spans="1:9" s="77" customFormat="1">
      <c r="A14" s="380" t="s">
        <v>399</v>
      </c>
      <c r="B14" s="381">
        <f>+C14+D14+E14</f>
        <v>0</v>
      </c>
      <c r="C14" s="381">
        <v>0</v>
      </c>
      <c r="D14" s="384">
        <v>0</v>
      </c>
      <c r="E14" s="381">
        <v>0</v>
      </c>
      <c r="F14" s="382"/>
    </row>
    <row r="15" spans="1:9" s="377" customFormat="1">
      <c r="A15" s="383" t="s">
        <v>400</v>
      </c>
      <c r="B15" s="384">
        <f>+C15+D15+E15</f>
        <v>0</v>
      </c>
      <c r="C15" s="384">
        <v>0</v>
      </c>
      <c r="D15" s="384">
        <v>0</v>
      </c>
      <c r="E15" s="384">
        <v>0</v>
      </c>
      <c r="F15" s="385"/>
    </row>
    <row r="16" spans="1:9" s="377" customFormat="1">
      <c r="A16" s="383" t="s">
        <v>401</v>
      </c>
      <c r="B16" s="384">
        <f>+B17+B18</f>
        <v>21891.852315</v>
      </c>
      <c r="C16" s="384">
        <f>+C17+C18</f>
        <v>21891.852315</v>
      </c>
      <c r="D16" s="384">
        <f>+D17+D18</f>
        <v>0</v>
      </c>
      <c r="E16" s="384">
        <v>0</v>
      </c>
      <c r="F16" s="386"/>
    </row>
    <row r="17" spans="1:8" s="377" customFormat="1">
      <c r="A17" s="380" t="s">
        <v>402</v>
      </c>
      <c r="B17" s="381">
        <f t="shared" si="0"/>
        <v>0</v>
      </c>
      <c r="C17" s="384">
        <v>0</v>
      </c>
      <c r="D17" s="384">
        <v>0</v>
      </c>
      <c r="E17" s="384">
        <v>0</v>
      </c>
      <c r="F17" s="382"/>
      <c r="H17" s="377">
        <v>25032.723139999998</v>
      </c>
    </row>
    <row r="18" spans="1:8" s="377" customFormat="1">
      <c r="A18" s="380" t="s">
        <v>403</v>
      </c>
      <c r="B18" s="381">
        <f>+C18+D18+E18</f>
        <v>21891.852315</v>
      </c>
      <c r="C18" s="592">
        <v>21891.852315</v>
      </c>
      <c r="D18" s="381">
        <v>0</v>
      </c>
      <c r="E18" s="384">
        <v>0</v>
      </c>
      <c r="F18" s="384"/>
    </row>
    <row r="19" spans="1:8" s="77" customFormat="1">
      <c r="A19" s="387"/>
      <c r="B19" s="388"/>
      <c r="C19" s="388"/>
      <c r="D19" s="388"/>
      <c r="E19" s="388"/>
      <c r="F19" s="389"/>
    </row>
    <row r="20" spans="1:8" s="77" customFormat="1">
      <c r="A20" s="390"/>
      <c r="B20" s="391"/>
      <c r="C20" s="391"/>
      <c r="D20" s="391"/>
      <c r="E20" s="391"/>
      <c r="F20" s="392"/>
    </row>
    <row r="21" spans="1:8" ht="16.5">
      <c r="E21" s="128" t="s">
        <v>1069</v>
      </c>
    </row>
    <row r="22" spans="1:8">
      <c r="A22" s="93" t="s">
        <v>2715</v>
      </c>
      <c r="B22" s="6"/>
      <c r="E22" s="129" t="s">
        <v>356</v>
      </c>
    </row>
  </sheetData>
  <sheetProtection selectLockedCells="1" selectUnlockedCells="1"/>
  <mergeCells count="5">
    <mergeCell ref="A4:F4"/>
    <mergeCell ref="A7:A8"/>
    <mergeCell ref="B7:B8"/>
    <mergeCell ref="C7:E7"/>
    <mergeCell ref="F7:F8"/>
  </mergeCells>
  <phoneticPr fontId="160" type="noConversion"/>
  <pageMargins left="0.75" right="0.5" top="0.5" bottom="0.5" header="0.51180555555555551" footer="0.51180555555555551"/>
  <pageSetup paperSize="9" firstPageNumber="0" orientation="landscape" r:id="rId1"/>
  <headerFooter alignWithMargins="0"/>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M25"/>
  <sheetViews>
    <sheetView topLeftCell="B1" workbookViewId="0">
      <selection activeCell="L28" sqref="L28"/>
    </sheetView>
  </sheetViews>
  <sheetFormatPr defaultRowHeight="15.75"/>
  <cols>
    <col min="1" max="1" width="6.5703125" style="1" customWidth="1"/>
    <col min="2" max="2" width="52.140625" style="1" customWidth="1"/>
    <col min="3" max="3" width="16.140625" style="1" customWidth="1"/>
    <col min="4" max="4" width="16.42578125" style="1" customWidth="1"/>
    <col min="5" max="6" width="16.42578125" style="1" hidden="1" customWidth="1"/>
    <col min="7" max="7" width="16" style="1" customWidth="1"/>
    <col min="8" max="9" width="16" style="1" hidden="1" customWidth="1"/>
    <col min="10" max="10" width="28.5703125" style="1" customWidth="1"/>
    <col min="11" max="11" width="9.140625" style="1"/>
    <col min="12" max="12" width="22.85546875" style="1" customWidth="1"/>
    <col min="13" max="13" width="13.7109375" style="1" customWidth="1"/>
    <col min="14" max="16384" width="9.140625" style="1"/>
  </cols>
  <sheetData>
    <row r="1" spans="1:13" ht="19.5" customHeight="1">
      <c r="B1" s="1" t="s">
        <v>95</v>
      </c>
      <c r="J1" s="443" t="s">
        <v>538</v>
      </c>
    </row>
    <row r="2" spans="1:13">
      <c r="B2" s="475" t="s">
        <v>353</v>
      </c>
    </row>
    <row r="3" spans="1:13">
      <c r="K3" s="441" t="s">
        <v>533</v>
      </c>
    </row>
    <row r="4" spans="1:13" ht="18.75">
      <c r="B4" s="1816" t="s">
        <v>1067</v>
      </c>
      <c r="C4" s="1816"/>
      <c r="D4" s="1816"/>
      <c r="E4" s="1816"/>
      <c r="F4" s="1816"/>
      <c r="G4" s="1816"/>
      <c r="H4" s="1816"/>
      <c r="I4" s="1816"/>
      <c r="J4" s="1816"/>
    </row>
    <row r="6" spans="1:13">
      <c r="J6" s="339" t="s">
        <v>389</v>
      </c>
    </row>
    <row r="7" spans="1:13">
      <c r="A7" s="1822" t="s">
        <v>45</v>
      </c>
      <c r="B7" s="1825" t="s">
        <v>355</v>
      </c>
      <c r="C7" s="1818" t="s">
        <v>240</v>
      </c>
      <c r="D7" s="1821" t="s">
        <v>342</v>
      </c>
      <c r="E7" s="1821"/>
      <c r="F7" s="1821"/>
      <c r="G7" s="1821"/>
      <c r="H7" s="439"/>
      <c r="I7" s="439"/>
      <c r="J7" s="393" t="s">
        <v>125</v>
      </c>
    </row>
    <row r="8" spans="1:13">
      <c r="A8" s="1822"/>
      <c r="B8" s="1826"/>
      <c r="C8" s="1818"/>
      <c r="D8" s="347" t="s">
        <v>390</v>
      </c>
      <c r="E8" s="420" t="s">
        <v>531</v>
      </c>
      <c r="F8" s="420" t="s">
        <v>532</v>
      </c>
      <c r="G8" s="354" t="s">
        <v>53</v>
      </c>
      <c r="H8" s="440" t="s">
        <v>1061</v>
      </c>
      <c r="I8" s="440" t="s">
        <v>727</v>
      </c>
      <c r="J8" s="353"/>
      <c r="L8" s="1">
        <v>1176865</v>
      </c>
      <c r="M8" s="1" t="s">
        <v>727</v>
      </c>
    </row>
    <row r="9" spans="1:13" s="95" customFormat="1">
      <c r="A9" s="438" t="s">
        <v>57</v>
      </c>
      <c r="B9" s="422">
        <v>1</v>
      </c>
      <c r="C9" s="423" t="s">
        <v>387</v>
      </c>
      <c r="D9" s="424">
        <v>3</v>
      </c>
      <c r="E9" s="424"/>
      <c r="F9" s="424"/>
      <c r="G9" s="424">
        <v>4</v>
      </c>
      <c r="H9" s="424"/>
      <c r="I9" s="424"/>
      <c r="J9" s="425">
        <v>5</v>
      </c>
      <c r="L9" s="95">
        <v>1280073.5074629998</v>
      </c>
      <c r="M9" s="95" t="s">
        <v>1061</v>
      </c>
    </row>
    <row r="10" spans="1:13" s="77" customFormat="1">
      <c r="A10" s="426"/>
      <c r="B10" s="427" t="s">
        <v>527</v>
      </c>
      <c r="C10" s="428">
        <f>+D10+G10</f>
        <v>103208.5074629999</v>
      </c>
      <c r="D10" s="954">
        <f>+E10-F10</f>
        <v>-134323.43530000001</v>
      </c>
      <c r="E10" s="914">
        <f>+'TH CHI_62_342_51_52_53_31'!F46</f>
        <v>337937.56469999999</v>
      </c>
      <c r="F10" s="914">
        <v>472261</v>
      </c>
      <c r="G10" s="428">
        <f>H10-I10</f>
        <v>237531.94276299991</v>
      </c>
      <c r="H10" s="590">
        <f>+'TH CHI_62_342_51_52_53_31'!I46+'TH CHI_62_342_51_52_53_31'!L46</f>
        <v>942135.94276299991</v>
      </c>
      <c r="I10" s="590">
        <v>704604</v>
      </c>
      <c r="J10" s="421"/>
      <c r="L10" s="591">
        <f>+L9-L8</f>
        <v>103208.50746299978</v>
      </c>
      <c r="M10" s="77" t="s">
        <v>1062</v>
      </c>
    </row>
    <row r="11" spans="1:13" s="77" customFormat="1">
      <c r="A11" s="426">
        <v>1</v>
      </c>
      <c r="B11" s="429" t="s">
        <v>528</v>
      </c>
      <c r="C11" s="430">
        <f t="shared" ref="C11:C16" si="0">D11+G11</f>
        <v>107489.36276299991</v>
      </c>
      <c r="D11" s="955">
        <v>-126942.58</v>
      </c>
      <c r="E11" s="430"/>
      <c r="F11" s="430"/>
      <c r="G11" s="430">
        <f>+G10-G17-G21-G15</f>
        <v>234431.94276299991</v>
      </c>
      <c r="H11" s="430"/>
      <c r="I11" s="430"/>
      <c r="J11" s="421"/>
      <c r="K11" s="77" t="s">
        <v>404</v>
      </c>
      <c r="L11" s="394">
        <f>+L10-C10</f>
        <v>-1.1641532182693481E-10</v>
      </c>
    </row>
    <row r="12" spans="1:13" s="77" customFormat="1" hidden="1">
      <c r="A12" s="426"/>
      <c r="B12" s="431" t="s">
        <v>405</v>
      </c>
      <c r="C12" s="432">
        <f t="shared" si="0"/>
        <v>0</v>
      </c>
      <c r="D12" s="956"/>
      <c r="E12" s="432"/>
      <c r="F12" s="432"/>
      <c r="G12" s="432"/>
      <c r="H12" s="432"/>
      <c r="I12" s="432"/>
      <c r="J12" s="431"/>
      <c r="L12" s="394"/>
    </row>
    <row r="13" spans="1:13" s="77" customFormat="1" hidden="1">
      <c r="A13" s="426"/>
      <c r="B13" s="431" t="s">
        <v>406</v>
      </c>
      <c r="C13" s="432">
        <f t="shared" si="0"/>
        <v>0</v>
      </c>
      <c r="D13" s="956"/>
      <c r="E13" s="432"/>
      <c r="F13" s="432"/>
      <c r="G13" s="432"/>
      <c r="H13" s="432"/>
      <c r="I13" s="432"/>
      <c r="J13" s="431"/>
      <c r="L13" s="394"/>
    </row>
    <row r="14" spans="1:13" s="77" customFormat="1" ht="47.25" hidden="1">
      <c r="A14" s="426"/>
      <c r="B14" s="433" t="s">
        <v>407</v>
      </c>
      <c r="C14" s="432">
        <f t="shared" si="0"/>
        <v>0</v>
      </c>
      <c r="D14" s="956"/>
      <c r="E14" s="432"/>
      <c r="F14" s="432"/>
      <c r="G14" s="432"/>
      <c r="H14" s="432"/>
      <c r="I14" s="432"/>
      <c r="J14" s="431"/>
      <c r="L14" s="394"/>
    </row>
    <row r="15" spans="1:13" s="95" customFormat="1">
      <c r="A15" s="426">
        <v>2</v>
      </c>
      <c r="B15" s="429" t="s">
        <v>529</v>
      </c>
      <c r="C15" s="430">
        <f t="shared" si="0"/>
        <v>1600</v>
      </c>
      <c r="D15" s="955"/>
      <c r="E15" s="430"/>
      <c r="F15" s="430"/>
      <c r="G15" s="430">
        <v>1600</v>
      </c>
      <c r="H15" s="430"/>
      <c r="I15" s="430"/>
      <c r="J15" s="421"/>
      <c r="K15" s="95" t="s">
        <v>408</v>
      </c>
      <c r="L15" s="395"/>
    </row>
    <row r="16" spans="1:13" s="77" customFormat="1">
      <c r="A16" s="426">
        <v>3</v>
      </c>
      <c r="B16" s="434" t="s">
        <v>1064</v>
      </c>
      <c r="C16" s="955">
        <f t="shared" si="0"/>
        <v>-7380.8553000000102</v>
      </c>
      <c r="D16" s="955">
        <f>D10-D11</f>
        <v>-7380.8553000000102</v>
      </c>
      <c r="E16" s="435"/>
      <c r="F16" s="435"/>
      <c r="G16" s="430"/>
      <c r="H16" s="430"/>
      <c r="I16" s="430"/>
      <c r="J16" s="421"/>
      <c r="K16" s="77" t="s">
        <v>1063</v>
      </c>
      <c r="L16" s="76">
        <f>+'TH CHI_62_342_51_52_53_31'!I46+'TH CHI_62_342_51_52_53_31'!L46</f>
        <v>942135.94276299991</v>
      </c>
    </row>
    <row r="17" spans="1:12" s="77" customFormat="1" ht="31.5" hidden="1">
      <c r="A17" s="426">
        <v>4</v>
      </c>
      <c r="B17" s="434" t="s">
        <v>534</v>
      </c>
      <c r="C17" s="430">
        <f t="shared" ref="C17:C20" si="1">+D17+G17</f>
        <v>0</v>
      </c>
      <c r="D17" s="435"/>
      <c r="E17" s="435"/>
      <c r="F17" s="435"/>
      <c r="G17" s="430">
        <v>0</v>
      </c>
      <c r="H17" s="430"/>
      <c r="I17" s="430"/>
      <c r="J17" s="421"/>
    </row>
    <row r="18" spans="1:12" s="77" customFormat="1">
      <c r="A18" s="426">
        <v>4</v>
      </c>
      <c r="B18" s="429" t="s">
        <v>530</v>
      </c>
      <c r="C18" s="430">
        <f t="shared" si="1"/>
        <v>0</v>
      </c>
      <c r="D18" s="430"/>
      <c r="E18" s="430"/>
      <c r="F18" s="430"/>
      <c r="G18" s="430"/>
      <c r="H18" s="430"/>
      <c r="I18" s="430"/>
      <c r="J18" s="421"/>
    </row>
    <row r="19" spans="1:12" s="77" customFormat="1">
      <c r="A19" s="426"/>
      <c r="B19" s="436" t="s">
        <v>409</v>
      </c>
      <c r="C19" s="430">
        <f t="shared" si="1"/>
        <v>0</v>
      </c>
      <c r="D19" s="430"/>
      <c r="E19" s="430"/>
      <c r="F19" s="430"/>
      <c r="G19" s="430"/>
      <c r="H19" s="430"/>
      <c r="I19" s="430"/>
      <c r="J19" s="421"/>
      <c r="L19" s="76">
        <f>+D10/4</f>
        <v>-33580.858825000003</v>
      </c>
    </row>
    <row r="20" spans="1:12" s="77" customFormat="1">
      <c r="A20" s="426"/>
      <c r="B20" s="436" t="s">
        <v>1065</v>
      </c>
      <c r="C20" s="430">
        <f t="shared" si="1"/>
        <v>0</v>
      </c>
      <c r="D20" s="430"/>
      <c r="E20" s="430"/>
      <c r="F20" s="430"/>
      <c r="G20" s="430"/>
      <c r="H20" s="430"/>
      <c r="I20" s="430"/>
      <c r="J20" s="421"/>
    </row>
    <row r="21" spans="1:12" s="77" customFormat="1">
      <c r="A21" s="426">
        <v>5</v>
      </c>
      <c r="B21" s="429" t="s">
        <v>1066</v>
      </c>
      <c r="C21" s="430">
        <f>+D21+G21</f>
        <v>1500</v>
      </c>
      <c r="D21" s="430"/>
      <c r="E21" s="430"/>
      <c r="F21" s="430"/>
      <c r="G21" s="430">
        <v>1500</v>
      </c>
      <c r="H21" s="430"/>
      <c r="I21" s="430"/>
      <c r="J21" s="437"/>
      <c r="L21" s="76">
        <f>+D10-L19</f>
        <v>-100742.57647500001</v>
      </c>
    </row>
    <row r="22" spans="1:12" s="77" customFormat="1">
      <c r="B22" s="396"/>
      <c r="C22" s="397"/>
      <c r="D22" s="397"/>
      <c r="E22" s="397"/>
      <c r="F22" s="397"/>
      <c r="G22" s="397"/>
      <c r="H22" s="397"/>
      <c r="I22" s="397"/>
      <c r="J22" s="398"/>
    </row>
    <row r="23" spans="1:12">
      <c r="D23" s="340"/>
      <c r="E23" s="340"/>
      <c r="F23" s="340"/>
    </row>
    <row r="24" spans="1:12" ht="16.5">
      <c r="G24" s="1823" t="s">
        <v>1046</v>
      </c>
      <c r="H24" s="1823"/>
      <c r="I24" s="1823"/>
      <c r="J24" s="1823"/>
    </row>
    <row r="25" spans="1:12" s="95" customFormat="1">
      <c r="B25" s="93" t="s">
        <v>2715</v>
      </c>
      <c r="C25" s="93"/>
      <c r="G25" s="1824" t="s">
        <v>356</v>
      </c>
      <c r="H25" s="1824"/>
      <c r="I25" s="1824"/>
      <c r="J25" s="1824"/>
    </row>
  </sheetData>
  <sheetProtection selectLockedCells="1" selectUnlockedCells="1"/>
  <mergeCells count="7">
    <mergeCell ref="A7:A8"/>
    <mergeCell ref="G24:J24"/>
    <mergeCell ref="G25:J25"/>
    <mergeCell ref="B4:J4"/>
    <mergeCell ref="B7:B8"/>
    <mergeCell ref="C7:C8"/>
    <mergeCell ref="D7:G7"/>
  </mergeCells>
  <phoneticPr fontId="160" type="noConversion"/>
  <pageMargins left="0.75" right="0.5" top="0.5" bottom="0.25" header="0" footer="0"/>
  <pageSetup paperSize="9" firstPageNumber="0" orientation="landscape" r:id="rId1"/>
  <headerFooter alignWithMargins="0"/>
  <drawing r:id="rId2"/>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77"/>
  <sheetViews>
    <sheetView showWhiteSpace="0" zoomScaleNormal="100" workbookViewId="0">
      <selection activeCell="L10" sqref="L10"/>
    </sheetView>
  </sheetViews>
  <sheetFormatPr defaultRowHeight="15"/>
  <cols>
    <col min="1" max="1" width="6.42578125" style="934" customWidth="1"/>
    <col min="2" max="2" width="44.42578125" style="934" customWidth="1"/>
    <col min="3" max="3" width="12.7109375" style="934" customWidth="1"/>
    <col min="4" max="4" width="14.28515625" style="934" customWidth="1"/>
    <col min="5" max="5" width="12.85546875" style="934" customWidth="1"/>
    <col min="6" max="6" width="13.5703125" style="934" customWidth="1"/>
    <col min="7" max="7" width="11.28515625" style="934" customWidth="1"/>
    <col min="8" max="8" width="14.28515625" style="934" customWidth="1"/>
    <col min="9" max="9" width="11.28515625" style="934" customWidth="1"/>
    <col min="10" max="10" width="9.140625" style="934"/>
    <col min="11" max="11" width="13.85546875" style="934" bestFit="1" customWidth="1"/>
    <col min="12" max="16384" width="9.140625" style="934"/>
  </cols>
  <sheetData>
    <row r="1" spans="1:11" ht="23.25" customHeight="1">
      <c r="A1" s="1830" t="s">
        <v>95</v>
      </c>
      <c r="B1" s="1830"/>
      <c r="C1" s="933"/>
      <c r="D1" s="933"/>
      <c r="E1" s="933"/>
      <c r="F1" s="933"/>
      <c r="G1" s="933"/>
      <c r="H1" s="1831" t="s">
        <v>502</v>
      </c>
      <c r="I1" s="1831"/>
    </row>
    <row r="2" spans="1:11" ht="15.75">
      <c r="A2" s="933"/>
      <c r="B2" s="933"/>
      <c r="C2" s="933"/>
      <c r="D2" s="933"/>
      <c r="E2" s="933"/>
      <c r="F2" s="933"/>
      <c r="G2" s="933"/>
      <c r="H2" s="933"/>
      <c r="I2" s="933"/>
    </row>
    <row r="3" spans="1:11" ht="24" customHeight="1">
      <c r="A3" s="1832" t="s">
        <v>2725</v>
      </c>
      <c r="B3" s="1832"/>
      <c r="C3" s="1832"/>
      <c r="D3" s="1832"/>
      <c r="E3" s="1832"/>
      <c r="F3" s="1832"/>
      <c r="G3" s="1832"/>
      <c r="H3" s="1832"/>
      <c r="I3" s="1832"/>
    </row>
    <row r="4" spans="1:11" ht="15.75">
      <c r="A4" s="933"/>
      <c r="B4" s="933"/>
      <c r="C4" s="933"/>
      <c r="D4" s="933"/>
      <c r="E4" s="933"/>
      <c r="F4" s="933"/>
      <c r="G4" s="933"/>
      <c r="H4" s="933"/>
      <c r="I4" s="933"/>
    </row>
    <row r="5" spans="1:11" ht="15.75">
      <c r="A5" s="933"/>
      <c r="B5" s="933"/>
      <c r="C5" s="933"/>
      <c r="D5" s="935"/>
      <c r="E5" s="933"/>
      <c r="F5" s="933"/>
      <c r="G5" s="933"/>
      <c r="H5" s="1833" t="s">
        <v>24</v>
      </c>
      <c r="I5" s="1833"/>
    </row>
    <row r="6" spans="1:11" ht="18.75" customHeight="1">
      <c r="A6" s="1834" t="s">
        <v>45</v>
      </c>
      <c r="B6" s="1834" t="s">
        <v>355</v>
      </c>
      <c r="C6" s="1835" t="s">
        <v>503</v>
      </c>
      <c r="D6" s="1835"/>
      <c r="E6" s="1835" t="s">
        <v>2726</v>
      </c>
      <c r="F6" s="1835"/>
      <c r="G6" s="1835" t="s">
        <v>504</v>
      </c>
      <c r="H6" s="1835"/>
      <c r="I6" s="1834" t="s">
        <v>125</v>
      </c>
    </row>
    <row r="7" spans="1:11" ht="21" customHeight="1">
      <c r="A7" s="1834"/>
      <c r="B7" s="1834"/>
      <c r="C7" s="936" t="s">
        <v>505</v>
      </c>
      <c r="D7" s="936" t="s">
        <v>506</v>
      </c>
      <c r="E7" s="936" t="s">
        <v>505</v>
      </c>
      <c r="F7" s="936" t="s">
        <v>506</v>
      </c>
      <c r="G7" s="936" t="s">
        <v>505</v>
      </c>
      <c r="H7" s="936" t="s">
        <v>506</v>
      </c>
      <c r="I7" s="1834"/>
    </row>
    <row r="8" spans="1:11" ht="31.5">
      <c r="A8" s="936" t="s">
        <v>108</v>
      </c>
      <c r="B8" s="937" t="s">
        <v>507</v>
      </c>
      <c r="C8" s="957">
        <f>+C10+C20</f>
        <v>516600.26981799997</v>
      </c>
      <c r="D8" s="939">
        <f>D9+D14+D19+D56</f>
        <v>112209.983469</v>
      </c>
      <c r="E8" s="939">
        <f>+E9+E19</f>
        <v>86178.907864000008</v>
      </c>
      <c r="F8" s="939">
        <f>F9+F14+F19+F56</f>
        <v>75765.747871999993</v>
      </c>
      <c r="G8" s="939">
        <f>+G9+G19</f>
        <v>430421.36195399996</v>
      </c>
      <c r="H8" s="939">
        <f>H9+H14+H19+H56</f>
        <v>36444.235597000006</v>
      </c>
      <c r="I8" s="940"/>
      <c r="J8" s="941"/>
      <c r="K8" s="941"/>
    </row>
    <row r="9" spans="1:11" ht="15.75">
      <c r="A9" s="936">
        <v>1</v>
      </c>
      <c r="B9" s="942" t="s">
        <v>508</v>
      </c>
      <c r="C9" s="939">
        <f>+C10</f>
        <v>439093.38815899997</v>
      </c>
      <c r="D9" s="939">
        <f>D11+D12</f>
        <v>71535.733997999996</v>
      </c>
      <c r="E9" s="939">
        <f>+E10</f>
        <v>70962.550545999999</v>
      </c>
      <c r="F9" s="939">
        <f>F11+F12</f>
        <v>44094.823445000002</v>
      </c>
      <c r="G9" s="939">
        <f>+G10</f>
        <v>368130.83761299995</v>
      </c>
      <c r="H9" s="939">
        <f>H11+H12</f>
        <v>27440.910553000002</v>
      </c>
      <c r="I9" s="942"/>
    </row>
    <row r="10" spans="1:11" s="950" customFormat="1" ht="15.75">
      <c r="A10" s="945" t="s">
        <v>743</v>
      </c>
      <c r="B10" s="946" t="s">
        <v>2727</v>
      </c>
      <c r="C10" s="947">
        <v>439093.38815899997</v>
      </c>
      <c r="D10" s="948"/>
      <c r="E10" s="947">
        <v>70962.550545999999</v>
      </c>
      <c r="F10" s="948"/>
      <c r="G10" s="947">
        <f>+C10-E10</f>
        <v>368130.83761299995</v>
      </c>
      <c r="H10" s="948"/>
      <c r="I10" s="949"/>
    </row>
    <row r="11" spans="1:11" s="950" customFormat="1" ht="15.75">
      <c r="A11" s="945" t="s">
        <v>745</v>
      </c>
      <c r="B11" s="946" t="s">
        <v>509</v>
      </c>
      <c r="C11" s="947"/>
      <c r="D11" s="947">
        <f>71456.705388</f>
        <v>71456.705388000002</v>
      </c>
      <c r="E11" s="947"/>
      <c r="F11" s="947">
        <f>44074.823445+20</f>
        <v>44094.823445000002</v>
      </c>
      <c r="G11" s="947"/>
      <c r="H11" s="947">
        <f>D11-F11</f>
        <v>27361.881943</v>
      </c>
      <c r="I11" s="946"/>
    </row>
    <row r="12" spans="1:11" s="950" customFormat="1" ht="15.75">
      <c r="A12" s="945" t="s">
        <v>746</v>
      </c>
      <c r="B12" s="946" t="s">
        <v>510</v>
      </c>
      <c r="C12" s="947"/>
      <c r="D12" s="947">
        <v>79.02861</v>
      </c>
      <c r="E12" s="947"/>
      <c r="F12" s="947">
        <v>0</v>
      </c>
      <c r="G12" s="947"/>
      <c r="H12" s="947">
        <f>D12-F12</f>
        <v>79.02861</v>
      </c>
      <c r="I12" s="946"/>
    </row>
    <row r="13" spans="1:11" s="950" customFormat="1" ht="15.75" hidden="1">
      <c r="A13" s="945"/>
      <c r="B13" s="946"/>
      <c r="C13" s="947"/>
      <c r="D13" s="947"/>
      <c r="E13" s="947"/>
      <c r="F13" s="947"/>
      <c r="G13" s="947"/>
      <c r="H13" s="947"/>
      <c r="I13" s="946"/>
    </row>
    <row r="14" spans="1:11" s="950" customFormat="1" ht="15.75">
      <c r="A14" s="951">
        <v>2</v>
      </c>
      <c r="B14" s="949" t="s">
        <v>511</v>
      </c>
      <c r="C14" s="948"/>
      <c r="D14" s="948">
        <f>D15+D16+D17+D18</f>
        <v>7479.174403</v>
      </c>
      <c r="E14" s="948"/>
      <c r="F14" s="948">
        <f>F15+F16+F17</f>
        <v>1867.8132860000001</v>
      </c>
      <c r="G14" s="948"/>
      <c r="H14" s="948">
        <f>H15+H16+H17+H18</f>
        <v>5611.3611170000004</v>
      </c>
      <c r="I14" s="946"/>
      <c r="K14" s="952"/>
    </row>
    <row r="15" spans="1:11" s="950" customFormat="1" ht="15.75">
      <c r="A15" s="945" t="s">
        <v>743</v>
      </c>
      <c r="B15" s="946" t="s">
        <v>509</v>
      </c>
      <c r="C15" s="947"/>
      <c r="D15" s="947">
        <v>382.53500000000003</v>
      </c>
      <c r="E15" s="947"/>
      <c r="F15" s="947">
        <v>382.53500000000003</v>
      </c>
      <c r="G15" s="947"/>
      <c r="H15" s="947">
        <f>D15-F15</f>
        <v>0</v>
      </c>
      <c r="I15" s="946"/>
    </row>
    <row r="16" spans="1:11" s="950" customFormat="1" ht="15" customHeight="1">
      <c r="A16" s="945" t="s">
        <v>745</v>
      </c>
      <c r="B16" s="946" t="s">
        <v>512</v>
      </c>
      <c r="C16" s="947"/>
      <c r="D16" s="947">
        <v>676.79105000000004</v>
      </c>
      <c r="E16" s="947"/>
      <c r="F16" s="947">
        <v>676.79105000000004</v>
      </c>
      <c r="G16" s="947"/>
      <c r="H16" s="947">
        <f>D16-F16</f>
        <v>0</v>
      </c>
      <c r="I16" s="946"/>
    </row>
    <row r="17" spans="1:11" s="950" customFormat="1" ht="15.75">
      <c r="A17" s="945" t="s">
        <v>746</v>
      </c>
      <c r="B17" s="946" t="s">
        <v>513</v>
      </c>
      <c r="C17" s="947"/>
      <c r="D17" s="947">
        <v>825.37427300000002</v>
      </c>
      <c r="E17" s="947"/>
      <c r="F17" s="947">
        <v>808.48723600000005</v>
      </c>
      <c r="G17" s="947"/>
      <c r="H17" s="947">
        <f>D17-F17</f>
        <v>16.887036999999964</v>
      </c>
      <c r="I17" s="946"/>
      <c r="K17" s="952"/>
    </row>
    <row r="18" spans="1:11" s="950" customFormat="1" ht="15.75">
      <c r="A18" s="945" t="s">
        <v>2728</v>
      </c>
      <c r="B18" s="946" t="s">
        <v>514</v>
      </c>
      <c r="C18" s="947"/>
      <c r="D18" s="947">
        <v>5594.47408</v>
      </c>
      <c r="E18" s="947"/>
      <c r="F18" s="947"/>
      <c r="G18" s="947"/>
      <c r="H18" s="947">
        <f>D18-F18</f>
        <v>5594.47408</v>
      </c>
      <c r="I18" s="946"/>
    </row>
    <row r="19" spans="1:11" ht="15.75">
      <c r="A19" s="936">
        <v>3</v>
      </c>
      <c r="B19" s="942" t="s">
        <v>515</v>
      </c>
      <c r="C19" s="939">
        <f>+C20</f>
        <v>77506.881659000006</v>
      </c>
      <c r="D19" s="939">
        <f>D27+D34+D41+D44+D47+D52</f>
        <v>27984.788558</v>
      </c>
      <c r="E19" s="939">
        <f>+E20</f>
        <v>15216.357318000002</v>
      </c>
      <c r="F19" s="939">
        <f>F27+F34+F41+F44+F47+F52</f>
        <v>25284.361860999998</v>
      </c>
      <c r="G19" s="939">
        <f>+G20</f>
        <v>62290.524340999997</v>
      </c>
      <c r="H19" s="939">
        <f>H27+H34+H41+H44+H47+H52</f>
        <v>2700.4266970000003</v>
      </c>
      <c r="I19" s="938"/>
      <c r="K19" s="941"/>
    </row>
    <row r="20" spans="1:11" ht="15.75">
      <c r="A20" s="936" t="s">
        <v>298</v>
      </c>
      <c r="B20" s="942" t="s">
        <v>2727</v>
      </c>
      <c r="C20" s="938">
        <f>+C21+C24</f>
        <v>77506.881659000006</v>
      </c>
      <c r="D20" s="939"/>
      <c r="E20" s="938">
        <f>+E21+E24</f>
        <v>15216.357318000002</v>
      </c>
      <c r="F20" s="939"/>
      <c r="G20" s="938">
        <f>+G21+G24</f>
        <v>62290.524340999997</v>
      </c>
      <c r="H20" s="939"/>
      <c r="I20" s="938"/>
      <c r="K20" s="941"/>
    </row>
    <row r="21" spans="1:11" ht="15.75">
      <c r="A21" s="943" t="s">
        <v>743</v>
      </c>
      <c r="B21" s="940" t="s">
        <v>516</v>
      </c>
      <c r="C21" s="938">
        <f>+C22+C23</f>
        <v>60328.752559</v>
      </c>
      <c r="D21" s="939"/>
      <c r="E21" s="938">
        <f>+E22+E23</f>
        <v>6640.9051260000006</v>
      </c>
      <c r="F21" s="939"/>
      <c r="G21" s="938">
        <f>+G22+G23</f>
        <v>53687.847433000003</v>
      </c>
      <c r="H21" s="939"/>
      <c r="I21" s="938"/>
      <c r="K21" s="941"/>
    </row>
    <row r="22" spans="1:11" ht="15.75">
      <c r="A22" s="943"/>
      <c r="B22" s="940" t="s">
        <v>2729</v>
      </c>
      <c r="C22" s="938">
        <v>60328.752559</v>
      </c>
      <c r="D22" s="939"/>
      <c r="E22" s="938">
        <v>6640.9051260000006</v>
      </c>
      <c r="F22" s="939"/>
      <c r="G22" s="938">
        <f>+C22-E22</f>
        <v>53687.847433000003</v>
      </c>
      <c r="H22" s="939"/>
      <c r="I22" s="938"/>
      <c r="K22" s="941"/>
    </row>
    <row r="23" spans="1:11" ht="15.75">
      <c r="A23" s="943"/>
      <c r="B23" s="944" t="s">
        <v>2730</v>
      </c>
      <c r="C23" s="938"/>
      <c r="D23" s="939"/>
      <c r="E23" s="938"/>
      <c r="F23" s="939"/>
      <c r="G23" s="939"/>
      <c r="H23" s="939"/>
      <c r="I23" s="938"/>
      <c r="K23" s="941"/>
    </row>
    <row r="24" spans="1:11" ht="15.75">
      <c r="A24" s="943" t="s">
        <v>745</v>
      </c>
      <c r="B24" s="940" t="s">
        <v>517</v>
      </c>
      <c r="C24" s="938">
        <f>+C25+C26</f>
        <v>17178.129099999998</v>
      </c>
      <c r="D24" s="939"/>
      <c r="E24" s="938">
        <f>+E25+E26</f>
        <v>8575.4521920000007</v>
      </c>
      <c r="F24" s="939"/>
      <c r="G24" s="938">
        <f>+G25+G26</f>
        <v>8602.6769079999976</v>
      </c>
      <c r="H24" s="939"/>
      <c r="I24" s="938"/>
      <c r="K24" s="941"/>
    </row>
    <row r="25" spans="1:11" ht="15.75">
      <c r="A25" s="943"/>
      <c r="B25" s="940" t="s">
        <v>2729</v>
      </c>
      <c r="C25" s="938">
        <v>17178.129099999998</v>
      </c>
      <c r="D25" s="939"/>
      <c r="E25" s="938">
        <v>8575.4521920000007</v>
      </c>
      <c r="F25" s="939"/>
      <c r="G25" s="938">
        <f>+C25-E25</f>
        <v>8602.6769079999976</v>
      </c>
      <c r="H25" s="939"/>
      <c r="I25" s="938"/>
      <c r="K25" s="941"/>
    </row>
    <row r="26" spans="1:11" ht="15.75">
      <c r="A26" s="943"/>
      <c r="B26" s="940" t="s">
        <v>2730</v>
      </c>
      <c r="C26" s="938"/>
      <c r="D26" s="939"/>
      <c r="E26" s="938"/>
      <c r="F26" s="939"/>
      <c r="G26" s="939"/>
      <c r="H26" s="939"/>
      <c r="I26" s="938"/>
      <c r="K26" s="941"/>
    </row>
    <row r="27" spans="1:11" ht="15.75">
      <c r="A27" s="936" t="s">
        <v>300</v>
      </c>
      <c r="B27" s="942" t="s">
        <v>509</v>
      </c>
      <c r="C27" s="939"/>
      <c r="D27" s="939">
        <f>D28+D31</f>
        <v>24446.619082999998</v>
      </c>
      <c r="E27" s="939"/>
      <c r="F27" s="939">
        <f>F28+F31</f>
        <v>24446.619082999998</v>
      </c>
      <c r="G27" s="939"/>
      <c r="H27" s="939">
        <f>H28+H31</f>
        <v>0</v>
      </c>
      <c r="I27" s="942"/>
      <c r="K27" s="941"/>
    </row>
    <row r="28" spans="1:11" ht="15.75">
      <c r="A28" s="943" t="s">
        <v>743</v>
      </c>
      <c r="B28" s="940" t="s">
        <v>516</v>
      </c>
      <c r="C28" s="938"/>
      <c r="D28" s="938">
        <f>D29+D30</f>
        <v>5500.1571089999998</v>
      </c>
      <c r="E28" s="938"/>
      <c r="F28" s="938">
        <f>F29+F30</f>
        <v>5500.1571089999998</v>
      </c>
      <c r="G28" s="938"/>
      <c r="H28" s="938">
        <f>H29+H30</f>
        <v>0</v>
      </c>
      <c r="I28" s="940"/>
    </row>
    <row r="29" spans="1:11" ht="15.75">
      <c r="A29" s="943"/>
      <c r="B29" s="940" t="s">
        <v>2729</v>
      </c>
      <c r="C29" s="938"/>
      <c r="D29" s="938">
        <v>5040.7841090000002</v>
      </c>
      <c r="E29" s="938"/>
      <c r="F29" s="938">
        <f>3596.616719+1444.16739</f>
        <v>5040.7841090000002</v>
      </c>
      <c r="G29" s="938"/>
      <c r="H29" s="938">
        <f>D29-F29</f>
        <v>0</v>
      </c>
      <c r="I29" s="940"/>
    </row>
    <row r="30" spans="1:11" ht="15.75">
      <c r="A30" s="943"/>
      <c r="B30" s="944" t="s">
        <v>2730</v>
      </c>
      <c r="C30" s="938"/>
      <c r="D30" s="938">
        <v>459.37299999999999</v>
      </c>
      <c r="E30" s="938"/>
      <c r="F30" s="938">
        <f>D30</f>
        <v>459.37299999999999</v>
      </c>
      <c r="G30" s="938"/>
      <c r="H30" s="938">
        <f>D30-F30</f>
        <v>0</v>
      </c>
      <c r="I30" s="940"/>
    </row>
    <row r="31" spans="1:11" ht="15.75">
      <c r="A31" s="943" t="s">
        <v>745</v>
      </c>
      <c r="B31" s="940" t="s">
        <v>517</v>
      </c>
      <c r="C31" s="938"/>
      <c r="D31" s="938">
        <f>D32+D33</f>
        <v>18946.461973999998</v>
      </c>
      <c r="E31" s="938"/>
      <c r="F31" s="938">
        <f>F32+F33</f>
        <v>18946.461973999998</v>
      </c>
      <c r="G31" s="938"/>
      <c r="H31" s="938">
        <f>H32+H33</f>
        <v>0</v>
      </c>
      <c r="I31" s="940"/>
    </row>
    <row r="32" spans="1:11" ht="15.75">
      <c r="A32" s="943"/>
      <c r="B32" s="940" t="s">
        <v>2729</v>
      </c>
      <c r="C32" s="938"/>
      <c r="D32" s="938">
        <f>4486.989607+5748.909367</f>
        <v>10235.898974</v>
      </c>
      <c r="E32" s="938"/>
      <c r="F32" s="938">
        <f>2725.699226+5211.661958+2298.53779</f>
        <v>10235.898974</v>
      </c>
      <c r="G32" s="938"/>
      <c r="H32" s="938">
        <f>D32-F32</f>
        <v>0</v>
      </c>
      <c r="I32" s="940"/>
    </row>
    <row r="33" spans="1:11" ht="15.75">
      <c r="A33" s="943"/>
      <c r="B33" s="940" t="s">
        <v>2730</v>
      </c>
      <c r="C33" s="938"/>
      <c r="D33" s="938">
        <v>8710.5630000000001</v>
      </c>
      <c r="E33" s="938"/>
      <c r="F33" s="938">
        <f>+D33</f>
        <v>8710.5630000000001</v>
      </c>
      <c r="G33" s="938"/>
      <c r="H33" s="938">
        <f>D33-F33</f>
        <v>0</v>
      </c>
      <c r="I33" s="940"/>
    </row>
    <row r="34" spans="1:11" ht="15.75">
      <c r="A34" s="936" t="s">
        <v>302</v>
      </c>
      <c r="B34" s="942" t="s">
        <v>512</v>
      </c>
      <c r="C34" s="939"/>
      <c r="D34" s="939">
        <f>D35+D38</f>
        <v>710.25847199999998</v>
      </c>
      <c r="E34" s="939"/>
      <c r="F34" s="939">
        <f>F35+F38</f>
        <v>479.59447499999999</v>
      </c>
      <c r="G34" s="939"/>
      <c r="H34" s="939">
        <f>D34-F34</f>
        <v>230.66399699999999</v>
      </c>
      <c r="I34" s="942"/>
    </row>
    <row r="35" spans="1:11" ht="15.75">
      <c r="A35" s="943" t="s">
        <v>743</v>
      </c>
      <c r="B35" s="940" t="s">
        <v>516</v>
      </c>
      <c r="C35" s="938"/>
      <c r="D35" s="938">
        <f>D36+D37</f>
        <v>668.72833000000003</v>
      </c>
      <c r="E35" s="938"/>
      <c r="F35" s="938">
        <f>F36+F37</f>
        <v>438.06433299999998</v>
      </c>
      <c r="G35" s="938"/>
      <c r="H35" s="938">
        <f>H36+H37</f>
        <v>230.66399700000005</v>
      </c>
      <c r="I35" s="940"/>
    </row>
    <row r="36" spans="1:11" ht="15.75">
      <c r="A36" s="943"/>
      <c r="B36" s="940" t="s">
        <v>2729</v>
      </c>
      <c r="C36" s="938"/>
      <c r="D36" s="938">
        <v>668.72833000000003</v>
      </c>
      <c r="E36" s="938"/>
      <c r="F36" s="938">
        <v>438.06433299999998</v>
      </c>
      <c r="G36" s="938"/>
      <c r="H36" s="938">
        <f>D36-F36</f>
        <v>230.66399700000005</v>
      </c>
      <c r="I36" s="940"/>
    </row>
    <row r="37" spans="1:11" ht="15.75">
      <c r="A37" s="943"/>
      <c r="B37" s="940" t="s">
        <v>2730</v>
      </c>
      <c r="C37" s="938"/>
      <c r="D37" s="938"/>
      <c r="E37" s="938"/>
      <c r="F37" s="938"/>
      <c r="G37" s="938"/>
      <c r="H37" s="938"/>
      <c r="I37" s="940"/>
    </row>
    <row r="38" spans="1:11" ht="15.75">
      <c r="A38" s="943" t="s">
        <v>745</v>
      </c>
      <c r="B38" s="940" t="s">
        <v>517</v>
      </c>
      <c r="C38" s="938"/>
      <c r="D38" s="938">
        <f>D39+D40</f>
        <v>41.530141999999998</v>
      </c>
      <c r="E38" s="938"/>
      <c r="F38" s="938">
        <f>F39+F40</f>
        <v>41.530141999999998</v>
      </c>
      <c r="G38" s="938"/>
      <c r="H38" s="938">
        <f>H39+H40</f>
        <v>0</v>
      </c>
      <c r="I38" s="940"/>
    </row>
    <row r="39" spans="1:11" ht="15.75">
      <c r="A39" s="943"/>
      <c r="B39" s="940" t="s">
        <v>2729</v>
      </c>
      <c r="C39" s="938"/>
      <c r="D39" s="938">
        <v>41.530141999999998</v>
      </c>
      <c r="E39" s="938"/>
      <c r="F39" s="938">
        <f>+D39</f>
        <v>41.530141999999998</v>
      </c>
      <c r="G39" s="938"/>
      <c r="H39" s="938">
        <f>D39-F39</f>
        <v>0</v>
      </c>
      <c r="I39" s="940"/>
    </row>
    <row r="40" spans="1:11" ht="15.75">
      <c r="A40" s="943"/>
      <c r="B40" s="940" t="s">
        <v>2730</v>
      </c>
      <c r="C40" s="938"/>
      <c r="D40" s="938"/>
      <c r="E40" s="938"/>
      <c r="F40" s="938"/>
      <c r="G40" s="938"/>
      <c r="H40" s="938"/>
      <c r="I40" s="940"/>
    </row>
    <row r="41" spans="1:11" s="950" customFormat="1" ht="15.75">
      <c r="A41" s="951" t="s">
        <v>518</v>
      </c>
      <c r="B41" s="949" t="s">
        <v>513</v>
      </c>
      <c r="C41" s="948"/>
      <c r="D41" s="948">
        <f>D42</f>
        <v>88.353584999999995</v>
      </c>
      <c r="E41" s="948"/>
      <c r="F41" s="948"/>
      <c r="G41" s="948"/>
      <c r="H41" s="948">
        <f>H42</f>
        <v>88.353584999999995</v>
      </c>
      <c r="I41" s="949"/>
    </row>
    <row r="42" spans="1:11" s="950" customFormat="1" ht="15.75">
      <c r="A42" s="945" t="s">
        <v>743</v>
      </c>
      <c r="B42" s="946" t="s">
        <v>516</v>
      </c>
      <c r="C42" s="947"/>
      <c r="D42" s="947">
        <f>D43</f>
        <v>88.353584999999995</v>
      </c>
      <c r="E42" s="947"/>
      <c r="F42" s="947"/>
      <c r="G42" s="947"/>
      <c r="H42" s="947">
        <f>H43</f>
        <v>88.353584999999995</v>
      </c>
      <c r="I42" s="946"/>
    </row>
    <row r="43" spans="1:11" s="950" customFormat="1" ht="15.75">
      <c r="A43" s="945"/>
      <c r="B43" s="946" t="s">
        <v>2729</v>
      </c>
      <c r="C43" s="947"/>
      <c r="D43" s="947">
        <v>88.353584999999995</v>
      </c>
      <c r="E43" s="947"/>
      <c r="F43" s="947"/>
      <c r="G43" s="947"/>
      <c r="H43" s="947">
        <f>D43-F43</f>
        <v>88.353584999999995</v>
      </c>
      <c r="I43" s="946"/>
    </row>
    <row r="44" spans="1:11" s="950" customFormat="1" ht="15.75">
      <c r="A44" s="951" t="s">
        <v>518</v>
      </c>
      <c r="B44" s="949" t="s">
        <v>519</v>
      </c>
      <c r="C44" s="947"/>
      <c r="D44" s="948">
        <f>D45</f>
        <v>560.39699800000005</v>
      </c>
      <c r="E44" s="948"/>
      <c r="F44" s="948">
        <f>0</f>
        <v>0</v>
      </c>
      <c r="G44" s="948"/>
      <c r="H44" s="948">
        <f>D44-F44</f>
        <v>560.39699800000005</v>
      </c>
      <c r="I44" s="946"/>
    </row>
    <row r="45" spans="1:11" s="950" customFormat="1" ht="15.75">
      <c r="A45" s="945" t="s">
        <v>743</v>
      </c>
      <c r="B45" s="946" t="s">
        <v>516</v>
      </c>
      <c r="C45" s="947"/>
      <c r="D45" s="947">
        <f>D46</f>
        <v>560.39699800000005</v>
      </c>
      <c r="E45" s="947"/>
      <c r="F45" s="947"/>
      <c r="G45" s="947"/>
      <c r="H45" s="947">
        <f>H46</f>
        <v>560.39699800000005</v>
      </c>
      <c r="I45" s="946"/>
    </row>
    <row r="46" spans="1:11" s="950" customFormat="1" ht="15.75">
      <c r="A46" s="945"/>
      <c r="B46" s="946" t="s">
        <v>2729</v>
      </c>
      <c r="C46" s="947"/>
      <c r="D46" s="947">
        <v>560.39699800000005</v>
      </c>
      <c r="E46" s="947"/>
      <c r="F46" s="947"/>
      <c r="G46" s="947"/>
      <c r="H46" s="947">
        <f>D46-F46</f>
        <v>560.39699800000005</v>
      </c>
      <c r="I46" s="946"/>
    </row>
    <row r="47" spans="1:11" s="950" customFormat="1" ht="15.75">
      <c r="A47" s="951" t="s">
        <v>520</v>
      </c>
      <c r="B47" s="949" t="s">
        <v>514</v>
      </c>
      <c r="C47" s="948"/>
      <c r="D47" s="948">
        <f>D48+D50</f>
        <v>1748.555889</v>
      </c>
      <c r="E47" s="948"/>
      <c r="F47" s="948">
        <f>F48+F50</f>
        <v>51.244309999999999</v>
      </c>
      <c r="G47" s="948"/>
      <c r="H47" s="948">
        <f>H48+H50</f>
        <v>1697.3115790000002</v>
      </c>
      <c r="I47" s="949"/>
      <c r="K47" s="952"/>
    </row>
    <row r="48" spans="1:11" s="950" customFormat="1" ht="15.75">
      <c r="A48" s="945" t="s">
        <v>743</v>
      </c>
      <c r="B48" s="946" t="s">
        <v>516</v>
      </c>
      <c r="C48" s="947"/>
      <c r="D48" s="947">
        <f>D49</f>
        <v>1457.3738980000001</v>
      </c>
      <c r="E48" s="947"/>
      <c r="F48" s="947">
        <f>F49</f>
        <v>0</v>
      </c>
      <c r="G48" s="947"/>
      <c r="H48" s="947">
        <f>D48-F48</f>
        <v>1457.3738980000001</v>
      </c>
      <c r="I48" s="946"/>
      <c r="K48" s="952"/>
    </row>
    <row r="49" spans="1:9" s="950" customFormat="1" ht="15.75">
      <c r="A49" s="945"/>
      <c r="B49" s="946" t="s">
        <v>2729</v>
      </c>
      <c r="C49" s="947"/>
      <c r="D49" s="947">
        <v>1457.3738980000001</v>
      </c>
      <c r="E49" s="947"/>
      <c r="F49" s="947">
        <v>0</v>
      </c>
      <c r="G49" s="947"/>
      <c r="H49" s="947">
        <f>D49-F49</f>
        <v>1457.3738980000001</v>
      </c>
      <c r="I49" s="946"/>
    </row>
    <row r="50" spans="1:9" s="950" customFormat="1" ht="15.75">
      <c r="A50" s="945" t="s">
        <v>745</v>
      </c>
      <c r="B50" s="946" t="s">
        <v>517</v>
      </c>
      <c r="C50" s="947"/>
      <c r="D50" s="947">
        <f>D51</f>
        <v>291.18199099999998</v>
      </c>
      <c r="E50" s="947"/>
      <c r="F50" s="947">
        <f>F51</f>
        <v>51.244309999999999</v>
      </c>
      <c r="G50" s="947"/>
      <c r="H50" s="947">
        <f>D50-F50</f>
        <v>239.937681</v>
      </c>
      <c r="I50" s="946"/>
    </row>
    <row r="51" spans="1:9" s="950" customFormat="1" ht="15.75">
      <c r="A51" s="945"/>
      <c r="B51" s="946" t="s">
        <v>2729</v>
      </c>
      <c r="C51" s="947"/>
      <c r="D51" s="947">
        <v>291.18199099999998</v>
      </c>
      <c r="E51" s="947"/>
      <c r="F51" s="947">
        <v>51.244309999999999</v>
      </c>
      <c r="G51" s="947"/>
      <c r="H51" s="947">
        <f>D51-F51</f>
        <v>239.937681</v>
      </c>
      <c r="I51" s="946"/>
    </row>
    <row r="52" spans="1:9" s="950" customFormat="1" ht="15.75">
      <c r="A52" s="951" t="s">
        <v>521</v>
      </c>
      <c r="B52" s="949" t="s">
        <v>510</v>
      </c>
      <c r="C52" s="947"/>
      <c r="D52" s="947">
        <f>D53</f>
        <v>430.60453100000001</v>
      </c>
      <c r="E52" s="947"/>
      <c r="F52" s="947">
        <f>F53</f>
        <v>306.90399300000001</v>
      </c>
      <c r="G52" s="947"/>
      <c r="H52" s="947">
        <f>H53</f>
        <v>123.70053799999999</v>
      </c>
      <c r="I52" s="946"/>
    </row>
    <row r="53" spans="1:9" s="950" customFormat="1" ht="15.75">
      <c r="A53" s="945" t="s">
        <v>743</v>
      </c>
      <c r="B53" s="946" t="s">
        <v>516</v>
      </c>
      <c r="C53" s="947"/>
      <c r="D53" s="947">
        <f>D54+D55</f>
        <v>430.60453100000001</v>
      </c>
      <c r="E53" s="947"/>
      <c r="F53" s="947">
        <f>F54+F55</f>
        <v>306.90399300000001</v>
      </c>
      <c r="G53" s="947"/>
      <c r="H53" s="947">
        <f>H54+H55</f>
        <v>123.70053799999999</v>
      </c>
      <c r="I53" s="946"/>
    </row>
    <row r="54" spans="1:9" s="950" customFormat="1" ht="15.75">
      <c r="A54" s="945"/>
      <c r="B54" s="946" t="s">
        <v>2731</v>
      </c>
      <c r="C54" s="947"/>
      <c r="D54" s="947">
        <v>306.90399300000001</v>
      </c>
      <c r="E54" s="947"/>
      <c r="F54" s="947">
        <f>+D54</f>
        <v>306.90399300000001</v>
      </c>
      <c r="G54" s="947"/>
      <c r="H54" s="947">
        <f>D54-F54</f>
        <v>0</v>
      </c>
      <c r="I54" s="946"/>
    </row>
    <row r="55" spans="1:9" s="950" customFormat="1" ht="15.75">
      <c r="A55" s="945"/>
      <c r="B55" s="946" t="s">
        <v>2732</v>
      </c>
      <c r="C55" s="947"/>
      <c r="D55" s="947">
        <v>123.70053799999999</v>
      </c>
      <c r="E55" s="947"/>
      <c r="F55" s="947">
        <v>0</v>
      </c>
      <c r="G55" s="947"/>
      <c r="H55" s="947">
        <f>D55-F55</f>
        <v>123.70053799999999</v>
      </c>
      <c r="I55" s="946"/>
    </row>
    <row r="56" spans="1:9" s="950" customFormat="1" ht="15.75">
      <c r="A56" s="951">
        <v>4</v>
      </c>
      <c r="B56" s="949" t="s">
        <v>522</v>
      </c>
      <c r="C56" s="948"/>
      <c r="D56" s="948">
        <f>D57</f>
        <v>5210.2865099999999</v>
      </c>
      <c r="E56" s="948"/>
      <c r="F56" s="948">
        <f>F57</f>
        <v>4518.74928</v>
      </c>
      <c r="G56" s="948"/>
      <c r="H56" s="948">
        <f>H57</f>
        <v>691.53722999999991</v>
      </c>
      <c r="I56" s="949"/>
    </row>
    <row r="57" spans="1:9" s="950" customFormat="1" ht="15.75">
      <c r="A57" s="945"/>
      <c r="B57" s="946" t="s">
        <v>510</v>
      </c>
      <c r="C57" s="947"/>
      <c r="D57" s="947">
        <v>5210.2865099999999</v>
      </c>
      <c r="E57" s="947"/>
      <c r="F57" s="947">
        <v>4518.74928</v>
      </c>
      <c r="G57" s="947"/>
      <c r="H57" s="947">
        <f>D57-F57</f>
        <v>691.53722999999991</v>
      </c>
      <c r="I57" s="946"/>
    </row>
    <row r="58" spans="1:9" s="950" customFormat="1" ht="15.75">
      <c r="A58" s="951" t="s">
        <v>109</v>
      </c>
      <c r="B58" s="953" t="s">
        <v>2733</v>
      </c>
      <c r="C58" s="948"/>
      <c r="D58" s="948">
        <f>+D59+D60+D63</f>
        <v>136624.27090265835</v>
      </c>
      <c r="E58" s="948"/>
      <c r="F58" s="948">
        <f>+F59+F60+F63</f>
        <v>83940.870011000006</v>
      </c>
      <c r="G58" s="948"/>
      <c r="H58" s="948">
        <f>+H59+H60+H63</f>
        <v>52683.400891658319</v>
      </c>
      <c r="I58" s="946"/>
    </row>
    <row r="59" spans="1:9" s="950" customFormat="1" ht="15.75">
      <c r="A59" s="945">
        <v>1</v>
      </c>
      <c r="B59" s="946" t="s">
        <v>508</v>
      </c>
      <c r="C59" s="948"/>
      <c r="D59" s="947">
        <v>4506.3659556583298</v>
      </c>
      <c r="E59" s="947"/>
      <c r="F59" s="947">
        <v>1022.547049</v>
      </c>
      <c r="G59" s="948"/>
      <c r="H59" s="947">
        <f>+D59-F59</f>
        <v>3483.81890665833</v>
      </c>
      <c r="I59" s="946"/>
    </row>
    <row r="60" spans="1:9" s="950" customFormat="1" ht="15.75">
      <c r="A60" s="945">
        <v>2</v>
      </c>
      <c r="B60" s="946" t="s">
        <v>511</v>
      </c>
      <c r="C60" s="947"/>
      <c r="D60" s="947"/>
      <c r="E60" s="947"/>
      <c r="F60" s="947"/>
      <c r="G60" s="947"/>
      <c r="H60" s="947"/>
      <c r="I60" s="946"/>
    </row>
    <row r="61" spans="1:9" s="950" customFormat="1" ht="15.75" hidden="1">
      <c r="A61" s="945"/>
      <c r="B61" s="946"/>
      <c r="C61" s="947"/>
      <c r="D61" s="947"/>
      <c r="E61" s="947"/>
      <c r="F61" s="947"/>
      <c r="G61" s="947"/>
      <c r="H61" s="947"/>
      <c r="I61" s="946"/>
    </row>
    <row r="62" spans="1:9" s="950" customFormat="1" ht="15.75" hidden="1">
      <c r="A62" s="945"/>
      <c r="B62" s="946"/>
      <c r="C62" s="947"/>
      <c r="D62" s="947"/>
      <c r="E62" s="947"/>
      <c r="F62" s="947"/>
      <c r="G62" s="947"/>
      <c r="H62" s="947"/>
      <c r="I62" s="946"/>
    </row>
    <row r="63" spans="1:9" s="950" customFormat="1" ht="15.75">
      <c r="A63" s="951">
        <v>3</v>
      </c>
      <c r="B63" s="949" t="s">
        <v>515</v>
      </c>
      <c r="C63" s="948"/>
      <c r="D63" s="948">
        <f>+D64+D67</f>
        <v>132117.904947</v>
      </c>
      <c r="E63" s="948"/>
      <c r="F63" s="948">
        <f>+F64+F67</f>
        <v>82918.322962000006</v>
      </c>
      <c r="G63" s="948"/>
      <c r="H63" s="948">
        <f>+H64+H67</f>
        <v>49199.58198499999</v>
      </c>
      <c r="I63" s="949"/>
    </row>
    <row r="64" spans="1:9" s="950" customFormat="1" ht="15.75">
      <c r="A64" s="945" t="s">
        <v>743</v>
      </c>
      <c r="B64" s="946" t="s">
        <v>516</v>
      </c>
      <c r="C64" s="947"/>
      <c r="D64" s="947">
        <f>+D65+D66</f>
        <v>126203.478806</v>
      </c>
      <c r="E64" s="947"/>
      <c r="F64" s="947">
        <f>+F65+F66</f>
        <v>80736.168925000005</v>
      </c>
      <c r="G64" s="947"/>
      <c r="H64" s="947">
        <f>+H65+H66</f>
        <v>45467.309880999994</v>
      </c>
      <c r="I64" s="946"/>
    </row>
    <row r="65" spans="1:9" s="950" customFormat="1" ht="15.75">
      <c r="A65" s="945"/>
      <c r="B65" s="946" t="s">
        <v>2729</v>
      </c>
      <c r="C65" s="947"/>
      <c r="D65" s="947">
        <v>6096.3157700000002</v>
      </c>
      <c r="E65" s="947"/>
      <c r="F65" s="947">
        <v>786.70714199999998</v>
      </c>
      <c r="G65" s="947"/>
      <c r="H65" s="947">
        <f>+D65-F65</f>
        <v>5309.608628</v>
      </c>
      <c r="I65" s="946"/>
    </row>
    <row r="66" spans="1:9" s="950" customFormat="1" ht="15.75">
      <c r="A66" s="945"/>
      <c r="B66" s="946" t="s">
        <v>2730</v>
      </c>
      <c r="C66" s="947"/>
      <c r="D66" s="947">
        <f>81.721105+5614.653306+73018+41392.788625</f>
        <v>120107.163036</v>
      </c>
      <c r="E66" s="947"/>
      <c r="F66" s="947">
        <v>79949.461783000006</v>
      </c>
      <c r="G66" s="947"/>
      <c r="H66" s="947">
        <f>+D66-F66</f>
        <v>40157.701252999992</v>
      </c>
      <c r="I66" s="946"/>
    </row>
    <row r="67" spans="1:9" s="950" customFormat="1" ht="15.75">
      <c r="A67" s="945" t="s">
        <v>745</v>
      </c>
      <c r="B67" s="946" t="s">
        <v>517</v>
      </c>
      <c r="C67" s="947"/>
      <c r="D67" s="947">
        <f>+D68+D69</f>
        <v>5914.4261409999999</v>
      </c>
      <c r="E67" s="947"/>
      <c r="F67" s="947">
        <f>+F68+F69</f>
        <v>2182.1540370000002</v>
      </c>
      <c r="G67" s="947"/>
      <c r="H67" s="947">
        <f>+H68+H69</f>
        <v>3732.2721039999992</v>
      </c>
      <c r="I67" s="946"/>
    </row>
    <row r="68" spans="1:9" s="950" customFormat="1" ht="15.75">
      <c r="A68" s="945"/>
      <c r="B68" s="946" t="s">
        <v>2729</v>
      </c>
      <c r="C68" s="947"/>
      <c r="D68" s="947">
        <f>2051.18077+2973.314371</f>
        <v>5024.4951409999994</v>
      </c>
      <c r="E68" s="947"/>
      <c r="F68" s="947">
        <f>1076.23084+1105.923197</f>
        <v>2182.1540370000002</v>
      </c>
      <c r="G68" s="947"/>
      <c r="H68" s="947">
        <f>+D68-F68</f>
        <v>2842.3411039999992</v>
      </c>
      <c r="I68" s="946"/>
    </row>
    <row r="69" spans="1:9" s="950" customFormat="1" ht="15.75">
      <c r="A69" s="945"/>
      <c r="B69" s="946" t="s">
        <v>2730</v>
      </c>
      <c r="C69" s="947"/>
      <c r="D69" s="947">
        <v>889.93100000000004</v>
      </c>
      <c r="E69" s="947"/>
      <c r="F69" s="947"/>
      <c r="G69" s="947"/>
      <c r="H69" s="947">
        <f>+D69-F69</f>
        <v>889.93100000000004</v>
      </c>
      <c r="I69" s="946"/>
    </row>
    <row r="70" spans="1:9" s="950" customFormat="1" ht="15.75">
      <c r="A70" s="945">
        <v>4</v>
      </c>
      <c r="B70" s="946" t="s">
        <v>523</v>
      </c>
      <c r="C70" s="947"/>
      <c r="D70" s="947"/>
      <c r="E70" s="947"/>
      <c r="F70" s="947"/>
      <c r="G70" s="947"/>
      <c r="H70" s="947"/>
      <c r="I70" s="946"/>
    </row>
    <row r="71" spans="1:9" s="950" customFormat="1" ht="15.75">
      <c r="A71" s="945"/>
      <c r="B71" s="946" t="s">
        <v>2729</v>
      </c>
      <c r="C71" s="947"/>
      <c r="D71" s="947"/>
      <c r="E71" s="947"/>
      <c r="F71" s="947"/>
      <c r="G71" s="947"/>
      <c r="H71" s="947"/>
      <c r="I71" s="946"/>
    </row>
    <row r="72" spans="1:9" s="950" customFormat="1" ht="15.75">
      <c r="A72" s="945"/>
      <c r="B72" s="946" t="s">
        <v>2730</v>
      </c>
      <c r="C72" s="947"/>
      <c r="D72" s="947"/>
      <c r="E72" s="947"/>
      <c r="F72" s="947"/>
      <c r="G72" s="947"/>
      <c r="H72" s="947"/>
      <c r="I72" s="946"/>
    </row>
    <row r="73" spans="1:9" s="950" customFormat="1" ht="15.75">
      <c r="A73" s="951" t="s">
        <v>524</v>
      </c>
      <c r="B73" s="949" t="s">
        <v>525</v>
      </c>
      <c r="C73" s="947"/>
      <c r="D73" s="947"/>
      <c r="E73" s="947"/>
      <c r="F73" s="947"/>
      <c r="G73" s="947"/>
      <c r="H73" s="947"/>
      <c r="I73" s="946"/>
    </row>
    <row r="74" spans="1:9" ht="20.25" customHeight="1">
      <c r="A74" s="1827"/>
      <c r="B74" s="1827"/>
      <c r="C74" s="1827"/>
      <c r="D74" s="1827"/>
      <c r="E74" s="1827"/>
      <c r="F74" s="1827"/>
      <c r="G74" s="1827"/>
      <c r="H74" s="1827"/>
      <c r="I74" s="1827"/>
    </row>
    <row r="75" spans="1:9" ht="18.75">
      <c r="F75" s="1828" t="s">
        <v>1068</v>
      </c>
      <c r="G75" s="1828"/>
      <c r="H75" s="1828"/>
      <c r="I75" s="1828"/>
    </row>
    <row r="76" spans="1:9" ht="18.75">
      <c r="F76" s="1829" t="s">
        <v>85</v>
      </c>
      <c r="G76" s="1829"/>
      <c r="H76" s="1829"/>
      <c r="I76" s="1829"/>
    </row>
    <row r="77" spans="1:9" ht="18.75">
      <c r="F77" s="1829" t="s">
        <v>86</v>
      </c>
      <c r="G77" s="1829"/>
      <c r="H77" s="1829"/>
      <c r="I77" s="1829"/>
    </row>
  </sheetData>
  <mergeCells count="14">
    <mergeCell ref="A74:I74"/>
    <mergeCell ref="F75:I75"/>
    <mergeCell ref="F76:I76"/>
    <mergeCell ref="F77:I77"/>
    <mergeCell ref="A1:B1"/>
    <mergeCell ref="H1:I1"/>
    <mergeCell ref="A3:I3"/>
    <mergeCell ref="H5:I5"/>
    <mergeCell ref="A6:A7"/>
    <mergeCell ref="B6:B7"/>
    <mergeCell ref="C6:D6"/>
    <mergeCell ref="E6:F6"/>
    <mergeCell ref="G6:H6"/>
    <mergeCell ref="I6:I7"/>
  </mergeCells>
  <pageMargins left="0.5" right="0.25" top="0.5" bottom="0.5" header="0.3" footer="0.3"/>
  <pageSetup paperSize="9" orientation="landscape"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H18"/>
  <sheetViews>
    <sheetView workbookViewId="0">
      <selection activeCell="A3" sqref="A3:G3"/>
    </sheetView>
  </sheetViews>
  <sheetFormatPr defaultRowHeight="16.5"/>
  <cols>
    <col min="1" max="1" width="4.7109375" style="476" customWidth="1"/>
    <col min="2" max="2" width="41.7109375" style="476" customWidth="1"/>
    <col min="3" max="3" width="11.5703125" style="476" customWidth="1"/>
    <col min="4" max="4" width="13.28515625" style="476" customWidth="1"/>
    <col min="5" max="5" width="9.28515625" style="476" customWidth="1"/>
    <col min="6" max="6" width="9.5703125" style="476" customWidth="1"/>
    <col min="7" max="7" width="55" style="476" customWidth="1"/>
    <col min="8" max="8" width="14.7109375" style="476" bestFit="1" customWidth="1"/>
    <col min="9" max="256" width="9.140625" style="476"/>
    <col min="257" max="257" width="7.85546875" style="476" customWidth="1"/>
    <col min="258" max="258" width="41.7109375" style="476" customWidth="1"/>
    <col min="259" max="259" width="11.28515625" style="476" customWidth="1"/>
    <col min="260" max="260" width="11.5703125" style="476" customWidth="1"/>
    <col min="261" max="261" width="12.85546875" style="476" customWidth="1"/>
    <col min="262" max="262" width="13.7109375" style="476" customWidth="1"/>
    <col min="263" max="263" width="56.85546875" style="476" customWidth="1"/>
    <col min="264" max="512" width="9.140625" style="476"/>
    <col min="513" max="513" width="7.85546875" style="476" customWidth="1"/>
    <col min="514" max="514" width="41.7109375" style="476" customWidth="1"/>
    <col min="515" max="515" width="11.28515625" style="476" customWidth="1"/>
    <col min="516" max="516" width="11.5703125" style="476" customWidth="1"/>
    <col min="517" max="517" width="12.85546875" style="476" customWidth="1"/>
    <col min="518" max="518" width="13.7109375" style="476" customWidth="1"/>
    <col min="519" max="519" width="56.85546875" style="476" customWidth="1"/>
    <col min="520" max="768" width="9.140625" style="476"/>
    <col min="769" max="769" width="7.85546875" style="476" customWidth="1"/>
    <col min="770" max="770" width="41.7109375" style="476" customWidth="1"/>
    <col min="771" max="771" width="11.28515625" style="476" customWidth="1"/>
    <col min="772" max="772" width="11.5703125" style="476" customWidth="1"/>
    <col min="773" max="773" width="12.85546875" style="476" customWidth="1"/>
    <col min="774" max="774" width="13.7109375" style="476" customWidth="1"/>
    <col min="775" max="775" width="56.85546875" style="476" customWidth="1"/>
    <col min="776" max="1024" width="9.140625" style="476"/>
    <col min="1025" max="1025" width="7.85546875" style="476" customWidth="1"/>
    <col min="1026" max="1026" width="41.7109375" style="476" customWidth="1"/>
    <col min="1027" max="1027" width="11.28515625" style="476" customWidth="1"/>
    <col min="1028" max="1028" width="11.5703125" style="476" customWidth="1"/>
    <col min="1029" max="1029" width="12.85546875" style="476" customWidth="1"/>
    <col min="1030" max="1030" width="13.7109375" style="476" customWidth="1"/>
    <col min="1031" max="1031" width="56.85546875" style="476" customWidth="1"/>
    <col min="1032" max="1280" width="9.140625" style="476"/>
    <col min="1281" max="1281" width="7.85546875" style="476" customWidth="1"/>
    <col min="1282" max="1282" width="41.7109375" style="476" customWidth="1"/>
    <col min="1283" max="1283" width="11.28515625" style="476" customWidth="1"/>
    <col min="1284" max="1284" width="11.5703125" style="476" customWidth="1"/>
    <col min="1285" max="1285" width="12.85546875" style="476" customWidth="1"/>
    <col min="1286" max="1286" width="13.7109375" style="476" customWidth="1"/>
    <col min="1287" max="1287" width="56.85546875" style="476" customWidth="1"/>
    <col min="1288" max="1536" width="9.140625" style="476"/>
    <col min="1537" max="1537" width="7.85546875" style="476" customWidth="1"/>
    <col min="1538" max="1538" width="41.7109375" style="476" customWidth="1"/>
    <col min="1539" max="1539" width="11.28515625" style="476" customWidth="1"/>
    <col min="1540" max="1540" width="11.5703125" style="476" customWidth="1"/>
    <col min="1541" max="1541" width="12.85546875" style="476" customWidth="1"/>
    <col min="1542" max="1542" width="13.7109375" style="476" customWidth="1"/>
    <col min="1543" max="1543" width="56.85546875" style="476" customWidth="1"/>
    <col min="1544" max="1792" width="9.140625" style="476"/>
    <col min="1793" max="1793" width="7.85546875" style="476" customWidth="1"/>
    <col min="1794" max="1794" width="41.7109375" style="476" customWidth="1"/>
    <col min="1795" max="1795" width="11.28515625" style="476" customWidth="1"/>
    <col min="1796" max="1796" width="11.5703125" style="476" customWidth="1"/>
    <col min="1797" max="1797" width="12.85546875" style="476" customWidth="1"/>
    <col min="1798" max="1798" width="13.7109375" style="476" customWidth="1"/>
    <col min="1799" max="1799" width="56.85546875" style="476" customWidth="1"/>
    <col min="1800" max="2048" width="9.140625" style="476"/>
    <col min="2049" max="2049" width="7.85546875" style="476" customWidth="1"/>
    <col min="2050" max="2050" width="41.7109375" style="476" customWidth="1"/>
    <col min="2051" max="2051" width="11.28515625" style="476" customWidth="1"/>
    <col min="2052" max="2052" width="11.5703125" style="476" customWidth="1"/>
    <col min="2053" max="2053" width="12.85546875" style="476" customWidth="1"/>
    <col min="2054" max="2054" width="13.7109375" style="476" customWidth="1"/>
    <col min="2055" max="2055" width="56.85546875" style="476" customWidth="1"/>
    <col min="2056" max="2304" width="9.140625" style="476"/>
    <col min="2305" max="2305" width="7.85546875" style="476" customWidth="1"/>
    <col min="2306" max="2306" width="41.7109375" style="476" customWidth="1"/>
    <col min="2307" max="2307" width="11.28515625" style="476" customWidth="1"/>
    <col min="2308" max="2308" width="11.5703125" style="476" customWidth="1"/>
    <col min="2309" max="2309" width="12.85546875" style="476" customWidth="1"/>
    <col min="2310" max="2310" width="13.7109375" style="476" customWidth="1"/>
    <col min="2311" max="2311" width="56.85546875" style="476" customWidth="1"/>
    <col min="2312" max="2560" width="9.140625" style="476"/>
    <col min="2561" max="2561" width="7.85546875" style="476" customWidth="1"/>
    <col min="2562" max="2562" width="41.7109375" style="476" customWidth="1"/>
    <col min="2563" max="2563" width="11.28515625" style="476" customWidth="1"/>
    <col min="2564" max="2564" width="11.5703125" style="476" customWidth="1"/>
    <col min="2565" max="2565" width="12.85546875" style="476" customWidth="1"/>
    <col min="2566" max="2566" width="13.7109375" style="476" customWidth="1"/>
    <col min="2567" max="2567" width="56.85546875" style="476" customWidth="1"/>
    <col min="2568" max="2816" width="9.140625" style="476"/>
    <col min="2817" max="2817" width="7.85546875" style="476" customWidth="1"/>
    <col min="2818" max="2818" width="41.7109375" style="476" customWidth="1"/>
    <col min="2819" max="2819" width="11.28515625" style="476" customWidth="1"/>
    <col min="2820" max="2820" width="11.5703125" style="476" customWidth="1"/>
    <col min="2821" max="2821" width="12.85546875" style="476" customWidth="1"/>
    <col min="2822" max="2822" width="13.7109375" style="476" customWidth="1"/>
    <col min="2823" max="2823" width="56.85546875" style="476" customWidth="1"/>
    <col min="2824" max="3072" width="9.140625" style="476"/>
    <col min="3073" max="3073" width="7.85546875" style="476" customWidth="1"/>
    <col min="3074" max="3074" width="41.7109375" style="476" customWidth="1"/>
    <col min="3075" max="3075" width="11.28515625" style="476" customWidth="1"/>
    <col min="3076" max="3076" width="11.5703125" style="476" customWidth="1"/>
    <col min="3077" max="3077" width="12.85546875" style="476" customWidth="1"/>
    <col min="3078" max="3078" width="13.7109375" style="476" customWidth="1"/>
    <col min="3079" max="3079" width="56.85546875" style="476" customWidth="1"/>
    <col min="3080" max="3328" width="9.140625" style="476"/>
    <col min="3329" max="3329" width="7.85546875" style="476" customWidth="1"/>
    <col min="3330" max="3330" width="41.7109375" style="476" customWidth="1"/>
    <col min="3331" max="3331" width="11.28515625" style="476" customWidth="1"/>
    <col min="3332" max="3332" width="11.5703125" style="476" customWidth="1"/>
    <col min="3333" max="3333" width="12.85546875" style="476" customWidth="1"/>
    <col min="3334" max="3334" width="13.7109375" style="476" customWidth="1"/>
    <col min="3335" max="3335" width="56.85546875" style="476" customWidth="1"/>
    <col min="3336" max="3584" width="9.140625" style="476"/>
    <col min="3585" max="3585" width="7.85546875" style="476" customWidth="1"/>
    <col min="3586" max="3586" width="41.7109375" style="476" customWidth="1"/>
    <col min="3587" max="3587" width="11.28515625" style="476" customWidth="1"/>
    <col min="3588" max="3588" width="11.5703125" style="476" customWidth="1"/>
    <col min="3589" max="3589" width="12.85546875" style="476" customWidth="1"/>
    <col min="3590" max="3590" width="13.7109375" style="476" customWidth="1"/>
    <col min="3591" max="3591" width="56.85546875" style="476" customWidth="1"/>
    <col min="3592" max="3840" width="9.140625" style="476"/>
    <col min="3841" max="3841" width="7.85546875" style="476" customWidth="1"/>
    <col min="3842" max="3842" width="41.7109375" style="476" customWidth="1"/>
    <col min="3843" max="3843" width="11.28515625" style="476" customWidth="1"/>
    <col min="3844" max="3844" width="11.5703125" style="476" customWidth="1"/>
    <col min="3845" max="3845" width="12.85546875" style="476" customWidth="1"/>
    <col min="3846" max="3846" width="13.7109375" style="476" customWidth="1"/>
    <col min="3847" max="3847" width="56.85546875" style="476" customWidth="1"/>
    <col min="3848" max="4096" width="9.140625" style="476"/>
    <col min="4097" max="4097" width="7.85546875" style="476" customWidth="1"/>
    <col min="4098" max="4098" width="41.7109375" style="476" customWidth="1"/>
    <col min="4099" max="4099" width="11.28515625" style="476" customWidth="1"/>
    <col min="4100" max="4100" width="11.5703125" style="476" customWidth="1"/>
    <col min="4101" max="4101" width="12.85546875" style="476" customWidth="1"/>
    <col min="4102" max="4102" width="13.7109375" style="476" customWidth="1"/>
    <col min="4103" max="4103" width="56.85546875" style="476" customWidth="1"/>
    <col min="4104" max="4352" width="9.140625" style="476"/>
    <col min="4353" max="4353" width="7.85546875" style="476" customWidth="1"/>
    <col min="4354" max="4354" width="41.7109375" style="476" customWidth="1"/>
    <col min="4355" max="4355" width="11.28515625" style="476" customWidth="1"/>
    <col min="4356" max="4356" width="11.5703125" style="476" customWidth="1"/>
    <col min="4357" max="4357" width="12.85546875" style="476" customWidth="1"/>
    <col min="4358" max="4358" width="13.7109375" style="476" customWidth="1"/>
    <col min="4359" max="4359" width="56.85546875" style="476" customWidth="1"/>
    <col min="4360" max="4608" width="9.140625" style="476"/>
    <col min="4609" max="4609" width="7.85546875" style="476" customWidth="1"/>
    <col min="4610" max="4610" width="41.7109375" style="476" customWidth="1"/>
    <col min="4611" max="4611" width="11.28515625" style="476" customWidth="1"/>
    <col min="4612" max="4612" width="11.5703125" style="476" customWidth="1"/>
    <col min="4613" max="4613" width="12.85546875" style="476" customWidth="1"/>
    <col min="4614" max="4614" width="13.7109375" style="476" customWidth="1"/>
    <col min="4615" max="4615" width="56.85546875" style="476" customWidth="1"/>
    <col min="4616" max="4864" width="9.140625" style="476"/>
    <col min="4865" max="4865" width="7.85546875" style="476" customWidth="1"/>
    <col min="4866" max="4866" width="41.7109375" style="476" customWidth="1"/>
    <col min="4867" max="4867" width="11.28515625" style="476" customWidth="1"/>
    <col min="4868" max="4868" width="11.5703125" style="476" customWidth="1"/>
    <col min="4869" max="4869" width="12.85546875" style="476" customWidth="1"/>
    <col min="4870" max="4870" width="13.7109375" style="476" customWidth="1"/>
    <col min="4871" max="4871" width="56.85546875" style="476" customWidth="1"/>
    <col min="4872" max="5120" width="9.140625" style="476"/>
    <col min="5121" max="5121" width="7.85546875" style="476" customWidth="1"/>
    <col min="5122" max="5122" width="41.7109375" style="476" customWidth="1"/>
    <col min="5123" max="5123" width="11.28515625" style="476" customWidth="1"/>
    <col min="5124" max="5124" width="11.5703125" style="476" customWidth="1"/>
    <col min="5125" max="5125" width="12.85546875" style="476" customWidth="1"/>
    <col min="5126" max="5126" width="13.7109375" style="476" customWidth="1"/>
    <col min="5127" max="5127" width="56.85546875" style="476" customWidth="1"/>
    <col min="5128" max="5376" width="9.140625" style="476"/>
    <col min="5377" max="5377" width="7.85546875" style="476" customWidth="1"/>
    <col min="5378" max="5378" width="41.7109375" style="476" customWidth="1"/>
    <col min="5379" max="5379" width="11.28515625" style="476" customWidth="1"/>
    <col min="5380" max="5380" width="11.5703125" style="476" customWidth="1"/>
    <col min="5381" max="5381" width="12.85546875" style="476" customWidth="1"/>
    <col min="5382" max="5382" width="13.7109375" style="476" customWidth="1"/>
    <col min="5383" max="5383" width="56.85546875" style="476" customWidth="1"/>
    <col min="5384" max="5632" width="9.140625" style="476"/>
    <col min="5633" max="5633" width="7.85546875" style="476" customWidth="1"/>
    <col min="5634" max="5634" width="41.7109375" style="476" customWidth="1"/>
    <col min="5635" max="5635" width="11.28515625" style="476" customWidth="1"/>
    <col min="5636" max="5636" width="11.5703125" style="476" customWidth="1"/>
    <col min="5637" max="5637" width="12.85546875" style="476" customWidth="1"/>
    <col min="5638" max="5638" width="13.7109375" style="476" customWidth="1"/>
    <col min="5639" max="5639" width="56.85546875" style="476" customWidth="1"/>
    <col min="5640" max="5888" width="9.140625" style="476"/>
    <col min="5889" max="5889" width="7.85546875" style="476" customWidth="1"/>
    <col min="5890" max="5890" width="41.7109375" style="476" customWidth="1"/>
    <col min="5891" max="5891" width="11.28515625" style="476" customWidth="1"/>
    <col min="5892" max="5892" width="11.5703125" style="476" customWidth="1"/>
    <col min="5893" max="5893" width="12.85546875" style="476" customWidth="1"/>
    <col min="5894" max="5894" width="13.7109375" style="476" customWidth="1"/>
    <col min="5895" max="5895" width="56.85546875" style="476" customWidth="1"/>
    <col min="5896" max="6144" width="9.140625" style="476"/>
    <col min="6145" max="6145" width="7.85546875" style="476" customWidth="1"/>
    <col min="6146" max="6146" width="41.7109375" style="476" customWidth="1"/>
    <col min="6147" max="6147" width="11.28515625" style="476" customWidth="1"/>
    <col min="6148" max="6148" width="11.5703125" style="476" customWidth="1"/>
    <col min="6149" max="6149" width="12.85546875" style="476" customWidth="1"/>
    <col min="6150" max="6150" width="13.7109375" style="476" customWidth="1"/>
    <col min="6151" max="6151" width="56.85546875" style="476" customWidth="1"/>
    <col min="6152" max="6400" width="9.140625" style="476"/>
    <col min="6401" max="6401" width="7.85546875" style="476" customWidth="1"/>
    <col min="6402" max="6402" width="41.7109375" style="476" customWidth="1"/>
    <col min="6403" max="6403" width="11.28515625" style="476" customWidth="1"/>
    <col min="6404" max="6404" width="11.5703125" style="476" customWidth="1"/>
    <col min="6405" max="6405" width="12.85546875" style="476" customWidth="1"/>
    <col min="6406" max="6406" width="13.7109375" style="476" customWidth="1"/>
    <col min="6407" max="6407" width="56.85546875" style="476" customWidth="1"/>
    <col min="6408" max="6656" width="9.140625" style="476"/>
    <col min="6657" max="6657" width="7.85546875" style="476" customWidth="1"/>
    <col min="6658" max="6658" width="41.7109375" style="476" customWidth="1"/>
    <col min="6659" max="6659" width="11.28515625" style="476" customWidth="1"/>
    <col min="6660" max="6660" width="11.5703125" style="476" customWidth="1"/>
    <col min="6661" max="6661" width="12.85546875" style="476" customWidth="1"/>
    <col min="6662" max="6662" width="13.7109375" style="476" customWidth="1"/>
    <col min="6663" max="6663" width="56.85546875" style="476" customWidth="1"/>
    <col min="6664" max="6912" width="9.140625" style="476"/>
    <col min="6913" max="6913" width="7.85546875" style="476" customWidth="1"/>
    <col min="6914" max="6914" width="41.7109375" style="476" customWidth="1"/>
    <col min="6915" max="6915" width="11.28515625" style="476" customWidth="1"/>
    <col min="6916" max="6916" width="11.5703125" style="476" customWidth="1"/>
    <col min="6917" max="6917" width="12.85546875" style="476" customWidth="1"/>
    <col min="6918" max="6918" width="13.7109375" style="476" customWidth="1"/>
    <col min="6919" max="6919" width="56.85546875" style="476" customWidth="1"/>
    <col min="6920" max="7168" width="9.140625" style="476"/>
    <col min="7169" max="7169" width="7.85546875" style="476" customWidth="1"/>
    <col min="7170" max="7170" width="41.7109375" style="476" customWidth="1"/>
    <col min="7171" max="7171" width="11.28515625" style="476" customWidth="1"/>
    <col min="7172" max="7172" width="11.5703125" style="476" customWidth="1"/>
    <col min="7173" max="7173" width="12.85546875" style="476" customWidth="1"/>
    <col min="7174" max="7174" width="13.7109375" style="476" customWidth="1"/>
    <col min="7175" max="7175" width="56.85546875" style="476" customWidth="1"/>
    <col min="7176" max="7424" width="9.140625" style="476"/>
    <col min="7425" max="7425" width="7.85546875" style="476" customWidth="1"/>
    <col min="7426" max="7426" width="41.7109375" style="476" customWidth="1"/>
    <col min="7427" max="7427" width="11.28515625" style="476" customWidth="1"/>
    <col min="7428" max="7428" width="11.5703125" style="476" customWidth="1"/>
    <col min="7429" max="7429" width="12.85546875" style="476" customWidth="1"/>
    <col min="7430" max="7430" width="13.7109375" style="476" customWidth="1"/>
    <col min="7431" max="7431" width="56.85546875" style="476" customWidth="1"/>
    <col min="7432" max="7680" width="9.140625" style="476"/>
    <col min="7681" max="7681" width="7.85546875" style="476" customWidth="1"/>
    <col min="7682" max="7682" width="41.7109375" style="476" customWidth="1"/>
    <col min="7683" max="7683" width="11.28515625" style="476" customWidth="1"/>
    <col min="7684" max="7684" width="11.5703125" style="476" customWidth="1"/>
    <col min="7685" max="7685" width="12.85546875" style="476" customWidth="1"/>
    <col min="7686" max="7686" width="13.7109375" style="476" customWidth="1"/>
    <col min="7687" max="7687" width="56.85546875" style="476" customWidth="1"/>
    <col min="7688" max="7936" width="9.140625" style="476"/>
    <col min="7937" max="7937" width="7.85546875" style="476" customWidth="1"/>
    <col min="7938" max="7938" width="41.7109375" style="476" customWidth="1"/>
    <col min="7939" max="7939" width="11.28515625" style="476" customWidth="1"/>
    <col min="7940" max="7940" width="11.5703125" style="476" customWidth="1"/>
    <col min="7941" max="7941" width="12.85546875" style="476" customWidth="1"/>
    <col min="7942" max="7942" width="13.7109375" style="476" customWidth="1"/>
    <col min="7943" max="7943" width="56.85546875" style="476" customWidth="1"/>
    <col min="7944" max="8192" width="9.140625" style="476"/>
    <col min="8193" max="8193" width="7.85546875" style="476" customWidth="1"/>
    <col min="8194" max="8194" width="41.7109375" style="476" customWidth="1"/>
    <col min="8195" max="8195" width="11.28515625" style="476" customWidth="1"/>
    <col min="8196" max="8196" width="11.5703125" style="476" customWidth="1"/>
    <col min="8197" max="8197" width="12.85546875" style="476" customWidth="1"/>
    <col min="8198" max="8198" width="13.7109375" style="476" customWidth="1"/>
    <col min="8199" max="8199" width="56.85546875" style="476" customWidth="1"/>
    <col min="8200" max="8448" width="9.140625" style="476"/>
    <col min="8449" max="8449" width="7.85546875" style="476" customWidth="1"/>
    <col min="8450" max="8450" width="41.7109375" style="476" customWidth="1"/>
    <col min="8451" max="8451" width="11.28515625" style="476" customWidth="1"/>
    <col min="8452" max="8452" width="11.5703125" style="476" customWidth="1"/>
    <col min="8453" max="8453" width="12.85546875" style="476" customWidth="1"/>
    <col min="8454" max="8454" width="13.7109375" style="476" customWidth="1"/>
    <col min="8455" max="8455" width="56.85546875" style="476" customWidth="1"/>
    <col min="8456" max="8704" width="9.140625" style="476"/>
    <col min="8705" max="8705" width="7.85546875" style="476" customWidth="1"/>
    <col min="8706" max="8706" width="41.7109375" style="476" customWidth="1"/>
    <col min="8707" max="8707" width="11.28515625" style="476" customWidth="1"/>
    <col min="8708" max="8708" width="11.5703125" style="476" customWidth="1"/>
    <col min="8709" max="8709" width="12.85546875" style="476" customWidth="1"/>
    <col min="8710" max="8710" width="13.7109375" style="476" customWidth="1"/>
    <col min="8711" max="8711" width="56.85546875" style="476" customWidth="1"/>
    <col min="8712" max="8960" width="9.140625" style="476"/>
    <col min="8961" max="8961" width="7.85546875" style="476" customWidth="1"/>
    <col min="8962" max="8962" width="41.7109375" style="476" customWidth="1"/>
    <col min="8963" max="8963" width="11.28515625" style="476" customWidth="1"/>
    <col min="8964" max="8964" width="11.5703125" style="476" customWidth="1"/>
    <col min="8965" max="8965" width="12.85546875" style="476" customWidth="1"/>
    <col min="8966" max="8966" width="13.7109375" style="476" customWidth="1"/>
    <col min="8967" max="8967" width="56.85546875" style="476" customWidth="1"/>
    <col min="8968" max="9216" width="9.140625" style="476"/>
    <col min="9217" max="9217" width="7.85546875" style="476" customWidth="1"/>
    <col min="9218" max="9218" width="41.7109375" style="476" customWidth="1"/>
    <col min="9219" max="9219" width="11.28515625" style="476" customWidth="1"/>
    <col min="9220" max="9220" width="11.5703125" style="476" customWidth="1"/>
    <col min="9221" max="9221" width="12.85546875" style="476" customWidth="1"/>
    <col min="9222" max="9222" width="13.7109375" style="476" customWidth="1"/>
    <col min="9223" max="9223" width="56.85546875" style="476" customWidth="1"/>
    <col min="9224" max="9472" width="9.140625" style="476"/>
    <col min="9473" max="9473" width="7.85546875" style="476" customWidth="1"/>
    <col min="9474" max="9474" width="41.7109375" style="476" customWidth="1"/>
    <col min="9475" max="9475" width="11.28515625" style="476" customWidth="1"/>
    <col min="9476" max="9476" width="11.5703125" style="476" customWidth="1"/>
    <col min="9477" max="9477" width="12.85546875" style="476" customWidth="1"/>
    <col min="9478" max="9478" width="13.7109375" style="476" customWidth="1"/>
    <col min="9479" max="9479" width="56.85546875" style="476" customWidth="1"/>
    <col min="9480" max="9728" width="9.140625" style="476"/>
    <col min="9729" max="9729" width="7.85546875" style="476" customWidth="1"/>
    <col min="9730" max="9730" width="41.7109375" style="476" customWidth="1"/>
    <col min="9731" max="9731" width="11.28515625" style="476" customWidth="1"/>
    <col min="9732" max="9732" width="11.5703125" style="476" customWidth="1"/>
    <col min="9733" max="9733" width="12.85546875" style="476" customWidth="1"/>
    <col min="9734" max="9734" width="13.7109375" style="476" customWidth="1"/>
    <col min="9735" max="9735" width="56.85546875" style="476" customWidth="1"/>
    <col min="9736" max="9984" width="9.140625" style="476"/>
    <col min="9985" max="9985" width="7.85546875" style="476" customWidth="1"/>
    <col min="9986" max="9986" width="41.7109375" style="476" customWidth="1"/>
    <col min="9987" max="9987" width="11.28515625" style="476" customWidth="1"/>
    <col min="9988" max="9988" width="11.5703125" style="476" customWidth="1"/>
    <col min="9989" max="9989" width="12.85546875" style="476" customWidth="1"/>
    <col min="9990" max="9990" width="13.7109375" style="476" customWidth="1"/>
    <col min="9991" max="9991" width="56.85546875" style="476" customWidth="1"/>
    <col min="9992" max="10240" width="9.140625" style="476"/>
    <col min="10241" max="10241" width="7.85546875" style="476" customWidth="1"/>
    <col min="10242" max="10242" width="41.7109375" style="476" customWidth="1"/>
    <col min="10243" max="10243" width="11.28515625" style="476" customWidth="1"/>
    <col min="10244" max="10244" width="11.5703125" style="476" customWidth="1"/>
    <col min="10245" max="10245" width="12.85546875" style="476" customWidth="1"/>
    <col min="10246" max="10246" width="13.7109375" style="476" customWidth="1"/>
    <col min="10247" max="10247" width="56.85546875" style="476" customWidth="1"/>
    <col min="10248" max="10496" width="9.140625" style="476"/>
    <col min="10497" max="10497" width="7.85546875" style="476" customWidth="1"/>
    <col min="10498" max="10498" width="41.7109375" style="476" customWidth="1"/>
    <col min="10499" max="10499" width="11.28515625" style="476" customWidth="1"/>
    <col min="10500" max="10500" width="11.5703125" style="476" customWidth="1"/>
    <col min="10501" max="10501" width="12.85546875" style="476" customWidth="1"/>
    <col min="10502" max="10502" width="13.7109375" style="476" customWidth="1"/>
    <col min="10503" max="10503" width="56.85546875" style="476" customWidth="1"/>
    <col min="10504" max="10752" width="9.140625" style="476"/>
    <col min="10753" max="10753" width="7.85546875" style="476" customWidth="1"/>
    <col min="10754" max="10754" width="41.7109375" style="476" customWidth="1"/>
    <col min="10755" max="10755" width="11.28515625" style="476" customWidth="1"/>
    <col min="10756" max="10756" width="11.5703125" style="476" customWidth="1"/>
    <col min="10757" max="10757" width="12.85546875" style="476" customWidth="1"/>
    <col min="10758" max="10758" width="13.7109375" style="476" customWidth="1"/>
    <col min="10759" max="10759" width="56.85546875" style="476" customWidth="1"/>
    <col min="10760" max="11008" width="9.140625" style="476"/>
    <col min="11009" max="11009" width="7.85546875" style="476" customWidth="1"/>
    <col min="11010" max="11010" width="41.7109375" style="476" customWidth="1"/>
    <col min="11011" max="11011" width="11.28515625" style="476" customWidth="1"/>
    <col min="11012" max="11012" width="11.5703125" style="476" customWidth="1"/>
    <col min="11013" max="11013" width="12.85546875" style="476" customWidth="1"/>
    <col min="11014" max="11014" width="13.7109375" style="476" customWidth="1"/>
    <col min="11015" max="11015" width="56.85546875" style="476" customWidth="1"/>
    <col min="11016" max="11264" width="9.140625" style="476"/>
    <col min="11265" max="11265" width="7.85546875" style="476" customWidth="1"/>
    <col min="11266" max="11266" width="41.7109375" style="476" customWidth="1"/>
    <col min="11267" max="11267" width="11.28515625" style="476" customWidth="1"/>
    <col min="11268" max="11268" width="11.5703125" style="476" customWidth="1"/>
    <col min="11269" max="11269" width="12.85546875" style="476" customWidth="1"/>
    <col min="11270" max="11270" width="13.7109375" style="476" customWidth="1"/>
    <col min="11271" max="11271" width="56.85546875" style="476" customWidth="1"/>
    <col min="11272" max="11520" width="9.140625" style="476"/>
    <col min="11521" max="11521" width="7.85546875" style="476" customWidth="1"/>
    <col min="11522" max="11522" width="41.7109375" style="476" customWidth="1"/>
    <col min="11523" max="11523" width="11.28515625" style="476" customWidth="1"/>
    <col min="11524" max="11524" width="11.5703125" style="476" customWidth="1"/>
    <col min="11525" max="11525" width="12.85546875" style="476" customWidth="1"/>
    <col min="11526" max="11526" width="13.7109375" style="476" customWidth="1"/>
    <col min="11527" max="11527" width="56.85546875" style="476" customWidth="1"/>
    <col min="11528" max="11776" width="9.140625" style="476"/>
    <col min="11777" max="11777" width="7.85546875" style="476" customWidth="1"/>
    <col min="11778" max="11778" width="41.7109375" style="476" customWidth="1"/>
    <col min="11779" max="11779" width="11.28515625" style="476" customWidth="1"/>
    <col min="11780" max="11780" width="11.5703125" style="476" customWidth="1"/>
    <col min="11781" max="11781" width="12.85546875" style="476" customWidth="1"/>
    <col min="11782" max="11782" width="13.7109375" style="476" customWidth="1"/>
    <col min="11783" max="11783" width="56.85546875" style="476" customWidth="1"/>
    <col min="11784" max="12032" width="9.140625" style="476"/>
    <col min="12033" max="12033" width="7.85546875" style="476" customWidth="1"/>
    <col min="12034" max="12034" width="41.7109375" style="476" customWidth="1"/>
    <col min="12035" max="12035" width="11.28515625" style="476" customWidth="1"/>
    <col min="12036" max="12036" width="11.5703125" style="476" customWidth="1"/>
    <col min="12037" max="12037" width="12.85546875" style="476" customWidth="1"/>
    <col min="12038" max="12038" width="13.7109375" style="476" customWidth="1"/>
    <col min="12039" max="12039" width="56.85546875" style="476" customWidth="1"/>
    <col min="12040" max="12288" width="9.140625" style="476"/>
    <col min="12289" max="12289" width="7.85546875" style="476" customWidth="1"/>
    <col min="12290" max="12290" width="41.7109375" style="476" customWidth="1"/>
    <col min="12291" max="12291" width="11.28515625" style="476" customWidth="1"/>
    <col min="12292" max="12292" width="11.5703125" style="476" customWidth="1"/>
    <col min="12293" max="12293" width="12.85546875" style="476" customWidth="1"/>
    <col min="12294" max="12294" width="13.7109375" style="476" customWidth="1"/>
    <col min="12295" max="12295" width="56.85546875" style="476" customWidth="1"/>
    <col min="12296" max="12544" width="9.140625" style="476"/>
    <col min="12545" max="12545" width="7.85546875" style="476" customWidth="1"/>
    <col min="12546" max="12546" width="41.7109375" style="476" customWidth="1"/>
    <col min="12547" max="12547" width="11.28515625" style="476" customWidth="1"/>
    <col min="12548" max="12548" width="11.5703125" style="476" customWidth="1"/>
    <col min="12549" max="12549" width="12.85546875" style="476" customWidth="1"/>
    <col min="12550" max="12550" width="13.7109375" style="476" customWidth="1"/>
    <col min="12551" max="12551" width="56.85546875" style="476" customWidth="1"/>
    <col min="12552" max="12800" width="9.140625" style="476"/>
    <col min="12801" max="12801" width="7.85546875" style="476" customWidth="1"/>
    <col min="12802" max="12802" width="41.7109375" style="476" customWidth="1"/>
    <col min="12803" max="12803" width="11.28515625" style="476" customWidth="1"/>
    <col min="12804" max="12804" width="11.5703125" style="476" customWidth="1"/>
    <col min="12805" max="12805" width="12.85546875" style="476" customWidth="1"/>
    <col min="12806" max="12806" width="13.7109375" style="476" customWidth="1"/>
    <col min="12807" max="12807" width="56.85546875" style="476" customWidth="1"/>
    <col min="12808" max="13056" width="9.140625" style="476"/>
    <col min="13057" max="13057" width="7.85546875" style="476" customWidth="1"/>
    <col min="13058" max="13058" width="41.7109375" style="476" customWidth="1"/>
    <col min="13059" max="13059" width="11.28515625" style="476" customWidth="1"/>
    <col min="13060" max="13060" width="11.5703125" style="476" customWidth="1"/>
    <col min="13061" max="13061" width="12.85546875" style="476" customWidth="1"/>
    <col min="13062" max="13062" width="13.7109375" style="476" customWidth="1"/>
    <col min="13063" max="13063" width="56.85546875" style="476" customWidth="1"/>
    <col min="13064" max="13312" width="9.140625" style="476"/>
    <col min="13313" max="13313" width="7.85546875" style="476" customWidth="1"/>
    <col min="13314" max="13314" width="41.7109375" style="476" customWidth="1"/>
    <col min="13315" max="13315" width="11.28515625" style="476" customWidth="1"/>
    <col min="13316" max="13316" width="11.5703125" style="476" customWidth="1"/>
    <col min="13317" max="13317" width="12.85546875" style="476" customWidth="1"/>
    <col min="13318" max="13318" width="13.7109375" style="476" customWidth="1"/>
    <col min="13319" max="13319" width="56.85546875" style="476" customWidth="1"/>
    <col min="13320" max="13568" width="9.140625" style="476"/>
    <col min="13569" max="13569" width="7.85546875" style="476" customWidth="1"/>
    <col min="13570" max="13570" width="41.7109375" style="476" customWidth="1"/>
    <col min="13571" max="13571" width="11.28515625" style="476" customWidth="1"/>
    <col min="13572" max="13572" width="11.5703125" style="476" customWidth="1"/>
    <col min="13573" max="13573" width="12.85546875" style="476" customWidth="1"/>
    <col min="13574" max="13574" width="13.7109375" style="476" customWidth="1"/>
    <col min="13575" max="13575" width="56.85546875" style="476" customWidth="1"/>
    <col min="13576" max="13824" width="9.140625" style="476"/>
    <col min="13825" max="13825" width="7.85546875" style="476" customWidth="1"/>
    <col min="13826" max="13826" width="41.7109375" style="476" customWidth="1"/>
    <col min="13827" max="13827" width="11.28515625" style="476" customWidth="1"/>
    <col min="13828" max="13828" width="11.5703125" style="476" customWidth="1"/>
    <col min="13829" max="13829" width="12.85546875" style="476" customWidth="1"/>
    <col min="13830" max="13830" width="13.7109375" style="476" customWidth="1"/>
    <col min="13831" max="13831" width="56.85546875" style="476" customWidth="1"/>
    <col min="13832" max="14080" width="9.140625" style="476"/>
    <col min="14081" max="14081" width="7.85546875" style="476" customWidth="1"/>
    <col min="14082" max="14082" width="41.7109375" style="476" customWidth="1"/>
    <col min="14083" max="14083" width="11.28515625" style="476" customWidth="1"/>
    <col min="14084" max="14084" width="11.5703125" style="476" customWidth="1"/>
    <col min="14085" max="14085" width="12.85546875" style="476" customWidth="1"/>
    <col min="14086" max="14086" width="13.7109375" style="476" customWidth="1"/>
    <col min="14087" max="14087" width="56.85546875" style="476" customWidth="1"/>
    <col min="14088" max="14336" width="9.140625" style="476"/>
    <col min="14337" max="14337" width="7.85546875" style="476" customWidth="1"/>
    <col min="14338" max="14338" width="41.7109375" style="476" customWidth="1"/>
    <col min="14339" max="14339" width="11.28515625" style="476" customWidth="1"/>
    <col min="14340" max="14340" width="11.5703125" style="476" customWidth="1"/>
    <col min="14341" max="14341" width="12.85546875" style="476" customWidth="1"/>
    <col min="14342" max="14342" width="13.7109375" style="476" customWidth="1"/>
    <col min="14343" max="14343" width="56.85546875" style="476" customWidth="1"/>
    <col min="14344" max="14592" width="9.140625" style="476"/>
    <col min="14593" max="14593" width="7.85546875" style="476" customWidth="1"/>
    <col min="14594" max="14594" width="41.7109375" style="476" customWidth="1"/>
    <col min="14595" max="14595" width="11.28515625" style="476" customWidth="1"/>
    <col min="14596" max="14596" width="11.5703125" style="476" customWidth="1"/>
    <col min="14597" max="14597" width="12.85546875" style="476" customWidth="1"/>
    <col min="14598" max="14598" width="13.7109375" style="476" customWidth="1"/>
    <col min="14599" max="14599" width="56.85546875" style="476" customWidth="1"/>
    <col min="14600" max="14848" width="9.140625" style="476"/>
    <col min="14849" max="14849" width="7.85546875" style="476" customWidth="1"/>
    <col min="14850" max="14850" width="41.7109375" style="476" customWidth="1"/>
    <col min="14851" max="14851" width="11.28515625" style="476" customWidth="1"/>
    <col min="14852" max="14852" width="11.5703125" style="476" customWidth="1"/>
    <col min="14853" max="14853" width="12.85546875" style="476" customWidth="1"/>
    <col min="14854" max="14854" width="13.7109375" style="476" customWidth="1"/>
    <col min="14855" max="14855" width="56.85546875" style="476" customWidth="1"/>
    <col min="14856" max="15104" width="9.140625" style="476"/>
    <col min="15105" max="15105" width="7.85546875" style="476" customWidth="1"/>
    <col min="15106" max="15106" width="41.7109375" style="476" customWidth="1"/>
    <col min="15107" max="15107" width="11.28515625" style="476" customWidth="1"/>
    <col min="15108" max="15108" width="11.5703125" style="476" customWidth="1"/>
    <col min="15109" max="15109" width="12.85546875" style="476" customWidth="1"/>
    <col min="15110" max="15110" width="13.7109375" style="476" customWidth="1"/>
    <col min="15111" max="15111" width="56.85546875" style="476" customWidth="1"/>
    <col min="15112" max="15360" width="9.140625" style="476"/>
    <col min="15361" max="15361" width="7.85546875" style="476" customWidth="1"/>
    <col min="15362" max="15362" width="41.7109375" style="476" customWidth="1"/>
    <col min="15363" max="15363" width="11.28515625" style="476" customWidth="1"/>
    <col min="15364" max="15364" width="11.5703125" style="476" customWidth="1"/>
    <col min="15365" max="15365" width="12.85546875" style="476" customWidth="1"/>
    <col min="15366" max="15366" width="13.7109375" style="476" customWidth="1"/>
    <col min="15367" max="15367" width="56.85546875" style="476" customWidth="1"/>
    <col min="15368" max="15616" width="9.140625" style="476"/>
    <col min="15617" max="15617" width="7.85546875" style="476" customWidth="1"/>
    <col min="15618" max="15618" width="41.7109375" style="476" customWidth="1"/>
    <col min="15619" max="15619" width="11.28515625" style="476" customWidth="1"/>
    <col min="15620" max="15620" width="11.5703125" style="476" customWidth="1"/>
    <col min="15621" max="15621" width="12.85546875" style="476" customWidth="1"/>
    <col min="15622" max="15622" width="13.7109375" style="476" customWidth="1"/>
    <col min="15623" max="15623" width="56.85546875" style="476" customWidth="1"/>
    <col min="15624" max="15872" width="9.140625" style="476"/>
    <col min="15873" max="15873" width="7.85546875" style="476" customWidth="1"/>
    <col min="15874" max="15874" width="41.7109375" style="476" customWidth="1"/>
    <col min="15875" max="15875" width="11.28515625" style="476" customWidth="1"/>
    <col min="15876" max="15876" width="11.5703125" style="476" customWidth="1"/>
    <col min="15877" max="15877" width="12.85546875" style="476" customWidth="1"/>
    <col min="15878" max="15878" width="13.7109375" style="476" customWidth="1"/>
    <col min="15879" max="15879" width="56.85546875" style="476" customWidth="1"/>
    <col min="15880" max="16128" width="9.140625" style="476"/>
    <col min="16129" max="16129" width="7.85546875" style="476" customWidth="1"/>
    <col min="16130" max="16130" width="41.7109375" style="476" customWidth="1"/>
    <col min="16131" max="16131" width="11.28515625" style="476" customWidth="1"/>
    <col min="16132" max="16132" width="11.5703125" style="476" customWidth="1"/>
    <col min="16133" max="16133" width="12.85546875" style="476" customWidth="1"/>
    <col min="16134" max="16134" width="13.7109375" style="476" customWidth="1"/>
    <col min="16135" max="16135" width="56.85546875" style="476" customWidth="1"/>
    <col min="16136" max="16384" width="9.140625" style="476"/>
  </cols>
  <sheetData>
    <row r="1" spans="1:8">
      <c r="A1" s="1840" t="s">
        <v>95</v>
      </c>
      <c r="B1" s="1840"/>
      <c r="G1" s="477" t="s">
        <v>858</v>
      </c>
    </row>
    <row r="2" spans="1:8">
      <c r="A2" s="1839" t="s">
        <v>859</v>
      </c>
      <c r="B2" s="1839"/>
    </row>
    <row r="3" spans="1:8" ht="18.75">
      <c r="A3" s="1841" t="s">
        <v>1051</v>
      </c>
      <c r="B3" s="1841"/>
      <c r="C3" s="1841"/>
      <c r="D3" s="1841"/>
      <c r="E3" s="1841"/>
      <c r="F3" s="1841"/>
      <c r="G3" s="1841"/>
    </row>
    <row r="4" spans="1:8">
      <c r="A4" s="478"/>
      <c r="B4" s="478"/>
      <c r="C4" s="478"/>
      <c r="D4" s="588"/>
      <c r="E4" s="478"/>
      <c r="F4" s="478"/>
      <c r="G4" s="478"/>
    </row>
    <row r="5" spans="1:8">
      <c r="C5" s="479"/>
      <c r="D5" s="479"/>
      <c r="E5" s="479"/>
      <c r="F5" s="479"/>
      <c r="G5" s="480" t="s">
        <v>860</v>
      </c>
    </row>
    <row r="6" spans="1:8" ht="31.5" customHeight="1">
      <c r="A6" s="1836" t="s">
        <v>861</v>
      </c>
      <c r="B6" s="1836" t="s">
        <v>355</v>
      </c>
      <c r="C6" s="1836" t="s">
        <v>862</v>
      </c>
      <c r="D6" s="1836" t="s">
        <v>863</v>
      </c>
      <c r="E6" s="1843" t="s">
        <v>864</v>
      </c>
      <c r="F6" s="1844"/>
      <c r="G6" s="1836" t="s">
        <v>865</v>
      </c>
    </row>
    <row r="7" spans="1:8">
      <c r="A7" s="1842"/>
      <c r="B7" s="1842"/>
      <c r="C7" s="1842"/>
      <c r="D7" s="1842"/>
      <c r="E7" s="1836" t="s">
        <v>866</v>
      </c>
      <c r="F7" s="1836" t="s">
        <v>867</v>
      </c>
      <c r="G7" s="1842"/>
    </row>
    <row r="8" spans="1:8">
      <c r="A8" s="1837"/>
      <c r="B8" s="1837"/>
      <c r="C8" s="1837"/>
      <c r="D8" s="1837"/>
      <c r="E8" s="1837"/>
      <c r="F8" s="1837"/>
      <c r="G8" s="1837"/>
    </row>
    <row r="9" spans="1:8">
      <c r="A9" s="481" t="s">
        <v>57</v>
      </c>
      <c r="B9" s="481" t="s">
        <v>80</v>
      </c>
      <c r="C9" s="481">
        <v>1</v>
      </c>
      <c r="D9" s="481">
        <v>2</v>
      </c>
      <c r="E9" s="481" t="s">
        <v>868</v>
      </c>
      <c r="F9" s="481" t="s">
        <v>878</v>
      </c>
      <c r="G9" s="481">
        <v>5</v>
      </c>
    </row>
    <row r="10" spans="1:8">
      <c r="A10" s="482"/>
      <c r="B10" s="482" t="s">
        <v>869</v>
      </c>
      <c r="C10" s="915">
        <f>SUM(C11:C16)</f>
        <v>868431.32500000019</v>
      </c>
      <c r="D10" s="915">
        <f>SUM(D11:D16)</f>
        <v>1736404.7300210001</v>
      </c>
      <c r="E10" s="482"/>
      <c r="F10" s="482"/>
      <c r="G10" s="482"/>
      <c r="H10" s="619">
        <f>+'CAN DOI_60_342 BTC'!J15</f>
        <v>1736404.7300210001</v>
      </c>
    </row>
    <row r="11" spans="1:8" ht="108.75" customHeight="1">
      <c r="A11" s="483" t="s">
        <v>104</v>
      </c>
      <c r="B11" s="484" t="s">
        <v>870</v>
      </c>
      <c r="C11" s="916">
        <v>569812.13699999999</v>
      </c>
      <c r="D11" s="916">
        <v>1062214.826164</v>
      </c>
      <c r="E11" s="589">
        <f>D11-C11</f>
        <v>492402.68916399998</v>
      </c>
      <c r="F11" s="485">
        <f>D11/C11*100</f>
        <v>186.41491768786244</v>
      </c>
      <c r="G11" s="486" t="s">
        <v>1056</v>
      </c>
      <c r="H11" s="619">
        <f>+D10-H10</f>
        <v>0</v>
      </c>
    </row>
    <row r="12" spans="1:8" ht="60">
      <c r="A12" s="483" t="s">
        <v>105</v>
      </c>
      <c r="B12" s="486" t="s">
        <v>871</v>
      </c>
      <c r="C12" s="916">
        <v>2423.4555719999998</v>
      </c>
      <c r="D12" s="916">
        <v>23373.877</v>
      </c>
      <c r="E12" s="589">
        <f t="shared" ref="E12:E16" si="0">D12-C12</f>
        <v>20950.421428000001</v>
      </c>
      <c r="F12" s="485">
        <f t="shared" ref="F12:F16" si="1">D12/C12*100</f>
        <v>964.48547561820135</v>
      </c>
      <c r="G12" s="486" t="s">
        <v>1055</v>
      </c>
    </row>
    <row r="13" spans="1:8" ht="45">
      <c r="A13" s="487" t="s">
        <v>106</v>
      </c>
      <c r="B13" s="486" t="s">
        <v>872</v>
      </c>
      <c r="C13" s="916">
        <v>30870.547321999999</v>
      </c>
      <c r="D13" s="916">
        <v>30833.797717000001</v>
      </c>
      <c r="E13" s="589">
        <f t="shared" si="0"/>
        <v>-36.749604999997246</v>
      </c>
      <c r="F13" s="485">
        <f t="shared" si="1"/>
        <v>99.880955771154049</v>
      </c>
      <c r="G13" s="486" t="s">
        <v>873</v>
      </c>
    </row>
    <row r="14" spans="1:8" ht="60">
      <c r="A14" s="487" t="s">
        <v>128</v>
      </c>
      <c r="B14" s="486" t="s">
        <v>874</v>
      </c>
      <c r="C14" s="917">
        <f>298619.188-C12-C13-C15-C16</f>
        <v>156135.43777000008</v>
      </c>
      <c r="D14" s="917">
        <f>15828.437001+418650.536531</f>
        <v>434478.97353199997</v>
      </c>
      <c r="E14" s="589">
        <f t="shared" si="0"/>
        <v>278343.5357619999</v>
      </c>
      <c r="F14" s="485">
        <f t="shared" si="1"/>
        <v>278.27057056196429</v>
      </c>
      <c r="G14" s="484" t="s">
        <v>1054</v>
      </c>
      <c r="H14" s="476" t="s">
        <v>1060</v>
      </c>
    </row>
    <row r="15" spans="1:8" ht="96.75" customHeight="1">
      <c r="A15" s="487" t="s">
        <v>359</v>
      </c>
      <c r="B15" s="486" t="s">
        <v>875</v>
      </c>
      <c r="C15" s="916">
        <v>106512.11599999999</v>
      </c>
      <c r="D15" s="916">
        <v>174519.902003</v>
      </c>
      <c r="E15" s="589">
        <f t="shared" si="0"/>
        <v>68007.786003000001</v>
      </c>
      <c r="F15" s="485">
        <f t="shared" si="1"/>
        <v>163.84981216878651</v>
      </c>
      <c r="G15" s="486" t="s">
        <v>1053</v>
      </c>
    </row>
    <row r="16" spans="1:8" ht="63.75" customHeight="1">
      <c r="A16" s="487" t="s">
        <v>107</v>
      </c>
      <c r="B16" s="486" t="s">
        <v>876</v>
      </c>
      <c r="C16" s="916">
        <v>2677.6313359999999</v>
      </c>
      <c r="D16" s="916">
        <v>10983.353605</v>
      </c>
      <c r="E16" s="589">
        <f t="shared" si="0"/>
        <v>8305.7222689999999</v>
      </c>
      <c r="F16" s="485">
        <f t="shared" si="1"/>
        <v>410.18916448025919</v>
      </c>
      <c r="G16" s="486" t="s">
        <v>1052</v>
      </c>
    </row>
    <row r="17" spans="2:7" ht="28.5" customHeight="1">
      <c r="E17" s="1838" t="s">
        <v>1068</v>
      </c>
      <c r="F17" s="1838"/>
      <c r="G17" s="1838"/>
    </row>
    <row r="18" spans="2:7">
      <c r="B18" s="488" t="s">
        <v>877</v>
      </c>
      <c r="E18" s="1839" t="s">
        <v>356</v>
      </c>
      <c r="F18" s="1839"/>
      <c r="G18" s="1839"/>
    </row>
  </sheetData>
  <mergeCells count="13">
    <mergeCell ref="F7:F8"/>
    <mergeCell ref="E17:G17"/>
    <mergeCell ref="E18:G18"/>
    <mergeCell ref="A1:B1"/>
    <mergeCell ref="A2:B2"/>
    <mergeCell ref="A3:G3"/>
    <mergeCell ref="A6:A8"/>
    <mergeCell ref="B6:B8"/>
    <mergeCell ref="C6:C8"/>
    <mergeCell ref="E6:F6"/>
    <mergeCell ref="G6:G8"/>
    <mergeCell ref="E7:E8"/>
    <mergeCell ref="D6:D8"/>
  </mergeCells>
  <pageMargins left="0" right="0" top="0.5" bottom="0.5" header="0.5" footer="0.5"/>
  <pageSetup paperSize="9" orientation="landscape" r:id="rId1"/>
  <headerFooter alignWithMargins="0"/>
  <drawing r:id="rId2"/>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Z992"/>
  <sheetViews>
    <sheetView showGridLines="0" topLeftCell="A2" zoomScale="136" zoomScaleNormal="136" workbookViewId="0">
      <selection activeCell="N13" sqref="N13"/>
    </sheetView>
  </sheetViews>
  <sheetFormatPr defaultRowHeight="15"/>
  <cols>
    <col min="1" max="1" width="4.5703125" style="641" customWidth="1"/>
    <col min="2" max="2" width="31.42578125" style="620" customWidth="1"/>
    <col min="3" max="3" width="6" style="620" customWidth="1"/>
    <col min="4" max="4" width="5.7109375" style="620" customWidth="1"/>
    <col min="5" max="5" width="5.28515625" style="620" customWidth="1"/>
    <col min="6" max="6" width="8.28515625" style="620" customWidth="1"/>
    <col min="7" max="7" width="5.28515625" style="620" customWidth="1"/>
    <col min="8" max="8" width="11.85546875" style="620" customWidth="1"/>
    <col min="9" max="9" width="11.140625" style="620" customWidth="1"/>
    <col min="10" max="10" width="10" style="620" hidden="1" customWidth="1"/>
    <col min="11" max="11" width="11.140625" style="620" hidden="1" customWidth="1"/>
    <col min="12" max="12" width="11.5703125" style="620" hidden="1" customWidth="1"/>
    <col min="13" max="13" width="11.85546875" style="620" customWidth="1"/>
    <col min="14" max="14" width="10.5703125" style="620" customWidth="1"/>
    <col min="15" max="15" width="10.42578125" style="620" hidden="1" customWidth="1"/>
    <col min="16" max="16" width="12.140625" style="620" customWidth="1"/>
    <col min="17" max="18" width="11.140625" style="620" hidden="1" customWidth="1"/>
    <col min="19" max="19" width="1.28515625" style="620" hidden="1" customWidth="1"/>
    <col min="20" max="20" width="11.140625" style="620" customWidth="1"/>
    <col min="21" max="21" width="11.28515625" style="620" hidden="1" customWidth="1"/>
    <col min="22" max="22" width="11.7109375" style="620" customWidth="1"/>
    <col min="23" max="24" width="12.140625" style="620" hidden="1" customWidth="1"/>
    <col min="25" max="25" width="0.7109375" style="620" customWidth="1"/>
    <col min="26" max="26" width="15.28515625" style="620" bestFit="1" customWidth="1"/>
    <col min="27" max="16384" width="9.140625" style="620"/>
  </cols>
  <sheetData>
    <row r="1" spans="1:26" hidden="1">
      <c r="A1" s="637" t="s">
        <v>1088</v>
      </c>
    </row>
    <row r="2" spans="1:26" ht="19.5" customHeight="1">
      <c r="A2" s="1868" t="s">
        <v>95</v>
      </c>
      <c r="B2" s="1868"/>
      <c r="C2" s="621"/>
      <c r="D2" s="621"/>
      <c r="E2" s="621"/>
      <c r="F2" s="621"/>
      <c r="G2" s="621"/>
      <c r="H2" s="621"/>
      <c r="I2" s="621"/>
      <c r="J2" s="621"/>
      <c r="K2" s="621"/>
      <c r="L2" s="621"/>
      <c r="M2" s="621"/>
      <c r="N2" s="621"/>
      <c r="O2" s="622"/>
      <c r="P2" s="622"/>
      <c r="Q2" s="622"/>
      <c r="R2" s="622"/>
      <c r="S2" s="622"/>
      <c r="T2" s="1845" t="s">
        <v>911</v>
      </c>
      <c r="U2" s="1845"/>
      <c r="V2" s="1845"/>
      <c r="W2" s="1845"/>
      <c r="X2" s="1845"/>
    </row>
    <row r="3" spans="1:26" ht="15" customHeight="1">
      <c r="A3" s="1869" t="s">
        <v>859</v>
      </c>
      <c r="B3" s="1869"/>
      <c r="C3" s="623"/>
      <c r="D3" s="623"/>
      <c r="E3" s="623"/>
      <c r="F3" s="623"/>
      <c r="G3" s="623"/>
      <c r="H3" s="623"/>
      <c r="I3" s="623"/>
      <c r="J3" s="623"/>
      <c r="K3" s="623"/>
      <c r="L3" s="623"/>
      <c r="M3" s="623"/>
      <c r="N3" s="623"/>
      <c r="O3" s="622"/>
      <c r="P3" s="622"/>
      <c r="Q3" s="622"/>
      <c r="R3" s="622"/>
      <c r="S3" s="622"/>
      <c r="T3" s="1846"/>
      <c r="U3" s="1846"/>
      <c r="V3" s="1846"/>
      <c r="W3" s="1846"/>
      <c r="X3" s="1846"/>
    </row>
    <row r="4" spans="1:26" ht="36" customHeight="1">
      <c r="A4" s="1847" t="s">
        <v>1378</v>
      </c>
      <c r="B4" s="1847"/>
      <c r="C4" s="1847"/>
      <c r="D4" s="1847"/>
      <c r="E4" s="1847"/>
      <c r="F4" s="1847"/>
      <c r="G4" s="1847"/>
      <c r="H4" s="1847"/>
      <c r="I4" s="1847"/>
      <c r="J4" s="1847"/>
      <c r="K4" s="1847"/>
      <c r="L4" s="1847"/>
      <c r="M4" s="1847"/>
      <c r="N4" s="1847"/>
      <c r="O4" s="1847"/>
      <c r="P4" s="1847"/>
      <c r="Q4" s="1847"/>
      <c r="R4" s="1847"/>
      <c r="S4" s="1847"/>
      <c r="T4" s="1847"/>
      <c r="U4" s="1847"/>
      <c r="V4" s="1847"/>
      <c r="W4" s="1847"/>
      <c r="X4" s="1847"/>
    </row>
    <row r="5" spans="1:26" hidden="1">
      <c r="A5" s="1848"/>
      <c r="B5" s="1848"/>
      <c r="C5" s="1848"/>
      <c r="D5" s="1848"/>
      <c r="E5" s="1848"/>
      <c r="F5" s="1848"/>
      <c r="G5" s="1848"/>
      <c r="H5" s="1848"/>
      <c r="I5" s="1848"/>
      <c r="J5" s="1848"/>
      <c r="K5" s="1848"/>
      <c r="L5" s="1848"/>
      <c r="M5" s="1848"/>
      <c r="N5" s="1848"/>
      <c r="O5" s="1848"/>
      <c r="P5" s="1848"/>
      <c r="Q5" s="1848"/>
      <c r="R5" s="1848"/>
      <c r="S5" s="1848"/>
      <c r="T5" s="1848"/>
      <c r="U5" s="1848"/>
      <c r="V5" s="1848"/>
      <c r="W5" s="1848"/>
      <c r="X5" s="1848"/>
    </row>
    <row r="6" spans="1:26">
      <c r="A6" s="1846" t="s">
        <v>1089</v>
      </c>
      <c r="B6" s="1846"/>
      <c r="C6" s="1846"/>
      <c r="D6" s="1846"/>
      <c r="E6" s="1846"/>
      <c r="F6" s="1846"/>
      <c r="G6" s="1846"/>
      <c r="H6" s="1846"/>
      <c r="I6" s="1846"/>
      <c r="J6" s="1846"/>
      <c r="K6" s="1846"/>
      <c r="L6" s="1846"/>
      <c r="M6" s="1846"/>
      <c r="N6" s="1846"/>
      <c r="O6" s="1846"/>
      <c r="P6" s="1846"/>
      <c r="Q6" s="1846"/>
      <c r="R6" s="1846"/>
      <c r="S6" s="1846"/>
      <c r="T6" s="1846"/>
      <c r="U6" s="1846"/>
      <c r="V6" s="1846"/>
      <c r="W6" s="1846"/>
      <c r="X6" s="1846"/>
    </row>
    <row r="7" spans="1:26" hidden="1">
      <c r="A7" s="638"/>
      <c r="B7" s="622"/>
      <c r="C7" s="622"/>
      <c r="D7" s="622"/>
      <c r="E7" s="622"/>
      <c r="F7" s="622"/>
      <c r="G7" s="622"/>
      <c r="H7" s="622"/>
      <c r="I7" s="624"/>
      <c r="J7" s="622"/>
      <c r="K7" s="622"/>
      <c r="L7" s="622"/>
      <c r="M7" s="622"/>
      <c r="N7" s="622"/>
      <c r="O7" s="622"/>
      <c r="P7" s="622"/>
      <c r="Q7" s="622"/>
      <c r="R7" s="622"/>
      <c r="S7" s="622"/>
      <c r="T7" s="625"/>
      <c r="U7" s="626">
        <f>T7-T13</f>
        <v>-94023320232</v>
      </c>
      <c r="V7" s="622"/>
      <c r="W7" s="622"/>
      <c r="X7" s="622"/>
    </row>
    <row r="8" spans="1:26" ht="15" customHeight="1">
      <c r="A8" s="1849" t="s">
        <v>45</v>
      </c>
      <c r="B8" s="1849" t="s">
        <v>879</v>
      </c>
      <c r="C8" s="1849" t="s">
        <v>1090</v>
      </c>
      <c r="D8" s="1849" t="s">
        <v>1091</v>
      </c>
      <c r="E8" s="1849" t="s">
        <v>1092</v>
      </c>
      <c r="F8" s="1849" t="s">
        <v>1093</v>
      </c>
      <c r="G8" s="1849" t="s">
        <v>1094</v>
      </c>
      <c r="H8" s="1858" t="s">
        <v>880</v>
      </c>
      <c r="I8" s="1859"/>
      <c r="J8" s="1859"/>
      <c r="K8" s="1859"/>
      <c r="L8" s="1859"/>
      <c r="M8" s="1859"/>
      <c r="N8" s="1852"/>
      <c r="O8" s="1858" t="s">
        <v>1095</v>
      </c>
      <c r="P8" s="1873" t="s">
        <v>1096</v>
      </c>
      <c r="Q8" s="1874"/>
      <c r="R8" s="1875"/>
      <c r="S8" s="627" t="s">
        <v>1097</v>
      </c>
      <c r="T8" s="1873" t="s">
        <v>1098</v>
      </c>
      <c r="U8" s="1874"/>
      <c r="V8" s="1875"/>
      <c r="W8" s="1852" t="s">
        <v>1099</v>
      </c>
      <c r="X8" s="1849" t="s">
        <v>1100</v>
      </c>
    </row>
    <row r="9" spans="1:26" ht="8.25" customHeight="1">
      <c r="A9" s="1850"/>
      <c r="B9" s="1850"/>
      <c r="C9" s="1850"/>
      <c r="D9" s="1850"/>
      <c r="E9" s="1850"/>
      <c r="F9" s="1850"/>
      <c r="G9" s="1850"/>
      <c r="H9" s="1856"/>
      <c r="I9" s="1860"/>
      <c r="J9" s="1860"/>
      <c r="K9" s="1860"/>
      <c r="L9" s="1860"/>
      <c r="M9" s="1860"/>
      <c r="N9" s="1853"/>
      <c r="O9" s="1856"/>
      <c r="P9" s="1876"/>
      <c r="Q9" s="1860"/>
      <c r="R9" s="1877"/>
      <c r="S9" s="1859" t="s">
        <v>240</v>
      </c>
      <c r="T9" s="1878"/>
      <c r="U9" s="1879"/>
      <c r="V9" s="1880"/>
      <c r="W9" s="1853"/>
      <c r="X9" s="1850"/>
    </row>
    <row r="10" spans="1:26" ht="6.75" customHeight="1">
      <c r="A10" s="1850"/>
      <c r="B10" s="1850"/>
      <c r="C10" s="1850"/>
      <c r="D10" s="1850"/>
      <c r="E10" s="1850"/>
      <c r="F10" s="1850"/>
      <c r="G10" s="1856"/>
      <c r="H10" s="1862" t="s">
        <v>240</v>
      </c>
      <c r="I10" s="1852" t="s">
        <v>1101</v>
      </c>
      <c r="J10" s="1864" t="s">
        <v>910</v>
      </c>
      <c r="K10" s="1865"/>
      <c r="L10" s="1866"/>
      <c r="M10" s="1849" t="s">
        <v>881</v>
      </c>
      <c r="N10" s="1849" t="s">
        <v>2724</v>
      </c>
      <c r="O10" s="1856"/>
      <c r="P10" s="1876"/>
      <c r="Q10" s="1860"/>
      <c r="R10" s="1877"/>
      <c r="S10" s="1853"/>
      <c r="T10" s="1850" t="s">
        <v>882</v>
      </c>
      <c r="U10" s="1850" t="s">
        <v>1102</v>
      </c>
      <c r="V10" s="1850" t="s">
        <v>883</v>
      </c>
      <c r="W10" s="1850"/>
      <c r="X10" s="1850"/>
    </row>
    <row r="11" spans="1:26" ht="27.75" customHeight="1">
      <c r="A11" s="1851"/>
      <c r="B11" s="1851"/>
      <c r="C11" s="1851"/>
      <c r="D11" s="1851"/>
      <c r="E11" s="1851"/>
      <c r="F11" s="1851"/>
      <c r="G11" s="1857"/>
      <c r="H11" s="1863"/>
      <c r="I11" s="1861"/>
      <c r="J11" s="628" t="s">
        <v>1101</v>
      </c>
      <c r="K11" s="628" t="s">
        <v>1103</v>
      </c>
      <c r="L11" s="628" t="s">
        <v>1104</v>
      </c>
      <c r="M11" s="1851"/>
      <c r="N11" s="1851"/>
      <c r="O11" s="1857"/>
      <c r="P11" s="1878"/>
      <c r="Q11" s="1879"/>
      <c r="R11" s="1880"/>
      <c r="S11" s="1861"/>
      <c r="T11" s="1851"/>
      <c r="U11" s="1851"/>
      <c r="V11" s="1851"/>
      <c r="W11" s="1851"/>
      <c r="X11" s="1851"/>
    </row>
    <row r="12" spans="1:26" ht="10.5" hidden="1" customHeight="1">
      <c r="A12" s="629" t="s">
        <v>104</v>
      </c>
      <c r="B12" s="629" t="s">
        <v>105</v>
      </c>
      <c r="C12" s="629" t="s">
        <v>106</v>
      </c>
      <c r="D12" s="629" t="s">
        <v>128</v>
      </c>
      <c r="E12" s="629" t="s">
        <v>359</v>
      </c>
      <c r="F12" s="629" t="s">
        <v>107</v>
      </c>
      <c r="G12" s="629" t="s">
        <v>433</v>
      </c>
      <c r="H12" s="630" t="s">
        <v>1105</v>
      </c>
      <c r="I12" s="629">
        <v>9</v>
      </c>
      <c r="J12" s="629" t="s">
        <v>438</v>
      </c>
      <c r="K12" s="629" t="s">
        <v>440</v>
      </c>
      <c r="L12" s="629" t="s">
        <v>441</v>
      </c>
      <c r="M12" s="629">
        <v>10</v>
      </c>
      <c r="N12" s="629">
        <v>11</v>
      </c>
      <c r="O12" s="629" t="s">
        <v>445</v>
      </c>
      <c r="P12" s="630" t="s">
        <v>1106</v>
      </c>
      <c r="Q12" s="630" t="s">
        <v>447</v>
      </c>
      <c r="R12" s="630" t="s">
        <v>449</v>
      </c>
      <c r="S12" s="629" t="s">
        <v>1107</v>
      </c>
      <c r="T12" s="629" t="s">
        <v>451</v>
      </c>
      <c r="U12" s="629" t="s">
        <v>556</v>
      </c>
      <c r="V12" s="629" t="s">
        <v>557</v>
      </c>
      <c r="W12" s="629" t="s">
        <v>558</v>
      </c>
      <c r="X12" s="629" t="s">
        <v>559</v>
      </c>
    </row>
    <row r="13" spans="1:26">
      <c r="A13" s="642"/>
      <c r="B13" s="643" t="s">
        <v>240</v>
      </c>
      <c r="C13" s="642"/>
      <c r="D13" s="642"/>
      <c r="E13" s="642"/>
      <c r="F13" s="642"/>
      <c r="G13" s="642"/>
      <c r="H13" s="644">
        <f>SUM(H19:H984)</f>
        <v>1702569446355</v>
      </c>
      <c r="I13" s="644">
        <f>SUM(I19:I984)</f>
        <v>157550767410</v>
      </c>
      <c r="J13" s="644">
        <v>108650071133</v>
      </c>
      <c r="K13" s="644">
        <v>0</v>
      </c>
      <c r="L13" s="644">
        <v>48900696277</v>
      </c>
      <c r="M13" s="644">
        <f>SUM(M19:M984)</f>
        <v>1373952381842</v>
      </c>
      <c r="N13" s="644">
        <f>SUM(N19:N984)</f>
        <v>171066297103</v>
      </c>
      <c r="O13" s="644">
        <v>0</v>
      </c>
      <c r="P13" s="644">
        <f>SUM(P19:P984)</f>
        <v>1548996696954</v>
      </c>
      <c r="Q13" s="644">
        <v>1548996696954</v>
      </c>
      <c r="R13" s="644">
        <v>0</v>
      </c>
      <c r="S13" s="644">
        <f>SUM(S19:S984)</f>
        <v>110991056257</v>
      </c>
      <c r="T13" s="644">
        <f>SUM(T19:T984)</f>
        <v>94023320232</v>
      </c>
      <c r="U13" s="644">
        <v>21605747000</v>
      </c>
      <c r="V13" s="644">
        <f>SUM(V19:V984)</f>
        <v>10824338675</v>
      </c>
      <c r="W13" s="632">
        <f>SUM(W19:W984)</f>
        <v>6147426350</v>
      </c>
      <c r="X13" s="632">
        <v>42577664144</v>
      </c>
      <c r="Z13" s="633"/>
    </row>
    <row r="14" spans="1:26" hidden="1">
      <c r="A14" s="642"/>
      <c r="B14" s="643" t="s">
        <v>66</v>
      </c>
      <c r="C14" s="642"/>
      <c r="D14" s="642"/>
      <c r="E14" s="642"/>
      <c r="F14" s="642"/>
      <c r="G14" s="642"/>
      <c r="H14" s="644">
        <v>1658576492705</v>
      </c>
      <c r="I14" s="644">
        <v>154476199260</v>
      </c>
      <c r="J14" s="644">
        <v>105583193713</v>
      </c>
      <c r="K14" s="644">
        <v>0</v>
      </c>
      <c r="L14" s="644">
        <v>48893005547</v>
      </c>
      <c r="M14" s="644">
        <v>1354209960842</v>
      </c>
      <c r="N14" s="644">
        <v>149890332603</v>
      </c>
      <c r="O14" s="644">
        <v>0</v>
      </c>
      <c r="P14" s="644">
        <v>1515867853984</v>
      </c>
      <c r="Q14" s="644">
        <v>1515867853984</v>
      </c>
      <c r="R14" s="644">
        <v>0</v>
      </c>
      <c r="S14" s="644">
        <v>103129360733</v>
      </c>
      <c r="T14" s="644">
        <v>71165425058</v>
      </c>
      <c r="U14" s="644">
        <v>21139597000</v>
      </c>
      <c r="V14" s="644">
        <v>10824338675</v>
      </c>
      <c r="W14" s="632">
        <v>4029000</v>
      </c>
      <c r="X14" s="632">
        <v>39575248988</v>
      </c>
    </row>
    <row r="15" spans="1:26" hidden="1">
      <c r="A15" s="642"/>
      <c r="B15" s="643" t="s">
        <v>1108</v>
      </c>
      <c r="C15" s="642"/>
      <c r="D15" s="642"/>
      <c r="E15" s="642"/>
      <c r="F15" s="642"/>
      <c r="G15" s="642"/>
      <c r="H15" s="644">
        <v>43992953650</v>
      </c>
      <c r="I15" s="644">
        <v>3074568150</v>
      </c>
      <c r="J15" s="644">
        <v>3066877420</v>
      </c>
      <c r="K15" s="644">
        <v>0</v>
      </c>
      <c r="L15" s="644">
        <v>7690730</v>
      </c>
      <c r="M15" s="644">
        <v>19742421000</v>
      </c>
      <c r="N15" s="644">
        <v>21175964500</v>
      </c>
      <c r="O15" s="644">
        <v>0</v>
      </c>
      <c r="P15" s="644">
        <v>33128842970</v>
      </c>
      <c r="Q15" s="644">
        <v>33128842970</v>
      </c>
      <c r="R15" s="644">
        <v>0</v>
      </c>
      <c r="S15" s="644">
        <v>7861695524</v>
      </c>
      <c r="T15" s="644">
        <v>7861695524</v>
      </c>
      <c r="U15" s="644">
        <v>0</v>
      </c>
      <c r="V15" s="644">
        <v>0</v>
      </c>
      <c r="W15" s="632">
        <v>0</v>
      </c>
      <c r="X15" s="632">
        <v>3002415156</v>
      </c>
    </row>
    <row r="16" spans="1:26" hidden="1">
      <c r="A16" s="642"/>
      <c r="B16" s="643" t="s">
        <v>1109</v>
      </c>
      <c r="C16" s="642"/>
      <c r="D16" s="642"/>
      <c r="E16" s="642"/>
      <c r="F16" s="642"/>
      <c r="G16" s="642"/>
      <c r="H16" s="642"/>
      <c r="I16" s="642"/>
      <c r="J16" s="642"/>
      <c r="K16" s="642"/>
      <c r="L16" s="642"/>
      <c r="M16" s="642"/>
      <c r="N16" s="642"/>
      <c r="O16" s="642"/>
      <c r="P16" s="642"/>
      <c r="Q16" s="642"/>
      <c r="R16" s="642"/>
      <c r="S16" s="642"/>
      <c r="T16" s="642"/>
      <c r="U16" s="642"/>
      <c r="V16" s="642"/>
      <c r="W16" s="631"/>
      <c r="X16" s="631"/>
    </row>
    <row r="17" spans="1:26" hidden="1">
      <c r="A17" s="642"/>
      <c r="B17" s="643" t="s">
        <v>1110</v>
      </c>
      <c r="C17" s="642"/>
      <c r="D17" s="642"/>
      <c r="E17" s="642"/>
      <c r="F17" s="642"/>
      <c r="G17" s="642"/>
      <c r="H17" s="642"/>
      <c r="I17" s="642"/>
      <c r="J17" s="642"/>
      <c r="K17" s="642"/>
      <c r="L17" s="642"/>
      <c r="M17" s="642"/>
      <c r="N17" s="642"/>
      <c r="O17" s="642"/>
      <c r="P17" s="642"/>
      <c r="Q17" s="642"/>
      <c r="R17" s="642"/>
      <c r="S17" s="642"/>
      <c r="T17" s="642"/>
      <c r="U17" s="642"/>
      <c r="V17" s="642"/>
      <c r="W17" s="631"/>
      <c r="X17" s="631"/>
    </row>
    <row r="18" spans="1:26" hidden="1">
      <c r="A18" s="642"/>
      <c r="B18" s="643" t="s">
        <v>1111</v>
      </c>
      <c r="C18" s="642"/>
      <c r="D18" s="642"/>
      <c r="E18" s="642"/>
      <c r="F18" s="642"/>
      <c r="G18" s="642"/>
      <c r="H18" s="642"/>
      <c r="I18" s="642"/>
      <c r="J18" s="642"/>
      <c r="K18" s="642"/>
      <c r="L18" s="642"/>
      <c r="M18" s="642"/>
      <c r="N18" s="642"/>
      <c r="O18" s="642"/>
      <c r="P18" s="642"/>
      <c r="Q18" s="642"/>
      <c r="R18" s="642"/>
      <c r="S18" s="642"/>
      <c r="T18" s="642"/>
      <c r="U18" s="642"/>
      <c r="V18" s="642"/>
      <c r="W18" s="631"/>
      <c r="X18" s="631"/>
    </row>
    <row r="19" spans="1:26" ht="22.5">
      <c r="A19" s="645">
        <v>1</v>
      </c>
      <c r="B19" s="643" t="s">
        <v>1112</v>
      </c>
      <c r="C19" s="645" t="s">
        <v>441</v>
      </c>
      <c r="D19" s="645" t="s">
        <v>1113</v>
      </c>
      <c r="E19" s="645" t="s">
        <v>905</v>
      </c>
      <c r="F19" s="645" t="s">
        <v>1114</v>
      </c>
      <c r="G19" s="645" t="s">
        <v>777</v>
      </c>
      <c r="H19" s="644">
        <v>13632000000</v>
      </c>
      <c r="I19" s="644">
        <v>0</v>
      </c>
      <c r="J19" s="644">
        <v>0</v>
      </c>
      <c r="K19" s="644">
        <v>0</v>
      </c>
      <c r="L19" s="644">
        <v>0</v>
      </c>
      <c r="M19" s="644">
        <v>13632000000</v>
      </c>
      <c r="N19" s="644">
        <v>0</v>
      </c>
      <c r="O19" s="644">
        <v>0</v>
      </c>
      <c r="P19" s="644">
        <v>13541462240</v>
      </c>
      <c r="Q19" s="644">
        <v>13541462240</v>
      </c>
      <c r="R19" s="644">
        <v>0</v>
      </c>
      <c r="S19" s="644">
        <v>0</v>
      </c>
      <c r="T19" s="644">
        <v>0</v>
      </c>
      <c r="U19" s="644">
        <v>0</v>
      </c>
      <c r="V19" s="644">
        <v>0</v>
      </c>
      <c r="W19" s="632">
        <v>0</v>
      </c>
      <c r="X19" s="632">
        <v>0</v>
      </c>
      <c r="Z19" s="633"/>
    </row>
    <row r="20" spans="1:26" ht="22.5">
      <c r="A20" s="645">
        <v>2</v>
      </c>
      <c r="B20" s="643" t="s">
        <v>1112</v>
      </c>
      <c r="C20" s="645" t="s">
        <v>441</v>
      </c>
      <c r="D20" s="645" t="s">
        <v>1113</v>
      </c>
      <c r="E20" s="645" t="s">
        <v>1115</v>
      </c>
      <c r="F20" s="645" t="s">
        <v>1114</v>
      </c>
      <c r="G20" s="645" t="s">
        <v>777</v>
      </c>
      <c r="H20" s="644">
        <v>146000000</v>
      </c>
      <c r="I20" s="644">
        <v>0</v>
      </c>
      <c r="J20" s="644">
        <v>0</v>
      </c>
      <c r="K20" s="644">
        <v>0</v>
      </c>
      <c r="L20" s="644">
        <v>0</v>
      </c>
      <c r="M20" s="644">
        <v>2000000</v>
      </c>
      <c r="N20" s="644">
        <v>144000000</v>
      </c>
      <c r="O20" s="644">
        <v>0</v>
      </c>
      <c r="P20" s="644">
        <v>146000000</v>
      </c>
      <c r="Q20" s="644">
        <v>146000000</v>
      </c>
      <c r="R20" s="644">
        <v>0</v>
      </c>
      <c r="S20" s="644">
        <v>0</v>
      </c>
      <c r="T20" s="644">
        <v>0</v>
      </c>
      <c r="U20" s="644">
        <v>0</v>
      </c>
      <c r="V20" s="644">
        <v>0</v>
      </c>
      <c r="W20" s="632">
        <v>0</v>
      </c>
      <c r="X20" s="632">
        <v>0</v>
      </c>
      <c r="Z20" s="633"/>
    </row>
    <row r="21" spans="1:26" ht="22.5">
      <c r="A21" s="645">
        <v>3</v>
      </c>
      <c r="B21" s="643" t="s">
        <v>1112</v>
      </c>
      <c r="C21" s="645" t="s">
        <v>441</v>
      </c>
      <c r="D21" s="645" t="s">
        <v>1113</v>
      </c>
      <c r="E21" s="645" t="s">
        <v>1116</v>
      </c>
      <c r="F21" s="645" t="s">
        <v>1114</v>
      </c>
      <c r="G21" s="645" t="s">
        <v>777</v>
      </c>
      <c r="H21" s="644">
        <v>40000000</v>
      </c>
      <c r="I21" s="644">
        <v>0</v>
      </c>
      <c r="J21" s="644">
        <v>0</v>
      </c>
      <c r="K21" s="644">
        <v>0</v>
      </c>
      <c r="L21" s="644">
        <v>0</v>
      </c>
      <c r="M21" s="644">
        <v>0</v>
      </c>
      <c r="N21" s="644">
        <v>40000000</v>
      </c>
      <c r="O21" s="644">
        <v>0</v>
      </c>
      <c r="P21" s="644">
        <v>6307650</v>
      </c>
      <c r="Q21" s="644">
        <v>6307650</v>
      </c>
      <c r="R21" s="644">
        <v>0</v>
      </c>
      <c r="S21" s="644">
        <v>0</v>
      </c>
      <c r="T21" s="644">
        <v>0</v>
      </c>
      <c r="U21" s="644">
        <v>0</v>
      </c>
      <c r="V21" s="644">
        <v>0</v>
      </c>
      <c r="W21" s="632">
        <v>0</v>
      </c>
      <c r="X21" s="632">
        <v>0</v>
      </c>
    </row>
    <row r="22" spans="1:26">
      <c r="A22" s="645">
        <v>4</v>
      </c>
      <c r="B22" s="643" t="s">
        <v>1117</v>
      </c>
      <c r="C22" s="645" t="s">
        <v>441</v>
      </c>
      <c r="D22" s="645" t="s">
        <v>1118</v>
      </c>
      <c r="E22" s="645" t="s">
        <v>900</v>
      </c>
      <c r="F22" s="645" t="s">
        <v>1114</v>
      </c>
      <c r="G22" s="645" t="s">
        <v>777</v>
      </c>
      <c r="H22" s="644">
        <v>9048684000</v>
      </c>
      <c r="I22" s="644">
        <v>448684000</v>
      </c>
      <c r="J22" s="644">
        <v>315508000</v>
      </c>
      <c r="K22" s="644">
        <v>0</v>
      </c>
      <c r="L22" s="644">
        <v>133176000</v>
      </c>
      <c r="M22" s="644">
        <v>8600000000</v>
      </c>
      <c r="N22" s="644">
        <v>0</v>
      </c>
      <c r="O22" s="644">
        <v>0</v>
      </c>
      <c r="P22" s="644">
        <v>746381000</v>
      </c>
      <c r="Q22" s="644">
        <v>746381000</v>
      </c>
      <c r="R22" s="644">
        <v>0</v>
      </c>
      <c r="S22" s="644">
        <v>8299339000</v>
      </c>
      <c r="T22" s="644">
        <v>8137326000</v>
      </c>
      <c r="U22" s="644">
        <v>0</v>
      </c>
      <c r="V22" s="644">
        <v>162013000</v>
      </c>
      <c r="W22" s="632">
        <v>0</v>
      </c>
      <c r="X22" s="632">
        <v>14800000</v>
      </c>
    </row>
    <row r="23" spans="1:26">
      <c r="A23" s="645">
        <v>5</v>
      </c>
      <c r="B23" s="643" t="s">
        <v>1117</v>
      </c>
      <c r="C23" s="645" t="s">
        <v>441</v>
      </c>
      <c r="D23" s="645" t="s">
        <v>1118</v>
      </c>
      <c r="E23" s="645" t="s">
        <v>905</v>
      </c>
      <c r="F23" s="645" t="s">
        <v>1114</v>
      </c>
      <c r="G23" s="645" t="s">
        <v>777</v>
      </c>
      <c r="H23" s="644">
        <v>20714863000</v>
      </c>
      <c r="I23" s="644">
        <v>0</v>
      </c>
      <c r="J23" s="644">
        <v>0</v>
      </c>
      <c r="K23" s="644">
        <v>0</v>
      </c>
      <c r="L23" s="644">
        <v>0</v>
      </c>
      <c r="M23" s="644">
        <v>16402000000</v>
      </c>
      <c r="N23" s="644">
        <v>4312863000</v>
      </c>
      <c r="O23" s="644">
        <v>0</v>
      </c>
      <c r="P23" s="644">
        <v>19644803637</v>
      </c>
      <c r="Q23" s="644">
        <v>19644803637</v>
      </c>
      <c r="R23" s="644">
        <v>0</v>
      </c>
      <c r="S23" s="644">
        <v>13000000</v>
      </c>
      <c r="T23" s="644">
        <v>13000000</v>
      </c>
      <c r="U23" s="644">
        <v>0</v>
      </c>
      <c r="V23" s="644">
        <v>0</v>
      </c>
      <c r="W23" s="632">
        <v>0</v>
      </c>
      <c r="X23" s="632">
        <v>1086135864</v>
      </c>
    </row>
    <row r="24" spans="1:26">
      <c r="A24" s="645">
        <v>6</v>
      </c>
      <c r="B24" s="643" t="s">
        <v>1117</v>
      </c>
      <c r="C24" s="645" t="s">
        <v>441</v>
      </c>
      <c r="D24" s="645" t="s">
        <v>1118</v>
      </c>
      <c r="E24" s="645" t="s">
        <v>1115</v>
      </c>
      <c r="F24" s="645" t="s">
        <v>1114</v>
      </c>
      <c r="G24" s="645" t="s">
        <v>777</v>
      </c>
      <c r="H24" s="644">
        <v>1133500000</v>
      </c>
      <c r="I24" s="644">
        <v>0</v>
      </c>
      <c r="J24" s="644">
        <v>0</v>
      </c>
      <c r="K24" s="644">
        <v>0</v>
      </c>
      <c r="L24" s="644">
        <v>0</v>
      </c>
      <c r="M24" s="644">
        <v>2500000</v>
      </c>
      <c r="N24" s="644">
        <v>1131000000</v>
      </c>
      <c r="O24" s="644">
        <v>0</v>
      </c>
      <c r="P24" s="644">
        <v>1057063000</v>
      </c>
      <c r="Q24" s="644">
        <v>1057063000</v>
      </c>
      <c r="R24" s="644">
        <v>0</v>
      </c>
      <c r="S24" s="644">
        <v>0</v>
      </c>
      <c r="T24" s="644">
        <v>0</v>
      </c>
      <c r="U24" s="644">
        <v>0</v>
      </c>
      <c r="V24" s="644">
        <v>0</v>
      </c>
      <c r="W24" s="632">
        <v>0</v>
      </c>
      <c r="X24" s="632">
        <v>277116211</v>
      </c>
    </row>
    <row r="25" spans="1:26">
      <c r="A25" s="645">
        <v>7</v>
      </c>
      <c r="B25" s="643" t="s">
        <v>1117</v>
      </c>
      <c r="C25" s="645" t="s">
        <v>441</v>
      </c>
      <c r="D25" s="645" t="s">
        <v>1118</v>
      </c>
      <c r="E25" s="645" t="s">
        <v>1116</v>
      </c>
      <c r="F25" s="645" t="s">
        <v>1114</v>
      </c>
      <c r="G25" s="645" t="s">
        <v>777</v>
      </c>
      <c r="H25" s="644">
        <v>64698000</v>
      </c>
      <c r="I25" s="644">
        <v>0</v>
      </c>
      <c r="J25" s="644">
        <v>0</v>
      </c>
      <c r="K25" s="644">
        <v>0</v>
      </c>
      <c r="L25" s="644">
        <v>0</v>
      </c>
      <c r="M25" s="644">
        <v>0</v>
      </c>
      <c r="N25" s="644">
        <v>64698000</v>
      </c>
      <c r="O25" s="644">
        <v>0</v>
      </c>
      <c r="P25" s="644">
        <v>17000000</v>
      </c>
      <c r="Q25" s="644">
        <v>17000000</v>
      </c>
      <c r="R25" s="644">
        <v>0</v>
      </c>
      <c r="S25" s="644">
        <v>0</v>
      </c>
      <c r="T25" s="644">
        <v>0</v>
      </c>
      <c r="U25" s="644">
        <v>0</v>
      </c>
      <c r="V25" s="644">
        <v>0</v>
      </c>
      <c r="W25" s="632">
        <v>0</v>
      </c>
      <c r="X25" s="632">
        <v>0</v>
      </c>
    </row>
    <row r="26" spans="1:26" ht="22.5">
      <c r="A26" s="645">
        <v>8</v>
      </c>
      <c r="B26" s="643" t="s">
        <v>1119</v>
      </c>
      <c r="C26" s="645" t="s">
        <v>441</v>
      </c>
      <c r="D26" s="645" t="s">
        <v>1118</v>
      </c>
      <c r="E26" s="645" t="s">
        <v>900</v>
      </c>
      <c r="F26" s="645" t="s">
        <v>1114</v>
      </c>
      <c r="G26" s="645" t="s">
        <v>777</v>
      </c>
      <c r="H26" s="644">
        <v>1347000000</v>
      </c>
      <c r="I26" s="644">
        <v>0</v>
      </c>
      <c r="J26" s="644">
        <v>0</v>
      </c>
      <c r="K26" s="644">
        <v>0</v>
      </c>
      <c r="L26" s="644">
        <v>0</v>
      </c>
      <c r="M26" s="644">
        <v>1347000000</v>
      </c>
      <c r="N26" s="644">
        <v>0</v>
      </c>
      <c r="O26" s="644">
        <v>0</v>
      </c>
      <c r="P26" s="644">
        <v>1135721060</v>
      </c>
      <c r="Q26" s="644">
        <v>1135721060</v>
      </c>
      <c r="R26" s="644">
        <v>0</v>
      </c>
      <c r="S26" s="644">
        <v>0</v>
      </c>
      <c r="T26" s="644">
        <v>0</v>
      </c>
      <c r="U26" s="644">
        <v>0</v>
      </c>
      <c r="V26" s="644">
        <v>0</v>
      </c>
      <c r="W26" s="632">
        <v>0</v>
      </c>
      <c r="X26" s="632">
        <v>0</v>
      </c>
    </row>
    <row r="27" spans="1:26" ht="22.5">
      <c r="A27" s="645">
        <v>9</v>
      </c>
      <c r="B27" s="643" t="s">
        <v>1119</v>
      </c>
      <c r="C27" s="645" t="s">
        <v>441</v>
      </c>
      <c r="D27" s="645" t="s">
        <v>1118</v>
      </c>
      <c r="E27" s="645" t="s">
        <v>904</v>
      </c>
      <c r="F27" s="645" t="s">
        <v>1114</v>
      </c>
      <c r="G27" s="645" t="s">
        <v>777</v>
      </c>
      <c r="H27" s="644">
        <v>63050000</v>
      </c>
      <c r="I27" s="644">
        <v>0</v>
      </c>
      <c r="J27" s="644">
        <v>0</v>
      </c>
      <c r="K27" s="644">
        <v>0</v>
      </c>
      <c r="L27" s="644">
        <v>0</v>
      </c>
      <c r="M27" s="644">
        <v>63050000</v>
      </c>
      <c r="N27" s="644">
        <v>0</v>
      </c>
      <c r="O27" s="644">
        <v>0</v>
      </c>
      <c r="P27" s="644">
        <v>36640000</v>
      </c>
      <c r="Q27" s="644">
        <v>36640000</v>
      </c>
      <c r="R27" s="644">
        <v>0</v>
      </c>
      <c r="S27" s="644">
        <v>24800000</v>
      </c>
      <c r="T27" s="644">
        <v>24800000</v>
      </c>
      <c r="U27" s="644">
        <v>0</v>
      </c>
      <c r="V27" s="644">
        <v>0</v>
      </c>
      <c r="W27" s="632">
        <v>0</v>
      </c>
      <c r="X27" s="632">
        <v>0</v>
      </c>
    </row>
    <row r="28" spans="1:26" ht="22.5">
      <c r="A28" s="645">
        <v>10</v>
      </c>
      <c r="B28" s="643" t="s">
        <v>1119</v>
      </c>
      <c r="C28" s="645" t="s">
        <v>441</v>
      </c>
      <c r="D28" s="645" t="s">
        <v>1118</v>
      </c>
      <c r="E28" s="645" t="s">
        <v>710</v>
      </c>
      <c r="F28" s="645" t="s">
        <v>1120</v>
      </c>
      <c r="G28" s="645" t="s">
        <v>777</v>
      </c>
      <c r="H28" s="644">
        <v>50000000</v>
      </c>
      <c r="I28" s="644">
        <v>0</v>
      </c>
      <c r="J28" s="644">
        <v>0</v>
      </c>
      <c r="K28" s="644">
        <v>0</v>
      </c>
      <c r="L28" s="644">
        <v>0</v>
      </c>
      <c r="M28" s="644">
        <v>50000000</v>
      </c>
      <c r="N28" s="644">
        <v>0</v>
      </c>
      <c r="O28" s="644">
        <v>0</v>
      </c>
      <c r="P28" s="644">
        <v>49906000</v>
      </c>
      <c r="Q28" s="644">
        <v>49906000</v>
      </c>
      <c r="R28" s="644">
        <v>0</v>
      </c>
      <c r="S28" s="644">
        <v>0</v>
      </c>
      <c r="T28" s="644">
        <v>0</v>
      </c>
      <c r="U28" s="644">
        <v>0</v>
      </c>
      <c r="V28" s="644">
        <v>0</v>
      </c>
      <c r="W28" s="632">
        <v>0</v>
      </c>
      <c r="X28" s="632">
        <v>21868000</v>
      </c>
    </row>
    <row r="29" spans="1:26">
      <c r="A29" s="645">
        <v>11</v>
      </c>
      <c r="B29" s="643" t="s">
        <v>1121</v>
      </c>
      <c r="C29" s="645" t="s">
        <v>441</v>
      </c>
      <c r="D29" s="645" t="s">
        <v>1118</v>
      </c>
      <c r="E29" s="645" t="s">
        <v>904</v>
      </c>
      <c r="F29" s="645" t="s">
        <v>1114</v>
      </c>
      <c r="G29" s="645" t="s">
        <v>777</v>
      </c>
      <c r="H29" s="644">
        <v>97000000</v>
      </c>
      <c r="I29" s="644">
        <v>0</v>
      </c>
      <c r="J29" s="644">
        <v>0</v>
      </c>
      <c r="K29" s="644">
        <v>0</v>
      </c>
      <c r="L29" s="644">
        <v>0</v>
      </c>
      <c r="M29" s="644">
        <v>97000000</v>
      </c>
      <c r="N29" s="644">
        <v>0</v>
      </c>
      <c r="O29" s="644">
        <v>0</v>
      </c>
      <c r="P29" s="644">
        <v>78650000</v>
      </c>
      <c r="Q29" s="644">
        <v>78650000</v>
      </c>
      <c r="R29" s="644">
        <v>0</v>
      </c>
      <c r="S29" s="644">
        <v>0</v>
      </c>
      <c r="T29" s="644">
        <v>0</v>
      </c>
      <c r="U29" s="644">
        <v>0</v>
      </c>
      <c r="V29" s="644">
        <v>0</v>
      </c>
      <c r="W29" s="632">
        <v>0</v>
      </c>
      <c r="X29" s="632">
        <v>0</v>
      </c>
    </row>
    <row r="30" spans="1:26">
      <c r="A30" s="645">
        <v>12</v>
      </c>
      <c r="B30" s="643" t="s">
        <v>1121</v>
      </c>
      <c r="C30" s="645" t="s">
        <v>441</v>
      </c>
      <c r="D30" s="645" t="s">
        <v>1118</v>
      </c>
      <c r="E30" s="645" t="s">
        <v>905</v>
      </c>
      <c r="F30" s="645" t="s">
        <v>1114</v>
      </c>
      <c r="G30" s="645" t="s">
        <v>777</v>
      </c>
      <c r="H30" s="644">
        <v>263000000</v>
      </c>
      <c r="I30" s="644">
        <v>0</v>
      </c>
      <c r="J30" s="644">
        <v>0</v>
      </c>
      <c r="K30" s="644">
        <v>0</v>
      </c>
      <c r="L30" s="644">
        <v>0</v>
      </c>
      <c r="M30" s="644">
        <v>263000000</v>
      </c>
      <c r="N30" s="644">
        <v>0</v>
      </c>
      <c r="O30" s="644">
        <v>0</v>
      </c>
      <c r="P30" s="644">
        <v>163369688</v>
      </c>
      <c r="Q30" s="644">
        <v>163369688</v>
      </c>
      <c r="R30" s="644">
        <v>0</v>
      </c>
      <c r="S30" s="644">
        <v>0</v>
      </c>
      <c r="T30" s="644">
        <v>0</v>
      </c>
      <c r="U30" s="644">
        <v>0</v>
      </c>
      <c r="V30" s="644">
        <v>0</v>
      </c>
      <c r="W30" s="632">
        <v>0</v>
      </c>
      <c r="X30" s="632">
        <v>0</v>
      </c>
    </row>
    <row r="31" spans="1:26">
      <c r="A31" s="645">
        <v>13</v>
      </c>
      <c r="B31" s="643" t="s">
        <v>1121</v>
      </c>
      <c r="C31" s="645" t="s">
        <v>441</v>
      </c>
      <c r="D31" s="645" t="s">
        <v>1118</v>
      </c>
      <c r="E31" s="645" t="s">
        <v>1115</v>
      </c>
      <c r="F31" s="645" t="s">
        <v>1114</v>
      </c>
      <c r="G31" s="645" t="s">
        <v>777</v>
      </c>
      <c r="H31" s="644">
        <v>1000000</v>
      </c>
      <c r="I31" s="644">
        <v>0</v>
      </c>
      <c r="J31" s="644">
        <v>0</v>
      </c>
      <c r="K31" s="644">
        <v>0</v>
      </c>
      <c r="L31" s="644">
        <v>0</v>
      </c>
      <c r="M31" s="644">
        <v>1000000</v>
      </c>
      <c r="N31" s="644">
        <v>0</v>
      </c>
      <c r="O31" s="644">
        <v>0</v>
      </c>
      <c r="P31" s="644">
        <v>1000000</v>
      </c>
      <c r="Q31" s="644">
        <v>1000000</v>
      </c>
      <c r="R31" s="644">
        <v>0</v>
      </c>
      <c r="S31" s="644">
        <v>0</v>
      </c>
      <c r="T31" s="644">
        <v>0</v>
      </c>
      <c r="U31" s="644">
        <v>0</v>
      </c>
      <c r="V31" s="644">
        <v>0</v>
      </c>
      <c r="W31" s="632">
        <v>0</v>
      </c>
      <c r="X31" s="632">
        <v>0</v>
      </c>
    </row>
    <row r="32" spans="1:26" ht="22.5">
      <c r="A32" s="645">
        <v>14</v>
      </c>
      <c r="B32" s="643" t="s">
        <v>1122</v>
      </c>
      <c r="C32" s="645" t="s">
        <v>441</v>
      </c>
      <c r="D32" s="645" t="s">
        <v>1118</v>
      </c>
      <c r="E32" s="645" t="s">
        <v>904</v>
      </c>
      <c r="F32" s="645" t="s">
        <v>1114</v>
      </c>
      <c r="G32" s="645" t="s">
        <v>777</v>
      </c>
      <c r="H32" s="644">
        <v>4159750000</v>
      </c>
      <c r="I32" s="644">
        <v>0</v>
      </c>
      <c r="J32" s="644">
        <v>0</v>
      </c>
      <c r="K32" s="644">
        <v>0</v>
      </c>
      <c r="L32" s="644">
        <v>0</v>
      </c>
      <c r="M32" s="644">
        <v>4174150000</v>
      </c>
      <c r="N32" s="644">
        <v>-14400000</v>
      </c>
      <c r="O32" s="644">
        <v>0</v>
      </c>
      <c r="P32" s="644">
        <v>3014387224</v>
      </c>
      <c r="Q32" s="644">
        <v>3014387224</v>
      </c>
      <c r="R32" s="644">
        <v>0</v>
      </c>
      <c r="S32" s="644">
        <v>0</v>
      </c>
      <c r="T32" s="644">
        <v>0</v>
      </c>
      <c r="U32" s="644">
        <v>0</v>
      </c>
      <c r="V32" s="644">
        <v>0</v>
      </c>
      <c r="W32" s="632">
        <v>0</v>
      </c>
      <c r="X32" s="632">
        <v>0</v>
      </c>
    </row>
    <row r="33" spans="1:24" ht="22.5">
      <c r="A33" s="645">
        <v>15</v>
      </c>
      <c r="B33" s="643" t="s">
        <v>1122</v>
      </c>
      <c r="C33" s="645" t="s">
        <v>441</v>
      </c>
      <c r="D33" s="645" t="s">
        <v>1118</v>
      </c>
      <c r="E33" s="645" t="s">
        <v>1115</v>
      </c>
      <c r="F33" s="645" t="s">
        <v>1114</v>
      </c>
      <c r="G33" s="645" t="s">
        <v>777</v>
      </c>
      <c r="H33" s="644">
        <v>1500000</v>
      </c>
      <c r="I33" s="644">
        <v>0</v>
      </c>
      <c r="J33" s="644">
        <v>0</v>
      </c>
      <c r="K33" s="644">
        <v>0</v>
      </c>
      <c r="L33" s="644">
        <v>0</v>
      </c>
      <c r="M33" s="644">
        <v>1500000</v>
      </c>
      <c r="N33" s="644">
        <v>0</v>
      </c>
      <c r="O33" s="644">
        <v>0</v>
      </c>
      <c r="P33" s="644">
        <v>1500000</v>
      </c>
      <c r="Q33" s="644">
        <v>1500000</v>
      </c>
      <c r="R33" s="644">
        <v>0</v>
      </c>
      <c r="S33" s="644">
        <v>0</v>
      </c>
      <c r="T33" s="644">
        <v>0</v>
      </c>
      <c r="U33" s="644">
        <v>0</v>
      </c>
      <c r="V33" s="644">
        <v>0</v>
      </c>
      <c r="W33" s="632">
        <v>0</v>
      </c>
      <c r="X33" s="632">
        <v>0</v>
      </c>
    </row>
    <row r="34" spans="1:24" ht="22.5">
      <c r="A34" s="645">
        <v>16</v>
      </c>
      <c r="B34" s="643" t="s">
        <v>1122</v>
      </c>
      <c r="C34" s="645" t="s">
        <v>441</v>
      </c>
      <c r="D34" s="645" t="s">
        <v>1118</v>
      </c>
      <c r="E34" s="645" t="s">
        <v>1116</v>
      </c>
      <c r="F34" s="645" t="s">
        <v>1114</v>
      </c>
      <c r="G34" s="645" t="s">
        <v>777</v>
      </c>
      <c r="H34" s="644">
        <v>20000000</v>
      </c>
      <c r="I34" s="644">
        <v>0</v>
      </c>
      <c r="J34" s="644">
        <v>0</v>
      </c>
      <c r="K34" s="644">
        <v>0</v>
      </c>
      <c r="L34" s="644">
        <v>0</v>
      </c>
      <c r="M34" s="644">
        <v>20000000</v>
      </c>
      <c r="N34" s="644">
        <v>0</v>
      </c>
      <c r="O34" s="644">
        <v>0</v>
      </c>
      <c r="P34" s="644">
        <v>20000000</v>
      </c>
      <c r="Q34" s="644">
        <v>20000000</v>
      </c>
      <c r="R34" s="644">
        <v>0</v>
      </c>
      <c r="S34" s="644">
        <v>0</v>
      </c>
      <c r="T34" s="644">
        <v>0</v>
      </c>
      <c r="U34" s="644">
        <v>0</v>
      </c>
      <c r="V34" s="644">
        <v>0</v>
      </c>
      <c r="W34" s="632">
        <v>0</v>
      </c>
      <c r="X34" s="632">
        <v>512979550</v>
      </c>
    </row>
    <row r="35" spans="1:24">
      <c r="A35" s="645">
        <v>17</v>
      </c>
      <c r="B35" s="643" t="s">
        <v>1123</v>
      </c>
      <c r="C35" s="645" t="s">
        <v>441</v>
      </c>
      <c r="D35" s="645" t="s">
        <v>1124</v>
      </c>
      <c r="E35" s="645" t="s">
        <v>1125</v>
      </c>
      <c r="F35" s="645" t="s">
        <v>1114</v>
      </c>
      <c r="G35" s="645" t="s">
        <v>777</v>
      </c>
      <c r="H35" s="644">
        <v>200000000</v>
      </c>
      <c r="I35" s="644">
        <v>0</v>
      </c>
      <c r="J35" s="644">
        <v>0</v>
      </c>
      <c r="K35" s="644">
        <v>0</v>
      </c>
      <c r="L35" s="644">
        <v>0</v>
      </c>
      <c r="M35" s="644">
        <v>200000000</v>
      </c>
      <c r="N35" s="644">
        <v>0</v>
      </c>
      <c r="O35" s="644">
        <v>0</v>
      </c>
      <c r="P35" s="644">
        <v>151158400</v>
      </c>
      <c r="Q35" s="644">
        <v>151158400</v>
      </c>
      <c r="R35" s="644">
        <v>0</v>
      </c>
      <c r="S35" s="644">
        <v>0</v>
      </c>
      <c r="T35" s="644">
        <v>0</v>
      </c>
      <c r="U35" s="644">
        <v>0</v>
      </c>
      <c r="V35" s="644">
        <v>0</v>
      </c>
      <c r="W35" s="632">
        <v>0</v>
      </c>
      <c r="X35" s="632">
        <v>0</v>
      </c>
    </row>
    <row r="36" spans="1:24">
      <c r="A36" s="645">
        <v>18</v>
      </c>
      <c r="B36" s="643" t="s">
        <v>1123</v>
      </c>
      <c r="C36" s="645" t="s">
        <v>441</v>
      </c>
      <c r="D36" s="645" t="s">
        <v>1124</v>
      </c>
      <c r="E36" s="645" t="s">
        <v>904</v>
      </c>
      <c r="F36" s="645" t="s">
        <v>1114</v>
      </c>
      <c r="G36" s="645" t="s">
        <v>777</v>
      </c>
      <c r="H36" s="644">
        <v>5337900000</v>
      </c>
      <c r="I36" s="644">
        <v>0</v>
      </c>
      <c r="J36" s="644">
        <v>0</v>
      </c>
      <c r="K36" s="644">
        <v>0</v>
      </c>
      <c r="L36" s="644">
        <v>0</v>
      </c>
      <c r="M36" s="644">
        <v>4788000000</v>
      </c>
      <c r="N36" s="644">
        <v>549900000</v>
      </c>
      <c r="O36" s="644">
        <v>0</v>
      </c>
      <c r="P36" s="644">
        <v>5114164943</v>
      </c>
      <c r="Q36" s="644">
        <v>5114164943</v>
      </c>
      <c r="R36" s="644">
        <v>0</v>
      </c>
      <c r="S36" s="644">
        <v>13000000</v>
      </c>
      <c r="T36" s="644">
        <v>13000000</v>
      </c>
      <c r="U36" s="644">
        <v>0</v>
      </c>
      <c r="V36" s="644">
        <v>0</v>
      </c>
      <c r="W36" s="632">
        <v>0</v>
      </c>
      <c r="X36" s="632">
        <v>1237100</v>
      </c>
    </row>
    <row r="37" spans="1:24">
      <c r="A37" s="645">
        <v>19</v>
      </c>
      <c r="B37" s="643" t="s">
        <v>1123</v>
      </c>
      <c r="C37" s="645" t="s">
        <v>441</v>
      </c>
      <c r="D37" s="645" t="s">
        <v>1124</v>
      </c>
      <c r="E37" s="645" t="s">
        <v>905</v>
      </c>
      <c r="F37" s="645" t="s">
        <v>1114</v>
      </c>
      <c r="G37" s="645" t="s">
        <v>777</v>
      </c>
      <c r="H37" s="644">
        <v>383000000</v>
      </c>
      <c r="I37" s="644">
        <v>0</v>
      </c>
      <c r="J37" s="644">
        <v>0</v>
      </c>
      <c r="K37" s="644">
        <v>0</v>
      </c>
      <c r="L37" s="644">
        <v>0</v>
      </c>
      <c r="M37" s="644">
        <v>383000000</v>
      </c>
      <c r="N37" s="644">
        <v>0</v>
      </c>
      <c r="O37" s="644">
        <v>0</v>
      </c>
      <c r="P37" s="644">
        <v>383000000</v>
      </c>
      <c r="Q37" s="644">
        <v>383000000</v>
      </c>
      <c r="R37" s="644">
        <v>0</v>
      </c>
      <c r="S37" s="644">
        <v>0</v>
      </c>
      <c r="T37" s="644">
        <v>0</v>
      </c>
      <c r="U37" s="644">
        <v>0</v>
      </c>
      <c r="V37" s="644">
        <v>0</v>
      </c>
      <c r="W37" s="632">
        <v>0</v>
      </c>
      <c r="X37" s="632">
        <v>0</v>
      </c>
    </row>
    <row r="38" spans="1:24">
      <c r="A38" s="645">
        <v>20</v>
      </c>
      <c r="B38" s="643" t="s">
        <v>1123</v>
      </c>
      <c r="C38" s="645" t="s">
        <v>441</v>
      </c>
      <c r="D38" s="645" t="s">
        <v>1124</v>
      </c>
      <c r="E38" s="645" t="s">
        <v>1115</v>
      </c>
      <c r="F38" s="645" t="s">
        <v>1114</v>
      </c>
      <c r="G38" s="645" t="s">
        <v>777</v>
      </c>
      <c r="H38" s="644">
        <v>1000000</v>
      </c>
      <c r="I38" s="644">
        <v>0</v>
      </c>
      <c r="J38" s="644">
        <v>0</v>
      </c>
      <c r="K38" s="644">
        <v>0</v>
      </c>
      <c r="L38" s="644">
        <v>0</v>
      </c>
      <c r="M38" s="644">
        <v>1000000</v>
      </c>
      <c r="N38" s="644">
        <v>0</v>
      </c>
      <c r="O38" s="644">
        <v>0</v>
      </c>
      <c r="P38" s="644">
        <v>1000000</v>
      </c>
      <c r="Q38" s="644">
        <v>1000000</v>
      </c>
      <c r="R38" s="644">
        <v>0</v>
      </c>
      <c r="S38" s="644">
        <v>0</v>
      </c>
      <c r="T38" s="644">
        <v>0</v>
      </c>
      <c r="U38" s="644">
        <v>0</v>
      </c>
      <c r="V38" s="644">
        <v>0</v>
      </c>
      <c r="W38" s="632">
        <v>0</v>
      </c>
      <c r="X38" s="632">
        <v>0</v>
      </c>
    </row>
    <row r="39" spans="1:24">
      <c r="A39" s="645">
        <v>21</v>
      </c>
      <c r="B39" s="643" t="s">
        <v>1123</v>
      </c>
      <c r="C39" s="645" t="s">
        <v>441</v>
      </c>
      <c r="D39" s="645" t="s">
        <v>1124</v>
      </c>
      <c r="E39" s="645" t="s">
        <v>1116</v>
      </c>
      <c r="F39" s="645" t="s">
        <v>1114</v>
      </c>
      <c r="G39" s="645" t="s">
        <v>777</v>
      </c>
      <c r="H39" s="644">
        <v>317583000</v>
      </c>
      <c r="I39" s="644">
        <v>0</v>
      </c>
      <c r="J39" s="644">
        <v>0</v>
      </c>
      <c r="K39" s="644">
        <v>0</v>
      </c>
      <c r="L39" s="644">
        <v>0</v>
      </c>
      <c r="M39" s="644">
        <v>0</v>
      </c>
      <c r="N39" s="644">
        <v>317583000</v>
      </c>
      <c r="O39" s="644">
        <v>0</v>
      </c>
      <c r="P39" s="644">
        <v>315213100</v>
      </c>
      <c r="Q39" s="644">
        <v>315213100</v>
      </c>
      <c r="R39" s="644">
        <v>0</v>
      </c>
      <c r="S39" s="644">
        <v>0</v>
      </c>
      <c r="T39" s="644">
        <v>0</v>
      </c>
      <c r="U39" s="644">
        <v>0</v>
      </c>
      <c r="V39" s="644">
        <v>0</v>
      </c>
      <c r="W39" s="632">
        <v>0</v>
      </c>
      <c r="X39" s="632">
        <v>0</v>
      </c>
    </row>
    <row r="40" spans="1:24">
      <c r="A40" s="645">
        <v>22</v>
      </c>
      <c r="B40" s="643" t="s">
        <v>1126</v>
      </c>
      <c r="C40" s="645" t="s">
        <v>441</v>
      </c>
      <c r="D40" s="645" t="s">
        <v>1127</v>
      </c>
      <c r="E40" s="645" t="s">
        <v>1125</v>
      </c>
      <c r="F40" s="645" t="s">
        <v>1114</v>
      </c>
      <c r="G40" s="645" t="s">
        <v>777</v>
      </c>
      <c r="H40" s="644">
        <v>257352500</v>
      </c>
      <c r="I40" s="644">
        <v>0</v>
      </c>
      <c r="J40" s="644">
        <v>0</v>
      </c>
      <c r="K40" s="644">
        <v>0</v>
      </c>
      <c r="L40" s="644">
        <v>0</v>
      </c>
      <c r="M40" s="644">
        <v>257352500</v>
      </c>
      <c r="N40" s="644">
        <v>0</v>
      </c>
      <c r="O40" s="644">
        <v>0</v>
      </c>
      <c r="P40" s="644">
        <v>257352500</v>
      </c>
      <c r="Q40" s="644">
        <v>257352500</v>
      </c>
      <c r="R40" s="644">
        <v>0</v>
      </c>
      <c r="S40" s="644">
        <v>0</v>
      </c>
      <c r="T40" s="644">
        <v>0</v>
      </c>
      <c r="U40" s="644">
        <v>0</v>
      </c>
      <c r="V40" s="644">
        <v>0</v>
      </c>
      <c r="W40" s="632">
        <v>0</v>
      </c>
      <c r="X40" s="632">
        <v>0</v>
      </c>
    </row>
    <row r="41" spans="1:24">
      <c r="A41" s="645">
        <v>23</v>
      </c>
      <c r="B41" s="643" t="s">
        <v>1126</v>
      </c>
      <c r="C41" s="645" t="s">
        <v>441</v>
      </c>
      <c r="D41" s="645" t="s">
        <v>1127</v>
      </c>
      <c r="E41" s="645" t="s">
        <v>890</v>
      </c>
      <c r="F41" s="645" t="s">
        <v>1114</v>
      </c>
      <c r="G41" s="645" t="s">
        <v>777</v>
      </c>
      <c r="H41" s="644">
        <v>3981918000</v>
      </c>
      <c r="I41" s="644">
        <v>149000000</v>
      </c>
      <c r="J41" s="644">
        <v>149000000</v>
      </c>
      <c r="K41" s="644">
        <v>0</v>
      </c>
      <c r="L41" s="644">
        <v>0</v>
      </c>
      <c r="M41" s="644">
        <v>3724220000</v>
      </c>
      <c r="N41" s="644">
        <v>108698000</v>
      </c>
      <c r="O41" s="644">
        <v>0</v>
      </c>
      <c r="P41" s="644">
        <v>3774102733</v>
      </c>
      <c r="Q41" s="644">
        <v>3774102733</v>
      </c>
      <c r="R41" s="644">
        <v>0</v>
      </c>
      <c r="S41" s="644">
        <v>0</v>
      </c>
      <c r="T41" s="644">
        <v>0</v>
      </c>
      <c r="U41" s="644">
        <v>0</v>
      </c>
      <c r="V41" s="644">
        <v>0</v>
      </c>
      <c r="W41" s="632">
        <v>0</v>
      </c>
      <c r="X41" s="632">
        <v>0</v>
      </c>
    </row>
    <row r="42" spans="1:24">
      <c r="A42" s="645">
        <v>24</v>
      </c>
      <c r="B42" s="643" t="s">
        <v>1126</v>
      </c>
      <c r="C42" s="645" t="s">
        <v>441</v>
      </c>
      <c r="D42" s="645" t="s">
        <v>1127</v>
      </c>
      <c r="E42" s="645" t="s">
        <v>903</v>
      </c>
      <c r="F42" s="645" t="s">
        <v>1114</v>
      </c>
      <c r="G42" s="645" t="s">
        <v>777</v>
      </c>
      <c r="H42" s="644">
        <v>1316359160</v>
      </c>
      <c r="I42" s="644">
        <v>790018160</v>
      </c>
      <c r="J42" s="644">
        <v>468393160</v>
      </c>
      <c r="K42" s="644">
        <v>0</v>
      </c>
      <c r="L42" s="644">
        <v>321625000</v>
      </c>
      <c r="M42" s="644">
        <v>526341000</v>
      </c>
      <c r="N42" s="644">
        <v>0</v>
      </c>
      <c r="O42" s="644">
        <v>0</v>
      </c>
      <c r="P42" s="644">
        <v>985120581</v>
      </c>
      <c r="Q42" s="644">
        <v>985120581</v>
      </c>
      <c r="R42" s="644">
        <v>0</v>
      </c>
      <c r="S42" s="644">
        <v>0</v>
      </c>
      <c r="T42" s="644">
        <v>0</v>
      </c>
      <c r="U42" s="644">
        <v>0</v>
      </c>
      <c r="V42" s="644">
        <v>0</v>
      </c>
      <c r="W42" s="632">
        <v>0</v>
      </c>
      <c r="X42" s="632">
        <v>18294000</v>
      </c>
    </row>
    <row r="43" spans="1:24">
      <c r="A43" s="645">
        <v>25</v>
      </c>
      <c r="B43" s="643" t="s">
        <v>1126</v>
      </c>
      <c r="C43" s="645" t="s">
        <v>441</v>
      </c>
      <c r="D43" s="645" t="s">
        <v>1127</v>
      </c>
      <c r="E43" s="645" t="s">
        <v>1115</v>
      </c>
      <c r="F43" s="645" t="s">
        <v>1114</v>
      </c>
      <c r="G43" s="645" t="s">
        <v>777</v>
      </c>
      <c r="H43" s="644">
        <v>24500000</v>
      </c>
      <c r="I43" s="644">
        <v>0</v>
      </c>
      <c r="J43" s="644">
        <v>0</v>
      </c>
      <c r="K43" s="644">
        <v>0</v>
      </c>
      <c r="L43" s="644">
        <v>0</v>
      </c>
      <c r="M43" s="644">
        <v>24500000</v>
      </c>
      <c r="N43" s="644">
        <v>0</v>
      </c>
      <c r="O43" s="644">
        <v>0</v>
      </c>
      <c r="P43" s="644">
        <v>24500000</v>
      </c>
      <c r="Q43" s="644">
        <v>24500000</v>
      </c>
      <c r="R43" s="644">
        <v>0</v>
      </c>
      <c r="S43" s="644">
        <v>0</v>
      </c>
      <c r="T43" s="644">
        <v>0</v>
      </c>
      <c r="U43" s="644">
        <v>0</v>
      </c>
      <c r="V43" s="644">
        <v>0</v>
      </c>
      <c r="W43" s="632">
        <v>0</v>
      </c>
      <c r="X43" s="632">
        <v>53151000</v>
      </c>
    </row>
    <row r="44" spans="1:24">
      <c r="A44" s="645">
        <v>26</v>
      </c>
      <c r="B44" s="643" t="s">
        <v>1126</v>
      </c>
      <c r="C44" s="645" t="s">
        <v>441</v>
      </c>
      <c r="D44" s="645" t="s">
        <v>1127</v>
      </c>
      <c r="E44" s="645" t="s">
        <v>890</v>
      </c>
      <c r="F44" s="645" t="s">
        <v>1128</v>
      </c>
      <c r="G44" s="645" t="s">
        <v>777</v>
      </c>
      <c r="H44" s="644">
        <v>861243000</v>
      </c>
      <c r="I44" s="644">
        <v>0</v>
      </c>
      <c r="J44" s="644">
        <v>0</v>
      </c>
      <c r="K44" s="644">
        <v>0</v>
      </c>
      <c r="L44" s="644">
        <v>0</v>
      </c>
      <c r="M44" s="644">
        <v>861243000</v>
      </c>
      <c r="N44" s="644">
        <v>0</v>
      </c>
      <c r="O44" s="644">
        <v>0</v>
      </c>
      <c r="P44" s="644">
        <v>860667928</v>
      </c>
      <c r="Q44" s="644">
        <v>860667928</v>
      </c>
      <c r="R44" s="644">
        <v>0</v>
      </c>
      <c r="S44" s="644">
        <v>0</v>
      </c>
      <c r="T44" s="644">
        <v>0</v>
      </c>
      <c r="U44" s="644">
        <v>0</v>
      </c>
      <c r="V44" s="644">
        <v>0</v>
      </c>
      <c r="W44" s="632">
        <v>0</v>
      </c>
      <c r="X44" s="632">
        <v>90000</v>
      </c>
    </row>
    <row r="45" spans="1:24">
      <c r="A45" s="645">
        <v>27</v>
      </c>
      <c r="B45" s="643" t="s">
        <v>1126</v>
      </c>
      <c r="C45" s="645" t="s">
        <v>441</v>
      </c>
      <c r="D45" s="645" t="s">
        <v>1127</v>
      </c>
      <c r="E45" s="645" t="s">
        <v>890</v>
      </c>
      <c r="F45" s="645" t="s">
        <v>1129</v>
      </c>
      <c r="G45" s="645" t="s">
        <v>777</v>
      </c>
      <c r="H45" s="644">
        <v>894048500</v>
      </c>
      <c r="I45" s="644">
        <v>0</v>
      </c>
      <c r="J45" s="644">
        <v>0</v>
      </c>
      <c r="K45" s="644">
        <v>0</v>
      </c>
      <c r="L45" s="644">
        <v>0</v>
      </c>
      <c r="M45" s="644">
        <v>0</v>
      </c>
      <c r="N45" s="644">
        <v>894048500</v>
      </c>
      <c r="O45" s="644">
        <v>0</v>
      </c>
      <c r="P45" s="644">
        <v>0</v>
      </c>
      <c r="Q45" s="644">
        <v>0</v>
      </c>
      <c r="R45" s="644">
        <v>0</v>
      </c>
      <c r="S45" s="644">
        <v>0</v>
      </c>
      <c r="T45" s="644">
        <v>0</v>
      </c>
      <c r="U45" s="644">
        <v>0</v>
      </c>
      <c r="V45" s="644">
        <v>0</v>
      </c>
      <c r="W45" s="632">
        <v>0</v>
      </c>
      <c r="X45" s="632">
        <v>0</v>
      </c>
    </row>
    <row r="46" spans="1:24" ht="22.5">
      <c r="A46" s="645">
        <v>28</v>
      </c>
      <c r="B46" s="643" t="s">
        <v>1130</v>
      </c>
      <c r="C46" s="645" t="s">
        <v>441</v>
      </c>
      <c r="D46" s="645" t="s">
        <v>1127</v>
      </c>
      <c r="E46" s="645" t="s">
        <v>889</v>
      </c>
      <c r="F46" s="645" t="s">
        <v>1114</v>
      </c>
      <c r="G46" s="645" t="s">
        <v>777</v>
      </c>
      <c r="H46" s="644">
        <v>1230230000</v>
      </c>
      <c r="I46" s="644">
        <v>26334000</v>
      </c>
      <c r="J46" s="644">
        <v>26334000</v>
      </c>
      <c r="K46" s="644">
        <v>0</v>
      </c>
      <c r="L46" s="644">
        <v>0</v>
      </c>
      <c r="M46" s="644">
        <v>1203896000</v>
      </c>
      <c r="N46" s="644">
        <v>0</v>
      </c>
      <c r="O46" s="644">
        <v>0</v>
      </c>
      <c r="P46" s="644">
        <v>1101684000</v>
      </c>
      <c r="Q46" s="644">
        <v>1101684000</v>
      </c>
      <c r="R46" s="644">
        <v>0</v>
      </c>
      <c r="S46" s="644">
        <v>0</v>
      </c>
      <c r="T46" s="644">
        <v>0</v>
      </c>
      <c r="U46" s="644">
        <v>0</v>
      </c>
      <c r="V46" s="644">
        <v>0</v>
      </c>
      <c r="W46" s="632">
        <v>0</v>
      </c>
      <c r="X46" s="632">
        <v>0</v>
      </c>
    </row>
    <row r="47" spans="1:24" ht="22.5">
      <c r="A47" s="645">
        <v>29</v>
      </c>
      <c r="B47" s="643" t="s">
        <v>1130</v>
      </c>
      <c r="C47" s="645" t="s">
        <v>441</v>
      </c>
      <c r="D47" s="645" t="s">
        <v>1127</v>
      </c>
      <c r="E47" s="645" t="s">
        <v>889</v>
      </c>
      <c r="F47" s="645" t="s">
        <v>1129</v>
      </c>
      <c r="G47" s="645" t="s">
        <v>777</v>
      </c>
      <c r="H47" s="644">
        <v>766661000</v>
      </c>
      <c r="I47" s="644">
        <v>766661000</v>
      </c>
      <c r="J47" s="644">
        <v>758970270</v>
      </c>
      <c r="K47" s="644">
        <v>0</v>
      </c>
      <c r="L47" s="644">
        <v>7690730</v>
      </c>
      <c r="M47" s="644">
        <v>0</v>
      </c>
      <c r="N47" s="644">
        <v>0</v>
      </c>
      <c r="O47" s="644">
        <v>0</v>
      </c>
      <c r="P47" s="644">
        <v>748775500</v>
      </c>
      <c r="Q47" s="644">
        <v>748775500</v>
      </c>
      <c r="R47" s="644">
        <v>0</v>
      </c>
      <c r="S47" s="644">
        <v>0</v>
      </c>
      <c r="T47" s="644">
        <v>0</v>
      </c>
      <c r="U47" s="644">
        <v>0</v>
      </c>
      <c r="V47" s="644">
        <v>0</v>
      </c>
      <c r="W47" s="632">
        <v>0</v>
      </c>
      <c r="X47" s="632">
        <v>352459600</v>
      </c>
    </row>
    <row r="48" spans="1:24" ht="22.5">
      <c r="A48" s="645">
        <v>30</v>
      </c>
      <c r="B48" s="643" t="s">
        <v>1131</v>
      </c>
      <c r="C48" s="645" t="s">
        <v>441</v>
      </c>
      <c r="D48" s="645" t="s">
        <v>1127</v>
      </c>
      <c r="E48" s="645" t="s">
        <v>1125</v>
      </c>
      <c r="F48" s="645" t="s">
        <v>1114</v>
      </c>
      <c r="G48" s="645" t="s">
        <v>777</v>
      </c>
      <c r="H48" s="644">
        <v>114080000</v>
      </c>
      <c r="I48" s="644">
        <v>0</v>
      </c>
      <c r="J48" s="644">
        <v>0</v>
      </c>
      <c r="K48" s="644">
        <v>0</v>
      </c>
      <c r="L48" s="644">
        <v>0</v>
      </c>
      <c r="M48" s="644">
        <v>114080000</v>
      </c>
      <c r="N48" s="644">
        <v>0</v>
      </c>
      <c r="O48" s="644">
        <v>0</v>
      </c>
      <c r="P48" s="644">
        <v>114080000</v>
      </c>
      <c r="Q48" s="644">
        <v>114080000</v>
      </c>
      <c r="R48" s="644">
        <v>0</v>
      </c>
      <c r="S48" s="644">
        <v>0</v>
      </c>
      <c r="T48" s="644">
        <v>0</v>
      </c>
      <c r="U48" s="644">
        <v>0</v>
      </c>
      <c r="V48" s="644">
        <v>0</v>
      </c>
      <c r="W48" s="632">
        <v>0</v>
      </c>
      <c r="X48" s="632">
        <v>0</v>
      </c>
    </row>
    <row r="49" spans="1:24" ht="22.5">
      <c r="A49" s="645">
        <v>31</v>
      </c>
      <c r="B49" s="643" t="s">
        <v>1131</v>
      </c>
      <c r="C49" s="645" t="s">
        <v>441</v>
      </c>
      <c r="D49" s="645" t="s">
        <v>1127</v>
      </c>
      <c r="E49" s="645" t="s">
        <v>1132</v>
      </c>
      <c r="F49" s="645" t="s">
        <v>1114</v>
      </c>
      <c r="G49" s="645" t="s">
        <v>777</v>
      </c>
      <c r="H49" s="644">
        <v>387800000</v>
      </c>
      <c r="I49" s="644">
        <v>0</v>
      </c>
      <c r="J49" s="644">
        <v>0</v>
      </c>
      <c r="K49" s="644">
        <v>0</v>
      </c>
      <c r="L49" s="644">
        <v>0</v>
      </c>
      <c r="M49" s="644">
        <v>387800000</v>
      </c>
      <c r="N49" s="644">
        <v>0</v>
      </c>
      <c r="O49" s="644">
        <v>0</v>
      </c>
      <c r="P49" s="644">
        <v>331680000</v>
      </c>
      <c r="Q49" s="644">
        <v>331680000</v>
      </c>
      <c r="R49" s="644">
        <v>0</v>
      </c>
      <c r="S49" s="644">
        <v>0</v>
      </c>
      <c r="T49" s="644">
        <v>0</v>
      </c>
      <c r="U49" s="644">
        <v>0</v>
      </c>
      <c r="V49" s="644">
        <v>0</v>
      </c>
      <c r="W49" s="632">
        <v>0</v>
      </c>
      <c r="X49" s="632">
        <v>0</v>
      </c>
    </row>
    <row r="50" spans="1:24" ht="22.5">
      <c r="A50" s="645">
        <v>32</v>
      </c>
      <c r="B50" s="643" t="s">
        <v>1131</v>
      </c>
      <c r="C50" s="645" t="s">
        <v>441</v>
      </c>
      <c r="D50" s="645" t="s">
        <v>1127</v>
      </c>
      <c r="E50" s="645" t="s">
        <v>889</v>
      </c>
      <c r="F50" s="645" t="s">
        <v>1114</v>
      </c>
      <c r="G50" s="645" t="s">
        <v>777</v>
      </c>
      <c r="H50" s="644">
        <v>9728264959</v>
      </c>
      <c r="I50" s="644">
        <v>1490668000</v>
      </c>
      <c r="J50" s="644">
        <v>1490668000</v>
      </c>
      <c r="K50" s="644">
        <v>0</v>
      </c>
      <c r="L50" s="644">
        <v>0</v>
      </c>
      <c r="M50" s="644">
        <v>6064096959</v>
      </c>
      <c r="N50" s="644">
        <v>2173500000</v>
      </c>
      <c r="O50" s="644">
        <v>0</v>
      </c>
      <c r="P50" s="644">
        <v>9543729800</v>
      </c>
      <c r="Q50" s="644">
        <v>9543729800</v>
      </c>
      <c r="R50" s="644">
        <v>0</v>
      </c>
      <c r="S50" s="644">
        <v>0</v>
      </c>
      <c r="T50" s="644">
        <v>0</v>
      </c>
      <c r="U50" s="644">
        <v>0</v>
      </c>
      <c r="V50" s="644">
        <v>0</v>
      </c>
      <c r="W50" s="632">
        <v>0</v>
      </c>
      <c r="X50" s="632">
        <v>0</v>
      </c>
    </row>
    <row r="51" spans="1:24" ht="22.5">
      <c r="A51" s="645">
        <v>33</v>
      </c>
      <c r="B51" s="643" t="s">
        <v>1131</v>
      </c>
      <c r="C51" s="645" t="s">
        <v>441</v>
      </c>
      <c r="D51" s="645" t="s">
        <v>1127</v>
      </c>
      <c r="E51" s="645" t="s">
        <v>903</v>
      </c>
      <c r="F51" s="645" t="s">
        <v>1114</v>
      </c>
      <c r="G51" s="645" t="s">
        <v>777</v>
      </c>
      <c r="H51" s="644">
        <v>1661700000</v>
      </c>
      <c r="I51" s="644">
        <v>0</v>
      </c>
      <c r="J51" s="644">
        <v>0</v>
      </c>
      <c r="K51" s="644">
        <v>0</v>
      </c>
      <c r="L51" s="644">
        <v>0</v>
      </c>
      <c r="M51" s="644">
        <v>1661700000</v>
      </c>
      <c r="N51" s="644">
        <v>0</v>
      </c>
      <c r="O51" s="644">
        <v>0</v>
      </c>
      <c r="P51" s="644">
        <v>1572050000</v>
      </c>
      <c r="Q51" s="644">
        <v>1572050000</v>
      </c>
      <c r="R51" s="644">
        <v>0</v>
      </c>
      <c r="S51" s="644">
        <v>0</v>
      </c>
      <c r="T51" s="644">
        <v>0</v>
      </c>
      <c r="U51" s="644">
        <v>0</v>
      </c>
      <c r="V51" s="644">
        <v>0</v>
      </c>
      <c r="W51" s="632">
        <v>0</v>
      </c>
      <c r="X51" s="632">
        <v>21894600</v>
      </c>
    </row>
    <row r="52" spans="1:24" ht="22.5">
      <c r="A52" s="645">
        <v>34</v>
      </c>
      <c r="B52" s="643" t="s">
        <v>1131</v>
      </c>
      <c r="C52" s="645" t="s">
        <v>441</v>
      </c>
      <c r="D52" s="645" t="s">
        <v>1127</v>
      </c>
      <c r="E52" s="645" t="s">
        <v>1115</v>
      </c>
      <c r="F52" s="645" t="s">
        <v>1114</v>
      </c>
      <c r="G52" s="645" t="s">
        <v>777</v>
      </c>
      <c r="H52" s="644">
        <v>1000000</v>
      </c>
      <c r="I52" s="644">
        <v>0</v>
      </c>
      <c r="J52" s="644">
        <v>0</v>
      </c>
      <c r="K52" s="644">
        <v>0</v>
      </c>
      <c r="L52" s="644">
        <v>0</v>
      </c>
      <c r="M52" s="644">
        <v>1000000</v>
      </c>
      <c r="N52" s="644">
        <v>0</v>
      </c>
      <c r="O52" s="644">
        <v>0</v>
      </c>
      <c r="P52" s="644">
        <v>1000000</v>
      </c>
      <c r="Q52" s="644">
        <v>1000000</v>
      </c>
      <c r="R52" s="644">
        <v>0</v>
      </c>
      <c r="S52" s="644">
        <v>0</v>
      </c>
      <c r="T52" s="644">
        <v>0</v>
      </c>
      <c r="U52" s="644">
        <v>0</v>
      </c>
      <c r="V52" s="644">
        <v>0</v>
      </c>
      <c r="W52" s="632">
        <v>0</v>
      </c>
      <c r="X52" s="632">
        <v>0</v>
      </c>
    </row>
    <row r="53" spans="1:24" ht="22.5">
      <c r="A53" s="645">
        <v>35</v>
      </c>
      <c r="B53" s="643" t="s">
        <v>1131</v>
      </c>
      <c r="C53" s="645" t="s">
        <v>441</v>
      </c>
      <c r="D53" s="645" t="s">
        <v>1127</v>
      </c>
      <c r="E53" s="645" t="s">
        <v>1116</v>
      </c>
      <c r="F53" s="645" t="s">
        <v>1114</v>
      </c>
      <c r="G53" s="645" t="s">
        <v>777</v>
      </c>
      <c r="H53" s="644">
        <v>95970000</v>
      </c>
      <c r="I53" s="644">
        <v>0</v>
      </c>
      <c r="J53" s="644">
        <v>0</v>
      </c>
      <c r="K53" s="644">
        <v>0</v>
      </c>
      <c r="L53" s="644">
        <v>0</v>
      </c>
      <c r="M53" s="644">
        <v>0</v>
      </c>
      <c r="N53" s="644">
        <v>95970000</v>
      </c>
      <c r="O53" s="644">
        <v>0</v>
      </c>
      <c r="P53" s="644">
        <v>95785455</v>
      </c>
      <c r="Q53" s="644">
        <v>95785455</v>
      </c>
      <c r="R53" s="644">
        <v>0</v>
      </c>
      <c r="S53" s="644">
        <v>0</v>
      </c>
      <c r="T53" s="644">
        <v>0</v>
      </c>
      <c r="U53" s="644">
        <v>0</v>
      </c>
      <c r="V53" s="644">
        <v>0</v>
      </c>
      <c r="W53" s="632">
        <v>0</v>
      </c>
      <c r="X53" s="632">
        <v>207815267</v>
      </c>
    </row>
    <row r="54" spans="1:24" ht="22.5">
      <c r="A54" s="645">
        <v>36</v>
      </c>
      <c r="B54" s="643" t="s">
        <v>1131</v>
      </c>
      <c r="C54" s="645" t="s">
        <v>441</v>
      </c>
      <c r="D54" s="645" t="s">
        <v>1127</v>
      </c>
      <c r="E54" s="645" t="s">
        <v>1132</v>
      </c>
      <c r="F54" s="645" t="s">
        <v>1133</v>
      </c>
      <c r="G54" s="645" t="s">
        <v>777</v>
      </c>
      <c r="H54" s="644">
        <v>244743000</v>
      </c>
      <c r="I54" s="644">
        <v>0</v>
      </c>
      <c r="J54" s="644">
        <v>0</v>
      </c>
      <c r="K54" s="644">
        <v>0</v>
      </c>
      <c r="L54" s="644">
        <v>0</v>
      </c>
      <c r="M54" s="644">
        <v>0</v>
      </c>
      <c r="N54" s="644">
        <v>244743000</v>
      </c>
      <c r="O54" s="644">
        <v>0</v>
      </c>
      <c r="P54" s="644">
        <v>218770000</v>
      </c>
      <c r="Q54" s="644">
        <v>218770000</v>
      </c>
      <c r="R54" s="644">
        <v>0</v>
      </c>
      <c r="S54" s="644">
        <v>0</v>
      </c>
      <c r="T54" s="644">
        <v>0</v>
      </c>
      <c r="U54" s="644">
        <v>0</v>
      </c>
      <c r="V54" s="644">
        <v>0</v>
      </c>
      <c r="W54" s="632">
        <v>0</v>
      </c>
      <c r="X54" s="632">
        <v>331238579</v>
      </c>
    </row>
    <row r="55" spans="1:24" ht="22.5">
      <c r="A55" s="645">
        <v>37</v>
      </c>
      <c r="B55" s="643" t="s">
        <v>1131</v>
      </c>
      <c r="C55" s="645" t="s">
        <v>441</v>
      </c>
      <c r="D55" s="645" t="s">
        <v>1127</v>
      </c>
      <c r="E55" s="645" t="s">
        <v>673</v>
      </c>
      <c r="F55" s="645" t="s">
        <v>1134</v>
      </c>
      <c r="G55" s="645" t="s">
        <v>777</v>
      </c>
      <c r="H55" s="644">
        <v>150000000</v>
      </c>
      <c r="I55" s="644">
        <v>0</v>
      </c>
      <c r="J55" s="644">
        <v>0</v>
      </c>
      <c r="K55" s="644">
        <v>0</v>
      </c>
      <c r="L55" s="644">
        <v>0</v>
      </c>
      <c r="M55" s="644">
        <v>150000000</v>
      </c>
      <c r="N55" s="644">
        <v>0</v>
      </c>
      <c r="O55" s="644">
        <v>0</v>
      </c>
      <c r="P55" s="644">
        <v>142370000</v>
      </c>
      <c r="Q55" s="644">
        <v>142370000</v>
      </c>
      <c r="R55" s="644">
        <v>0</v>
      </c>
      <c r="S55" s="644">
        <v>0</v>
      </c>
      <c r="T55" s="644">
        <v>0</v>
      </c>
      <c r="U55" s="644">
        <v>0</v>
      </c>
      <c r="V55" s="644">
        <v>0</v>
      </c>
      <c r="W55" s="632">
        <v>0</v>
      </c>
      <c r="X55" s="632">
        <v>0</v>
      </c>
    </row>
    <row r="56" spans="1:24" ht="22.5">
      <c r="A56" s="645">
        <v>38</v>
      </c>
      <c r="B56" s="643" t="s">
        <v>1131</v>
      </c>
      <c r="C56" s="645" t="s">
        <v>441</v>
      </c>
      <c r="D56" s="645" t="s">
        <v>1127</v>
      </c>
      <c r="E56" s="645" t="s">
        <v>889</v>
      </c>
      <c r="F56" s="645" t="s">
        <v>1129</v>
      </c>
      <c r="G56" s="645" t="s">
        <v>777</v>
      </c>
      <c r="H56" s="644">
        <v>897985000</v>
      </c>
      <c r="I56" s="644">
        <v>0</v>
      </c>
      <c r="J56" s="644">
        <v>0</v>
      </c>
      <c r="K56" s="644">
        <v>0</v>
      </c>
      <c r="L56" s="644">
        <v>0</v>
      </c>
      <c r="M56" s="644">
        <v>0</v>
      </c>
      <c r="N56" s="644">
        <v>897985000</v>
      </c>
      <c r="O56" s="644">
        <v>0</v>
      </c>
      <c r="P56" s="644">
        <v>874314000</v>
      </c>
      <c r="Q56" s="644">
        <v>874314000</v>
      </c>
      <c r="R56" s="644">
        <v>0</v>
      </c>
      <c r="S56" s="644">
        <v>0</v>
      </c>
      <c r="T56" s="644">
        <v>0</v>
      </c>
      <c r="U56" s="644">
        <v>0</v>
      </c>
      <c r="V56" s="644">
        <v>0</v>
      </c>
      <c r="W56" s="632">
        <v>0</v>
      </c>
      <c r="X56" s="632">
        <v>0</v>
      </c>
    </row>
    <row r="57" spans="1:24">
      <c r="A57" s="645">
        <v>39</v>
      </c>
      <c r="B57" s="643" t="s">
        <v>1135</v>
      </c>
      <c r="C57" s="645" t="s">
        <v>441</v>
      </c>
      <c r="D57" s="645" t="s">
        <v>1127</v>
      </c>
      <c r="E57" s="645" t="s">
        <v>890</v>
      </c>
      <c r="F57" s="645" t="s">
        <v>1114</v>
      </c>
      <c r="G57" s="645" t="s">
        <v>777</v>
      </c>
      <c r="H57" s="644">
        <v>593662000</v>
      </c>
      <c r="I57" s="644">
        <v>75000000</v>
      </c>
      <c r="J57" s="644">
        <v>75000000</v>
      </c>
      <c r="K57" s="644">
        <v>0</v>
      </c>
      <c r="L57" s="644">
        <v>0</v>
      </c>
      <c r="M57" s="644">
        <v>518662000</v>
      </c>
      <c r="N57" s="644">
        <v>0</v>
      </c>
      <c r="O57" s="644">
        <v>0</v>
      </c>
      <c r="P57" s="644">
        <v>582734000</v>
      </c>
      <c r="Q57" s="644">
        <v>582734000</v>
      </c>
      <c r="R57" s="644">
        <v>0</v>
      </c>
      <c r="S57" s="644">
        <v>0</v>
      </c>
      <c r="T57" s="644">
        <v>0</v>
      </c>
      <c r="U57" s="644">
        <v>0</v>
      </c>
      <c r="V57" s="644">
        <v>0</v>
      </c>
      <c r="W57" s="632">
        <v>0</v>
      </c>
      <c r="X57" s="632">
        <v>575072</v>
      </c>
    </row>
    <row r="58" spans="1:24">
      <c r="A58" s="645">
        <v>40</v>
      </c>
      <c r="B58" s="643" t="s">
        <v>1135</v>
      </c>
      <c r="C58" s="645" t="s">
        <v>441</v>
      </c>
      <c r="D58" s="645" t="s">
        <v>1127</v>
      </c>
      <c r="E58" s="645" t="s">
        <v>1115</v>
      </c>
      <c r="F58" s="645" t="s">
        <v>1114</v>
      </c>
      <c r="G58" s="645" t="s">
        <v>777</v>
      </c>
      <c r="H58" s="644">
        <v>4500000</v>
      </c>
      <c r="I58" s="644">
        <v>0</v>
      </c>
      <c r="J58" s="644">
        <v>0</v>
      </c>
      <c r="K58" s="644">
        <v>0</v>
      </c>
      <c r="L58" s="644">
        <v>0</v>
      </c>
      <c r="M58" s="644">
        <v>4500000</v>
      </c>
      <c r="N58" s="644">
        <v>0</v>
      </c>
      <c r="O58" s="644">
        <v>0</v>
      </c>
      <c r="P58" s="644">
        <v>4500000</v>
      </c>
      <c r="Q58" s="644">
        <v>4500000</v>
      </c>
      <c r="R58" s="644">
        <v>0</v>
      </c>
      <c r="S58" s="644">
        <v>0</v>
      </c>
      <c r="T58" s="644">
        <v>0</v>
      </c>
      <c r="U58" s="644">
        <v>0</v>
      </c>
      <c r="V58" s="644">
        <v>0</v>
      </c>
      <c r="W58" s="632">
        <v>0</v>
      </c>
      <c r="X58" s="632">
        <v>894048500</v>
      </c>
    </row>
    <row r="59" spans="1:24">
      <c r="A59" s="645">
        <v>41</v>
      </c>
      <c r="B59" s="643" t="s">
        <v>1135</v>
      </c>
      <c r="C59" s="645" t="s">
        <v>441</v>
      </c>
      <c r="D59" s="645" t="s">
        <v>1127</v>
      </c>
      <c r="E59" s="645" t="s">
        <v>890</v>
      </c>
      <c r="F59" s="645" t="s">
        <v>1128</v>
      </c>
      <c r="G59" s="645" t="s">
        <v>777</v>
      </c>
      <c r="H59" s="644">
        <v>243960000</v>
      </c>
      <c r="I59" s="644">
        <v>0</v>
      </c>
      <c r="J59" s="644">
        <v>0</v>
      </c>
      <c r="K59" s="644">
        <v>0</v>
      </c>
      <c r="L59" s="644">
        <v>0</v>
      </c>
      <c r="M59" s="644">
        <v>243960000</v>
      </c>
      <c r="N59" s="644">
        <v>0</v>
      </c>
      <c r="O59" s="644">
        <v>0</v>
      </c>
      <c r="P59" s="644">
        <v>243960000</v>
      </c>
      <c r="Q59" s="644">
        <v>243960000</v>
      </c>
      <c r="R59" s="644">
        <v>0</v>
      </c>
      <c r="S59" s="644">
        <v>0</v>
      </c>
      <c r="T59" s="644">
        <v>0</v>
      </c>
      <c r="U59" s="644">
        <v>0</v>
      </c>
      <c r="V59" s="644">
        <v>0</v>
      </c>
      <c r="W59" s="632">
        <v>0</v>
      </c>
      <c r="X59" s="632">
        <v>0</v>
      </c>
    </row>
    <row r="60" spans="1:24">
      <c r="A60" s="645">
        <v>42</v>
      </c>
      <c r="B60" s="643" t="s">
        <v>1136</v>
      </c>
      <c r="C60" s="645" t="s">
        <v>441</v>
      </c>
      <c r="D60" s="645" t="s">
        <v>1127</v>
      </c>
      <c r="E60" s="645" t="s">
        <v>890</v>
      </c>
      <c r="F60" s="645" t="s">
        <v>1114</v>
      </c>
      <c r="G60" s="645" t="s">
        <v>777</v>
      </c>
      <c r="H60" s="644">
        <v>382400000</v>
      </c>
      <c r="I60" s="644">
        <v>0</v>
      </c>
      <c r="J60" s="644">
        <v>0</v>
      </c>
      <c r="K60" s="644">
        <v>0</v>
      </c>
      <c r="L60" s="644">
        <v>0</v>
      </c>
      <c r="M60" s="644">
        <v>382400000</v>
      </c>
      <c r="N60" s="644">
        <v>0</v>
      </c>
      <c r="O60" s="644">
        <v>0</v>
      </c>
      <c r="P60" s="644">
        <v>373110100</v>
      </c>
      <c r="Q60" s="644">
        <v>373110100</v>
      </c>
      <c r="R60" s="644">
        <v>0</v>
      </c>
      <c r="S60" s="644">
        <v>0</v>
      </c>
      <c r="T60" s="644">
        <v>0</v>
      </c>
      <c r="U60" s="644">
        <v>0</v>
      </c>
      <c r="V60" s="644">
        <v>0</v>
      </c>
      <c r="W60" s="632">
        <v>0</v>
      </c>
      <c r="X60" s="632">
        <v>0</v>
      </c>
    </row>
    <row r="61" spans="1:24">
      <c r="A61" s="645">
        <v>43</v>
      </c>
      <c r="B61" s="643" t="s">
        <v>1136</v>
      </c>
      <c r="C61" s="645" t="s">
        <v>441</v>
      </c>
      <c r="D61" s="645" t="s">
        <v>1127</v>
      </c>
      <c r="E61" s="645" t="s">
        <v>1115</v>
      </c>
      <c r="F61" s="645" t="s">
        <v>1114</v>
      </c>
      <c r="G61" s="645" t="s">
        <v>777</v>
      </c>
      <c r="H61" s="644">
        <v>4500000</v>
      </c>
      <c r="I61" s="644">
        <v>0</v>
      </c>
      <c r="J61" s="644">
        <v>0</v>
      </c>
      <c r="K61" s="644">
        <v>0</v>
      </c>
      <c r="L61" s="644">
        <v>0</v>
      </c>
      <c r="M61" s="644">
        <v>4500000</v>
      </c>
      <c r="N61" s="644">
        <v>0</v>
      </c>
      <c r="O61" s="644">
        <v>0</v>
      </c>
      <c r="P61" s="644">
        <v>4500000</v>
      </c>
      <c r="Q61" s="644">
        <v>4500000</v>
      </c>
      <c r="R61" s="644">
        <v>0</v>
      </c>
      <c r="S61" s="644">
        <v>0</v>
      </c>
      <c r="T61" s="644">
        <v>0</v>
      </c>
      <c r="U61" s="644">
        <v>0</v>
      </c>
      <c r="V61" s="644">
        <v>0</v>
      </c>
      <c r="W61" s="632">
        <v>0</v>
      </c>
      <c r="X61" s="632">
        <v>0</v>
      </c>
    </row>
    <row r="62" spans="1:24">
      <c r="A62" s="645">
        <v>44</v>
      </c>
      <c r="B62" s="643" t="s">
        <v>1136</v>
      </c>
      <c r="C62" s="645" t="s">
        <v>441</v>
      </c>
      <c r="D62" s="645" t="s">
        <v>1127</v>
      </c>
      <c r="E62" s="645" t="s">
        <v>890</v>
      </c>
      <c r="F62" s="645" t="s">
        <v>1128</v>
      </c>
      <c r="G62" s="645" t="s">
        <v>777</v>
      </c>
      <c r="H62" s="644">
        <v>144450000</v>
      </c>
      <c r="I62" s="644">
        <v>0</v>
      </c>
      <c r="J62" s="644">
        <v>0</v>
      </c>
      <c r="K62" s="644">
        <v>0</v>
      </c>
      <c r="L62" s="644">
        <v>0</v>
      </c>
      <c r="M62" s="644">
        <v>144450000</v>
      </c>
      <c r="N62" s="644">
        <v>0</v>
      </c>
      <c r="O62" s="644">
        <v>0</v>
      </c>
      <c r="P62" s="644">
        <v>114369000</v>
      </c>
      <c r="Q62" s="644">
        <v>114369000</v>
      </c>
      <c r="R62" s="644">
        <v>0</v>
      </c>
      <c r="S62" s="644">
        <v>0</v>
      </c>
      <c r="T62" s="644">
        <v>0</v>
      </c>
      <c r="U62" s="644">
        <v>0</v>
      </c>
      <c r="V62" s="644">
        <v>0</v>
      </c>
      <c r="W62" s="632">
        <v>0</v>
      </c>
      <c r="X62" s="632">
        <v>0</v>
      </c>
    </row>
    <row r="63" spans="1:24">
      <c r="A63" s="645">
        <v>45</v>
      </c>
      <c r="B63" s="643" t="s">
        <v>1137</v>
      </c>
      <c r="C63" s="645" t="s">
        <v>441</v>
      </c>
      <c r="D63" s="645" t="s">
        <v>1127</v>
      </c>
      <c r="E63" s="645" t="s">
        <v>890</v>
      </c>
      <c r="F63" s="645" t="s">
        <v>1114</v>
      </c>
      <c r="G63" s="645" t="s">
        <v>777</v>
      </c>
      <c r="H63" s="644">
        <v>258200000</v>
      </c>
      <c r="I63" s="644">
        <v>0</v>
      </c>
      <c r="J63" s="644">
        <v>0</v>
      </c>
      <c r="K63" s="644">
        <v>0</v>
      </c>
      <c r="L63" s="644">
        <v>0</v>
      </c>
      <c r="M63" s="644">
        <v>258200000</v>
      </c>
      <c r="N63" s="644">
        <v>0</v>
      </c>
      <c r="O63" s="644">
        <v>0</v>
      </c>
      <c r="P63" s="644">
        <v>258125000</v>
      </c>
      <c r="Q63" s="644">
        <v>258125000</v>
      </c>
      <c r="R63" s="644">
        <v>0</v>
      </c>
      <c r="S63" s="644">
        <v>0</v>
      </c>
      <c r="T63" s="644">
        <v>0</v>
      </c>
      <c r="U63" s="644">
        <v>0</v>
      </c>
      <c r="V63" s="644">
        <v>0</v>
      </c>
      <c r="W63" s="632">
        <v>0</v>
      </c>
      <c r="X63" s="632">
        <v>34405900</v>
      </c>
    </row>
    <row r="64" spans="1:24">
      <c r="A64" s="645">
        <v>46</v>
      </c>
      <c r="B64" s="643" t="s">
        <v>1137</v>
      </c>
      <c r="C64" s="645" t="s">
        <v>441</v>
      </c>
      <c r="D64" s="645" t="s">
        <v>1127</v>
      </c>
      <c r="E64" s="645" t="s">
        <v>1115</v>
      </c>
      <c r="F64" s="645" t="s">
        <v>1114</v>
      </c>
      <c r="G64" s="645" t="s">
        <v>777</v>
      </c>
      <c r="H64" s="644">
        <v>5500000</v>
      </c>
      <c r="I64" s="644">
        <v>0</v>
      </c>
      <c r="J64" s="644">
        <v>0</v>
      </c>
      <c r="K64" s="644">
        <v>0</v>
      </c>
      <c r="L64" s="644">
        <v>0</v>
      </c>
      <c r="M64" s="644">
        <v>5500000</v>
      </c>
      <c r="N64" s="644">
        <v>0</v>
      </c>
      <c r="O64" s="644">
        <v>0</v>
      </c>
      <c r="P64" s="644">
        <v>5500000</v>
      </c>
      <c r="Q64" s="644">
        <v>5500000</v>
      </c>
      <c r="R64" s="644">
        <v>0</v>
      </c>
      <c r="S64" s="644">
        <v>0</v>
      </c>
      <c r="T64" s="644">
        <v>0</v>
      </c>
      <c r="U64" s="644">
        <v>0</v>
      </c>
      <c r="V64" s="644">
        <v>0</v>
      </c>
      <c r="W64" s="632">
        <v>0</v>
      </c>
      <c r="X64" s="632">
        <v>0</v>
      </c>
    </row>
    <row r="65" spans="1:24">
      <c r="A65" s="645">
        <v>47</v>
      </c>
      <c r="B65" s="643" t="s">
        <v>1137</v>
      </c>
      <c r="C65" s="645" t="s">
        <v>441</v>
      </c>
      <c r="D65" s="645" t="s">
        <v>1127</v>
      </c>
      <c r="E65" s="645" t="s">
        <v>890</v>
      </c>
      <c r="F65" s="645" t="s">
        <v>1128</v>
      </c>
      <c r="G65" s="645" t="s">
        <v>777</v>
      </c>
      <c r="H65" s="644">
        <v>811167000</v>
      </c>
      <c r="I65" s="644">
        <v>0</v>
      </c>
      <c r="J65" s="644">
        <v>0</v>
      </c>
      <c r="K65" s="644">
        <v>0</v>
      </c>
      <c r="L65" s="644">
        <v>0</v>
      </c>
      <c r="M65" s="644">
        <v>811167000</v>
      </c>
      <c r="N65" s="644">
        <v>0</v>
      </c>
      <c r="O65" s="644">
        <v>0</v>
      </c>
      <c r="P65" s="644">
        <v>743115000</v>
      </c>
      <c r="Q65" s="644">
        <v>743115000</v>
      </c>
      <c r="R65" s="644">
        <v>0</v>
      </c>
      <c r="S65" s="644">
        <v>0</v>
      </c>
      <c r="T65" s="644">
        <v>0</v>
      </c>
      <c r="U65" s="644">
        <v>0</v>
      </c>
      <c r="V65" s="644">
        <v>0</v>
      </c>
      <c r="W65" s="632">
        <v>0</v>
      </c>
      <c r="X65" s="632">
        <v>0</v>
      </c>
    </row>
    <row r="66" spans="1:24">
      <c r="A66" s="645">
        <v>48</v>
      </c>
      <c r="B66" s="643" t="s">
        <v>1138</v>
      </c>
      <c r="C66" s="645" t="s">
        <v>441</v>
      </c>
      <c r="D66" s="645" t="s">
        <v>1127</v>
      </c>
      <c r="E66" s="645" t="s">
        <v>890</v>
      </c>
      <c r="F66" s="645" t="s">
        <v>1114</v>
      </c>
      <c r="G66" s="645" t="s">
        <v>777</v>
      </c>
      <c r="H66" s="644">
        <v>344800000</v>
      </c>
      <c r="I66" s="644">
        <v>0</v>
      </c>
      <c r="J66" s="644">
        <v>0</v>
      </c>
      <c r="K66" s="644">
        <v>0</v>
      </c>
      <c r="L66" s="644">
        <v>0</v>
      </c>
      <c r="M66" s="644">
        <v>344800000</v>
      </c>
      <c r="N66" s="644">
        <v>0</v>
      </c>
      <c r="O66" s="644">
        <v>0</v>
      </c>
      <c r="P66" s="644">
        <v>321231100</v>
      </c>
      <c r="Q66" s="644">
        <v>321231100</v>
      </c>
      <c r="R66" s="644">
        <v>0</v>
      </c>
      <c r="S66" s="644">
        <v>0</v>
      </c>
      <c r="T66" s="644">
        <v>0</v>
      </c>
      <c r="U66" s="644">
        <v>0</v>
      </c>
      <c r="V66" s="644">
        <v>0</v>
      </c>
      <c r="W66" s="632">
        <v>0</v>
      </c>
      <c r="X66" s="632">
        <v>0</v>
      </c>
    </row>
    <row r="67" spans="1:24">
      <c r="A67" s="645">
        <v>49</v>
      </c>
      <c r="B67" s="643" t="s">
        <v>1138</v>
      </c>
      <c r="C67" s="645" t="s">
        <v>441</v>
      </c>
      <c r="D67" s="645" t="s">
        <v>1127</v>
      </c>
      <c r="E67" s="645" t="s">
        <v>1115</v>
      </c>
      <c r="F67" s="645" t="s">
        <v>1114</v>
      </c>
      <c r="G67" s="645" t="s">
        <v>777</v>
      </c>
      <c r="H67" s="644">
        <v>3000000</v>
      </c>
      <c r="I67" s="644">
        <v>0</v>
      </c>
      <c r="J67" s="644">
        <v>0</v>
      </c>
      <c r="K67" s="644">
        <v>0</v>
      </c>
      <c r="L67" s="644">
        <v>0</v>
      </c>
      <c r="M67" s="644">
        <v>3000000</v>
      </c>
      <c r="N67" s="644">
        <v>0</v>
      </c>
      <c r="O67" s="644">
        <v>0</v>
      </c>
      <c r="P67" s="644">
        <v>3000000</v>
      </c>
      <c r="Q67" s="644">
        <v>3000000</v>
      </c>
      <c r="R67" s="644">
        <v>0</v>
      </c>
      <c r="S67" s="644">
        <v>0</v>
      </c>
      <c r="T67" s="644">
        <v>0</v>
      </c>
      <c r="U67" s="644">
        <v>0</v>
      </c>
      <c r="V67" s="644">
        <v>0</v>
      </c>
      <c r="W67" s="632">
        <v>0</v>
      </c>
      <c r="X67" s="632">
        <v>0</v>
      </c>
    </row>
    <row r="68" spans="1:24">
      <c r="A68" s="645">
        <v>50</v>
      </c>
      <c r="B68" s="643" t="s">
        <v>1138</v>
      </c>
      <c r="C68" s="645" t="s">
        <v>441</v>
      </c>
      <c r="D68" s="645" t="s">
        <v>1127</v>
      </c>
      <c r="E68" s="645" t="s">
        <v>890</v>
      </c>
      <c r="F68" s="645" t="s">
        <v>1128</v>
      </c>
      <c r="G68" s="645" t="s">
        <v>777</v>
      </c>
      <c r="H68" s="644">
        <v>571701000</v>
      </c>
      <c r="I68" s="644">
        <v>0</v>
      </c>
      <c r="J68" s="644">
        <v>0</v>
      </c>
      <c r="K68" s="644">
        <v>0</v>
      </c>
      <c r="L68" s="644">
        <v>0</v>
      </c>
      <c r="M68" s="644">
        <v>571701000</v>
      </c>
      <c r="N68" s="644">
        <v>0</v>
      </c>
      <c r="O68" s="644">
        <v>0</v>
      </c>
      <c r="P68" s="644">
        <v>445772000</v>
      </c>
      <c r="Q68" s="644">
        <v>445772000</v>
      </c>
      <c r="R68" s="644">
        <v>0</v>
      </c>
      <c r="S68" s="644">
        <v>0</v>
      </c>
      <c r="T68" s="644">
        <v>0</v>
      </c>
      <c r="U68" s="644">
        <v>0</v>
      </c>
      <c r="V68" s="644">
        <v>0</v>
      </c>
      <c r="W68" s="632">
        <v>0</v>
      </c>
      <c r="X68" s="632">
        <v>0</v>
      </c>
    </row>
    <row r="69" spans="1:24">
      <c r="A69" s="645">
        <v>51</v>
      </c>
      <c r="B69" s="643" t="s">
        <v>1139</v>
      </c>
      <c r="C69" s="645" t="s">
        <v>441</v>
      </c>
      <c r="D69" s="645" t="s">
        <v>1127</v>
      </c>
      <c r="E69" s="645" t="s">
        <v>890</v>
      </c>
      <c r="F69" s="645" t="s">
        <v>1114</v>
      </c>
      <c r="G69" s="645" t="s">
        <v>777</v>
      </c>
      <c r="H69" s="644">
        <v>120000000</v>
      </c>
      <c r="I69" s="644">
        <v>0</v>
      </c>
      <c r="J69" s="644">
        <v>0</v>
      </c>
      <c r="K69" s="644">
        <v>0</v>
      </c>
      <c r="L69" s="644">
        <v>0</v>
      </c>
      <c r="M69" s="644">
        <v>120000000</v>
      </c>
      <c r="N69" s="644">
        <v>0</v>
      </c>
      <c r="O69" s="644">
        <v>0</v>
      </c>
      <c r="P69" s="644">
        <v>115205100</v>
      </c>
      <c r="Q69" s="644">
        <v>115205100</v>
      </c>
      <c r="R69" s="644">
        <v>0</v>
      </c>
      <c r="S69" s="644">
        <v>0</v>
      </c>
      <c r="T69" s="644">
        <v>0</v>
      </c>
      <c r="U69" s="644">
        <v>0</v>
      </c>
      <c r="V69" s="644">
        <v>0</v>
      </c>
      <c r="W69" s="632">
        <v>0</v>
      </c>
      <c r="X69" s="632">
        <v>128546000</v>
      </c>
    </row>
    <row r="70" spans="1:24">
      <c r="A70" s="645">
        <v>52</v>
      </c>
      <c r="B70" s="643" t="s">
        <v>1139</v>
      </c>
      <c r="C70" s="645" t="s">
        <v>441</v>
      </c>
      <c r="D70" s="645" t="s">
        <v>1127</v>
      </c>
      <c r="E70" s="645" t="s">
        <v>1115</v>
      </c>
      <c r="F70" s="645" t="s">
        <v>1114</v>
      </c>
      <c r="G70" s="645" t="s">
        <v>777</v>
      </c>
      <c r="H70" s="644">
        <v>1500000</v>
      </c>
      <c r="I70" s="644">
        <v>0</v>
      </c>
      <c r="J70" s="644">
        <v>0</v>
      </c>
      <c r="K70" s="644">
        <v>0</v>
      </c>
      <c r="L70" s="644">
        <v>0</v>
      </c>
      <c r="M70" s="644">
        <v>1500000</v>
      </c>
      <c r="N70" s="644">
        <v>0</v>
      </c>
      <c r="O70" s="644">
        <v>0</v>
      </c>
      <c r="P70" s="644">
        <v>1500000</v>
      </c>
      <c r="Q70" s="644">
        <v>1500000</v>
      </c>
      <c r="R70" s="644">
        <v>0</v>
      </c>
      <c r="S70" s="644">
        <v>0</v>
      </c>
      <c r="T70" s="644">
        <v>0</v>
      </c>
      <c r="U70" s="644">
        <v>0</v>
      </c>
      <c r="V70" s="644">
        <v>0</v>
      </c>
      <c r="W70" s="632">
        <v>0</v>
      </c>
      <c r="X70" s="632">
        <v>17885500</v>
      </c>
    </row>
    <row r="71" spans="1:24">
      <c r="A71" s="645">
        <v>53</v>
      </c>
      <c r="B71" s="643" t="s">
        <v>1139</v>
      </c>
      <c r="C71" s="645" t="s">
        <v>441</v>
      </c>
      <c r="D71" s="645" t="s">
        <v>1127</v>
      </c>
      <c r="E71" s="645" t="s">
        <v>890</v>
      </c>
      <c r="F71" s="645" t="s">
        <v>1128</v>
      </c>
      <c r="G71" s="645" t="s">
        <v>777</v>
      </c>
      <c r="H71" s="644">
        <v>192600000</v>
      </c>
      <c r="I71" s="644">
        <v>0</v>
      </c>
      <c r="J71" s="644">
        <v>0</v>
      </c>
      <c r="K71" s="644">
        <v>0</v>
      </c>
      <c r="L71" s="644">
        <v>0</v>
      </c>
      <c r="M71" s="644">
        <v>192600000</v>
      </c>
      <c r="N71" s="644">
        <v>0</v>
      </c>
      <c r="O71" s="644">
        <v>0</v>
      </c>
      <c r="P71" s="644">
        <v>142844000</v>
      </c>
      <c r="Q71" s="644">
        <v>142844000</v>
      </c>
      <c r="R71" s="644">
        <v>0</v>
      </c>
      <c r="S71" s="644">
        <v>0</v>
      </c>
      <c r="T71" s="644">
        <v>0</v>
      </c>
      <c r="U71" s="644">
        <v>0</v>
      </c>
      <c r="V71" s="644">
        <v>0</v>
      </c>
      <c r="W71" s="632">
        <v>0</v>
      </c>
      <c r="X71" s="632">
        <v>0</v>
      </c>
    </row>
    <row r="72" spans="1:24">
      <c r="A72" s="645">
        <v>54</v>
      </c>
      <c r="B72" s="643" t="s">
        <v>1140</v>
      </c>
      <c r="C72" s="645" t="s">
        <v>441</v>
      </c>
      <c r="D72" s="645" t="s">
        <v>1127</v>
      </c>
      <c r="E72" s="645" t="s">
        <v>892</v>
      </c>
      <c r="F72" s="645" t="s">
        <v>1114</v>
      </c>
      <c r="G72" s="645" t="s">
        <v>777</v>
      </c>
      <c r="H72" s="644">
        <v>13214344801</v>
      </c>
      <c r="I72" s="644">
        <v>174343801</v>
      </c>
      <c r="J72" s="644">
        <v>174343801</v>
      </c>
      <c r="K72" s="644">
        <v>0</v>
      </c>
      <c r="L72" s="644">
        <v>0</v>
      </c>
      <c r="M72" s="644">
        <v>11375928000</v>
      </c>
      <c r="N72" s="644">
        <v>1664073000</v>
      </c>
      <c r="O72" s="644">
        <v>0</v>
      </c>
      <c r="P72" s="644">
        <v>10940792207</v>
      </c>
      <c r="Q72" s="644">
        <v>10940792207</v>
      </c>
      <c r="R72" s="644">
        <v>0</v>
      </c>
      <c r="S72" s="644">
        <v>1187116467</v>
      </c>
      <c r="T72" s="644">
        <v>1187116467</v>
      </c>
      <c r="U72" s="644">
        <v>0</v>
      </c>
      <c r="V72" s="644">
        <v>0</v>
      </c>
      <c r="W72" s="632">
        <v>0</v>
      </c>
      <c r="X72" s="632">
        <v>0</v>
      </c>
    </row>
    <row r="73" spans="1:24">
      <c r="A73" s="645">
        <v>55</v>
      </c>
      <c r="B73" s="643" t="s">
        <v>1140</v>
      </c>
      <c r="C73" s="645" t="s">
        <v>441</v>
      </c>
      <c r="D73" s="645" t="s">
        <v>1127</v>
      </c>
      <c r="E73" s="645" t="s">
        <v>903</v>
      </c>
      <c r="F73" s="645" t="s">
        <v>1114</v>
      </c>
      <c r="G73" s="645" t="s">
        <v>777</v>
      </c>
      <c r="H73" s="644">
        <v>1532528616</v>
      </c>
      <c r="I73" s="644">
        <v>1532528616</v>
      </c>
      <c r="J73" s="644">
        <v>1532528616</v>
      </c>
      <c r="K73" s="644">
        <v>0</v>
      </c>
      <c r="L73" s="644">
        <v>0</v>
      </c>
      <c r="M73" s="644">
        <v>0</v>
      </c>
      <c r="N73" s="644">
        <v>0</v>
      </c>
      <c r="O73" s="644">
        <v>0</v>
      </c>
      <c r="P73" s="644">
        <v>1307411974</v>
      </c>
      <c r="Q73" s="644">
        <v>1307411974</v>
      </c>
      <c r="R73" s="644">
        <v>0</v>
      </c>
      <c r="S73" s="644">
        <v>0</v>
      </c>
      <c r="T73" s="644">
        <v>0</v>
      </c>
      <c r="U73" s="644">
        <v>0</v>
      </c>
      <c r="V73" s="644">
        <v>0</v>
      </c>
      <c r="W73" s="632">
        <v>0</v>
      </c>
      <c r="X73" s="632">
        <v>0</v>
      </c>
    </row>
    <row r="74" spans="1:24">
      <c r="A74" s="645">
        <v>56</v>
      </c>
      <c r="B74" s="643" t="s">
        <v>1140</v>
      </c>
      <c r="C74" s="645" t="s">
        <v>441</v>
      </c>
      <c r="D74" s="645" t="s">
        <v>1127</v>
      </c>
      <c r="E74" s="645" t="s">
        <v>1115</v>
      </c>
      <c r="F74" s="645" t="s">
        <v>1114</v>
      </c>
      <c r="G74" s="645" t="s">
        <v>777</v>
      </c>
      <c r="H74" s="644">
        <v>5500000</v>
      </c>
      <c r="I74" s="644">
        <v>0</v>
      </c>
      <c r="J74" s="644">
        <v>0</v>
      </c>
      <c r="K74" s="644">
        <v>0</v>
      </c>
      <c r="L74" s="644">
        <v>0</v>
      </c>
      <c r="M74" s="644">
        <v>5500000</v>
      </c>
      <c r="N74" s="644">
        <v>0</v>
      </c>
      <c r="O74" s="644">
        <v>0</v>
      </c>
      <c r="P74" s="644">
        <v>5500000</v>
      </c>
      <c r="Q74" s="644">
        <v>5500000</v>
      </c>
      <c r="R74" s="644">
        <v>0</v>
      </c>
      <c r="S74" s="644">
        <v>0</v>
      </c>
      <c r="T74" s="644">
        <v>0</v>
      </c>
      <c r="U74" s="644">
        <v>0</v>
      </c>
      <c r="V74" s="644">
        <v>0</v>
      </c>
      <c r="W74" s="632">
        <v>0</v>
      </c>
      <c r="X74" s="632">
        <v>0</v>
      </c>
    </row>
    <row r="75" spans="1:24">
      <c r="A75" s="645">
        <v>57</v>
      </c>
      <c r="B75" s="643" t="s">
        <v>1140</v>
      </c>
      <c r="C75" s="645" t="s">
        <v>441</v>
      </c>
      <c r="D75" s="645" t="s">
        <v>1127</v>
      </c>
      <c r="E75" s="645" t="s">
        <v>1116</v>
      </c>
      <c r="F75" s="645" t="s">
        <v>1114</v>
      </c>
      <c r="G75" s="645" t="s">
        <v>777</v>
      </c>
      <c r="H75" s="644">
        <v>364750000</v>
      </c>
      <c r="I75" s="644">
        <v>0</v>
      </c>
      <c r="J75" s="644">
        <v>0</v>
      </c>
      <c r="K75" s="644">
        <v>0</v>
      </c>
      <c r="L75" s="644">
        <v>0</v>
      </c>
      <c r="M75" s="644">
        <v>0</v>
      </c>
      <c r="N75" s="644">
        <v>364750000</v>
      </c>
      <c r="O75" s="644">
        <v>0</v>
      </c>
      <c r="P75" s="644">
        <v>349145000</v>
      </c>
      <c r="Q75" s="644">
        <v>349145000</v>
      </c>
      <c r="R75" s="644">
        <v>0</v>
      </c>
      <c r="S75" s="644">
        <v>0</v>
      </c>
      <c r="T75" s="644">
        <v>0</v>
      </c>
      <c r="U75" s="644">
        <v>0</v>
      </c>
      <c r="V75" s="644">
        <v>0</v>
      </c>
      <c r="W75" s="632">
        <v>0</v>
      </c>
      <c r="X75" s="632">
        <v>56120000</v>
      </c>
    </row>
    <row r="76" spans="1:24">
      <c r="A76" s="645">
        <v>58</v>
      </c>
      <c r="B76" s="643" t="s">
        <v>1140</v>
      </c>
      <c r="C76" s="645" t="s">
        <v>441</v>
      </c>
      <c r="D76" s="645" t="s">
        <v>1127</v>
      </c>
      <c r="E76" s="645" t="s">
        <v>1132</v>
      </c>
      <c r="F76" s="645" t="s">
        <v>1133</v>
      </c>
      <c r="G76" s="645" t="s">
        <v>777</v>
      </c>
      <c r="H76" s="644">
        <v>410722000</v>
      </c>
      <c r="I76" s="644">
        <v>0</v>
      </c>
      <c r="J76" s="644">
        <v>0</v>
      </c>
      <c r="K76" s="644">
        <v>0</v>
      </c>
      <c r="L76" s="644">
        <v>0</v>
      </c>
      <c r="M76" s="644">
        <v>0</v>
      </c>
      <c r="N76" s="644">
        <v>410722000</v>
      </c>
      <c r="O76" s="644">
        <v>0</v>
      </c>
      <c r="P76" s="644">
        <v>369536000</v>
      </c>
      <c r="Q76" s="644">
        <v>369536000</v>
      </c>
      <c r="R76" s="644">
        <v>0</v>
      </c>
      <c r="S76" s="644">
        <v>0</v>
      </c>
      <c r="T76" s="644">
        <v>0</v>
      </c>
      <c r="U76" s="644">
        <v>0</v>
      </c>
      <c r="V76" s="644">
        <v>0</v>
      </c>
      <c r="W76" s="632">
        <v>0</v>
      </c>
      <c r="X76" s="632">
        <v>184535159</v>
      </c>
    </row>
    <row r="77" spans="1:24">
      <c r="A77" s="645">
        <v>59</v>
      </c>
      <c r="B77" s="643" t="s">
        <v>1140</v>
      </c>
      <c r="C77" s="645" t="s">
        <v>441</v>
      </c>
      <c r="D77" s="645" t="s">
        <v>1127</v>
      </c>
      <c r="E77" s="645" t="s">
        <v>673</v>
      </c>
      <c r="F77" s="645" t="s">
        <v>1134</v>
      </c>
      <c r="G77" s="645" t="s">
        <v>777</v>
      </c>
      <c r="H77" s="644">
        <v>149850000</v>
      </c>
      <c r="I77" s="644">
        <v>0</v>
      </c>
      <c r="J77" s="644">
        <v>0</v>
      </c>
      <c r="K77" s="644">
        <v>0</v>
      </c>
      <c r="L77" s="644">
        <v>0</v>
      </c>
      <c r="M77" s="644">
        <v>149850000</v>
      </c>
      <c r="N77" s="644">
        <v>0</v>
      </c>
      <c r="O77" s="644">
        <v>0</v>
      </c>
      <c r="P77" s="644">
        <v>119305000</v>
      </c>
      <c r="Q77" s="644">
        <v>119305000</v>
      </c>
      <c r="R77" s="644">
        <v>0</v>
      </c>
      <c r="S77" s="644">
        <v>0</v>
      </c>
      <c r="T77" s="644">
        <v>0</v>
      </c>
      <c r="U77" s="644">
        <v>0</v>
      </c>
      <c r="V77" s="644">
        <v>0</v>
      </c>
      <c r="W77" s="632">
        <v>0</v>
      </c>
      <c r="X77" s="632">
        <v>89650000</v>
      </c>
    </row>
    <row r="78" spans="1:24">
      <c r="A78" s="645">
        <v>60</v>
      </c>
      <c r="B78" s="643" t="s">
        <v>1140</v>
      </c>
      <c r="C78" s="645" t="s">
        <v>441</v>
      </c>
      <c r="D78" s="645" t="s">
        <v>1127</v>
      </c>
      <c r="E78" s="645" t="s">
        <v>892</v>
      </c>
      <c r="F78" s="645" t="s">
        <v>1129</v>
      </c>
      <c r="G78" s="645" t="s">
        <v>777</v>
      </c>
      <c r="H78" s="644">
        <v>698865000</v>
      </c>
      <c r="I78" s="644">
        <v>0</v>
      </c>
      <c r="J78" s="644">
        <v>0</v>
      </c>
      <c r="K78" s="644">
        <v>0</v>
      </c>
      <c r="L78" s="644">
        <v>0</v>
      </c>
      <c r="M78" s="644">
        <v>0</v>
      </c>
      <c r="N78" s="644">
        <v>698865000</v>
      </c>
      <c r="O78" s="644">
        <v>0</v>
      </c>
      <c r="P78" s="644">
        <v>398415000</v>
      </c>
      <c r="Q78" s="644">
        <v>398415000</v>
      </c>
      <c r="R78" s="644">
        <v>0</v>
      </c>
      <c r="S78" s="644">
        <v>0</v>
      </c>
      <c r="T78" s="644">
        <v>0</v>
      </c>
      <c r="U78" s="644">
        <v>0</v>
      </c>
      <c r="V78" s="644">
        <v>0</v>
      </c>
      <c r="W78" s="632">
        <v>0</v>
      </c>
      <c r="X78" s="632">
        <v>0</v>
      </c>
    </row>
    <row r="79" spans="1:24">
      <c r="A79" s="645">
        <v>61</v>
      </c>
      <c r="B79" s="643" t="s">
        <v>1141</v>
      </c>
      <c r="C79" s="645" t="s">
        <v>441</v>
      </c>
      <c r="D79" s="645" t="s">
        <v>1127</v>
      </c>
      <c r="E79" s="645" t="s">
        <v>890</v>
      </c>
      <c r="F79" s="645" t="s">
        <v>1114</v>
      </c>
      <c r="G79" s="645" t="s">
        <v>777</v>
      </c>
      <c r="H79" s="644">
        <v>342300000</v>
      </c>
      <c r="I79" s="644">
        <v>22000000</v>
      </c>
      <c r="J79" s="644">
        <v>22000000</v>
      </c>
      <c r="K79" s="644">
        <v>0</v>
      </c>
      <c r="L79" s="644">
        <v>0</v>
      </c>
      <c r="M79" s="644">
        <v>320300000</v>
      </c>
      <c r="N79" s="644">
        <v>0</v>
      </c>
      <c r="O79" s="644">
        <v>0</v>
      </c>
      <c r="P79" s="644">
        <v>321474520</v>
      </c>
      <c r="Q79" s="644">
        <v>321474520</v>
      </c>
      <c r="R79" s="644">
        <v>0</v>
      </c>
      <c r="S79" s="644">
        <v>0</v>
      </c>
      <c r="T79" s="644">
        <v>0</v>
      </c>
      <c r="U79" s="644">
        <v>0</v>
      </c>
      <c r="V79" s="644">
        <v>0</v>
      </c>
      <c r="W79" s="632">
        <v>0</v>
      </c>
      <c r="X79" s="632">
        <v>184545</v>
      </c>
    </row>
    <row r="80" spans="1:24">
      <c r="A80" s="645">
        <v>62</v>
      </c>
      <c r="B80" s="643" t="s">
        <v>1141</v>
      </c>
      <c r="C80" s="645" t="s">
        <v>441</v>
      </c>
      <c r="D80" s="645" t="s">
        <v>1127</v>
      </c>
      <c r="E80" s="645" t="s">
        <v>1115</v>
      </c>
      <c r="F80" s="645" t="s">
        <v>1114</v>
      </c>
      <c r="G80" s="645" t="s">
        <v>777</v>
      </c>
      <c r="H80" s="644">
        <v>2000000</v>
      </c>
      <c r="I80" s="644">
        <v>0</v>
      </c>
      <c r="J80" s="644">
        <v>0</v>
      </c>
      <c r="K80" s="644">
        <v>0</v>
      </c>
      <c r="L80" s="644">
        <v>0</v>
      </c>
      <c r="M80" s="644">
        <v>2000000</v>
      </c>
      <c r="N80" s="644">
        <v>0</v>
      </c>
      <c r="O80" s="644">
        <v>0</v>
      </c>
      <c r="P80" s="644">
        <v>2000000</v>
      </c>
      <c r="Q80" s="644">
        <v>2000000</v>
      </c>
      <c r="R80" s="644">
        <v>0</v>
      </c>
      <c r="S80" s="644">
        <v>0</v>
      </c>
      <c r="T80" s="644">
        <v>0</v>
      </c>
      <c r="U80" s="644">
        <v>0</v>
      </c>
      <c r="V80" s="644">
        <v>0</v>
      </c>
      <c r="W80" s="632">
        <v>0</v>
      </c>
      <c r="X80" s="632">
        <v>25973000</v>
      </c>
    </row>
    <row r="81" spans="1:24">
      <c r="A81" s="645">
        <v>63</v>
      </c>
      <c r="B81" s="643" t="s">
        <v>1142</v>
      </c>
      <c r="C81" s="645" t="s">
        <v>441</v>
      </c>
      <c r="D81" s="645" t="s">
        <v>1127</v>
      </c>
      <c r="E81" s="645" t="s">
        <v>890</v>
      </c>
      <c r="F81" s="645" t="s">
        <v>1114</v>
      </c>
      <c r="G81" s="645" t="s">
        <v>777</v>
      </c>
      <c r="H81" s="644">
        <v>291500000</v>
      </c>
      <c r="I81" s="644">
        <v>74000000</v>
      </c>
      <c r="J81" s="644">
        <v>74000000</v>
      </c>
      <c r="K81" s="644">
        <v>0</v>
      </c>
      <c r="L81" s="644">
        <v>0</v>
      </c>
      <c r="M81" s="644">
        <v>217500000</v>
      </c>
      <c r="N81" s="644">
        <v>0</v>
      </c>
      <c r="O81" s="644">
        <v>0</v>
      </c>
      <c r="P81" s="644">
        <v>287205800</v>
      </c>
      <c r="Q81" s="644">
        <v>287205800</v>
      </c>
      <c r="R81" s="644">
        <v>0</v>
      </c>
      <c r="S81" s="644">
        <v>0</v>
      </c>
      <c r="T81" s="644">
        <v>0</v>
      </c>
      <c r="U81" s="644">
        <v>0</v>
      </c>
      <c r="V81" s="644">
        <v>0</v>
      </c>
      <c r="W81" s="632">
        <v>0</v>
      </c>
      <c r="X81" s="632">
        <v>7630000</v>
      </c>
    </row>
    <row r="82" spans="1:24">
      <c r="A82" s="645">
        <v>64</v>
      </c>
      <c r="B82" s="643" t="s">
        <v>1142</v>
      </c>
      <c r="C82" s="645" t="s">
        <v>441</v>
      </c>
      <c r="D82" s="645" t="s">
        <v>1127</v>
      </c>
      <c r="E82" s="645" t="s">
        <v>1115</v>
      </c>
      <c r="F82" s="645" t="s">
        <v>1114</v>
      </c>
      <c r="G82" s="645" t="s">
        <v>777</v>
      </c>
      <c r="H82" s="644">
        <v>2000000</v>
      </c>
      <c r="I82" s="644">
        <v>0</v>
      </c>
      <c r="J82" s="644">
        <v>0</v>
      </c>
      <c r="K82" s="644">
        <v>0</v>
      </c>
      <c r="L82" s="644">
        <v>0</v>
      </c>
      <c r="M82" s="644">
        <v>2000000</v>
      </c>
      <c r="N82" s="644">
        <v>0</v>
      </c>
      <c r="O82" s="644">
        <v>0</v>
      </c>
      <c r="P82" s="644">
        <v>2000000</v>
      </c>
      <c r="Q82" s="644">
        <v>2000000</v>
      </c>
      <c r="R82" s="644">
        <v>0</v>
      </c>
      <c r="S82" s="644">
        <v>0</v>
      </c>
      <c r="T82" s="644">
        <v>0</v>
      </c>
      <c r="U82" s="644">
        <v>0</v>
      </c>
      <c r="V82" s="644">
        <v>0</v>
      </c>
      <c r="W82" s="632">
        <v>0</v>
      </c>
      <c r="X82" s="632">
        <v>23671000</v>
      </c>
    </row>
    <row r="83" spans="1:24">
      <c r="A83" s="645">
        <v>65</v>
      </c>
      <c r="B83" s="643" t="s">
        <v>1142</v>
      </c>
      <c r="C83" s="645" t="s">
        <v>441</v>
      </c>
      <c r="D83" s="645" t="s">
        <v>1127</v>
      </c>
      <c r="E83" s="645" t="s">
        <v>890</v>
      </c>
      <c r="F83" s="645" t="s">
        <v>1128</v>
      </c>
      <c r="G83" s="645" t="s">
        <v>777</v>
      </c>
      <c r="H83" s="644">
        <v>279912000</v>
      </c>
      <c r="I83" s="644">
        <v>0</v>
      </c>
      <c r="J83" s="644">
        <v>0</v>
      </c>
      <c r="K83" s="644">
        <v>0</v>
      </c>
      <c r="L83" s="644">
        <v>0</v>
      </c>
      <c r="M83" s="644">
        <v>279912000</v>
      </c>
      <c r="N83" s="644">
        <v>0</v>
      </c>
      <c r="O83" s="644">
        <v>0</v>
      </c>
      <c r="P83" s="644">
        <v>279912000</v>
      </c>
      <c r="Q83" s="644">
        <v>279912000</v>
      </c>
      <c r="R83" s="644">
        <v>0</v>
      </c>
      <c r="S83" s="644">
        <v>0</v>
      </c>
      <c r="T83" s="644">
        <v>0</v>
      </c>
      <c r="U83" s="644">
        <v>0</v>
      </c>
      <c r="V83" s="644">
        <v>0</v>
      </c>
      <c r="W83" s="632">
        <v>0</v>
      </c>
      <c r="X83" s="632">
        <v>0</v>
      </c>
    </row>
    <row r="84" spans="1:24" ht="22.5">
      <c r="A84" s="645">
        <v>66</v>
      </c>
      <c r="B84" s="643" t="s">
        <v>1143</v>
      </c>
      <c r="C84" s="645" t="s">
        <v>441</v>
      </c>
      <c r="D84" s="645" t="s">
        <v>1127</v>
      </c>
      <c r="E84" s="645" t="s">
        <v>889</v>
      </c>
      <c r="F84" s="645" t="s">
        <v>1114</v>
      </c>
      <c r="G84" s="645" t="s">
        <v>777</v>
      </c>
      <c r="H84" s="644">
        <v>148045000</v>
      </c>
      <c r="I84" s="644">
        <v>0</v>
      </c>
      <c r="J84" s="644">
        <v>0</v>
      </c>
      <c r="K84" s="644">
        <v>0</v>
      </c>
      <c r="L84" s="644">
        <v>0</v>
      </c>
      <c r="M84" s="644">
        <v>0</v>
      </c>
      <c r="N84" s="644">
        <v>148045000</v>
      </c>
      <c r="O84" s="644">
        <v>0</v>
      </c>
      <c r="P84" s="644">
        <v>123938820</v>
      </c>
      <c r="Q84" s="644">
        <v>123938820</v>
      </c>
      <c r="R84" s="644">
        <v>0</v>
      </c>
      <c r="S84" s="644">
        <v>0</v>
      </c>
      <c r="T84" s="644">
        <v>0</v>
      </c>
      <c r="U84" s="644">
        <v>0</v>
      </c>
      <c r="V84" s="644">
        <v>0</v>
      </c>
      <c r="W84" s="632">
        <v>0</v>
      </c>
      <c r="X84" s="632">
        <v>0</v>
      </c>
    </row>
    <row r="85" spans="1:24" ht="22.5">
      <c r="A85" s="645">
        <v>67</v>
      </c>
      <c r="B85" s="643" t="s">
        <v>1143</v>
      </c>
      <c r="C85" s="645" t="s">
        <v>441</v>
      </c>
      <c r="D85" s="645" t="s">
        <v>1127</v>
      </c>
      <c r="E85" s="645" t="s">
        <v>892</v>
      </c>
      <c r="F85" s="645" t="s">
        <v>1114</v>
      </c>
      <c r="G85" s="645" t="s">
        <v>777</v>
      </c>
      <c r="H85" s="644">
        <v>325326850</v>
      </c>
      <c r="I85" s="644">
        <v>325326850</v>
      </c>
      <c r="J85" s="644">
        <v>325326850</v>
      </c>
      <c r="K85" s="644">
        <v>0</v>
      </c>
      <c r="L85" s="644">
        <v>0</v>
      </c>
      <c r="M85" s="644">
        <v>0</v>
      </c>
      <c r="N85" s="644">
        <v>0</v>
      </c>
      <c r="O85" s="644">
        <v>0</v>
      </c>
      <c r="P85" s="644">
        <v>294911000</v>
      </c>
      <c r="Q85" s="644">
        <v>294911000</v>
      </c>
      <c r="R85" s="644">
        <v>0</v>
      </c>
      <c r="S85" s="644">
        <v>0</v>
      </c>
      <c r="T85" s="644">
        <v>0</v>
      </c>
      <c r="U85" s="644">
        <v>0</v>
      </c>
      <c r="V85" s="644">
        <v>0</v>
      </c>
      <c r="W85" s="632">
        <v>0</v>
      </c>
      <c r="X85" s="632">
        <v>0</v>
      </c>
    </row>
    <row r="86" spans="1:24" ht="22.5">
      <c r="A86" s="645">
        <v>68</v>
      </c>
      <c r="B86" s="643" t="s">
        <v>1143</v>
      </c>
      <c r="C86" s="645" t="s">
        <v>441</v>
      </c>
      <c r="D86" s="645" t="s">
        <v>1127</v>
      </c>
      <c r="E86" s="645" t="s">
        <v>900</v>
      </c>
      <c r="F86" s="645" t="s">
        <v>1114</v>
      </c>
      <c r="G86" s="645" t="s">
        <v>777</v>
      </c>
      <c r="H86" s="644">
        <v>880000000</v>
      </c>
      <c r="I86" s="644">
        <v>0</v>
      </c>
      <c r="J86" s="644">
        <v>0</v>
      </c>
      <c r="K86" s="644">
        <v>0</v>
      </c>
      <c r="L86" s="644">
        <v>0</v>
      </c>
      <c r="M86" s="644">
        <v>880000000</v>
      </c>
      <c r="N86" s="644">
        <v>0</v>
      </c>
      <c r="O86" s="644">
        <v>0</v>
      </c>
      <c r="P86" s="644">
        <v>880000000</v>
      </c>
      <c r="Q86" s="644">
        <v>880000000</v>
      </c>
      <c r="R86" s="644">
        <v>0</v>
      </c>
      <c r="S86" s="644">
        <v>0</v>
      </c>
      <c r="T86" s="644">
        <v>0</v>
      </c>
      <c r="U86" s="644">
        <v>0</v>
      </c>
      <c r="V86" s="644">
        <v>0</v>
      </c>
      <c r="W86" s="632">
        <v>0</v>
      </c>
      <c r="X86" s="632">
        <v>0</v>
      </c>
    </row>
    <row r="87" spans="1:24" ht="22.5">
      <c r="A87" s="645">
        <v>69</v>
      </c>
      <c r="B87" s="643" t="s">
        <v>1143</v>
      </c>
      <c r="C87" s="645" t="s">
        <v>441</v>
      </c>
      <c r="D87" s="645" t="s">
        <v>1127</v>
      </c>
      <c r="E87" s="645" t="s">
        <v>901</v>
      </c>
      <c r="F87" s="645" t="s">
        <v>1114</v>
      </c>
      <c r="G87" s="645" t="s">
        <v>777</v>
      </c>
      <c r="H87" s="644">
        <v>162229000</v>
      </c>
      <c r="I87" s="644">
        <v>0</v>
      </c>
      <c r="J87" s="644">
        <v>0</v>
      </c>
      <c r="K87" s="644">
        <v>0</v>
      </c>
      <c r="L87" s="644">
        <v>0</v>
      </c>
      <c r="M87" s="644">
        <v>0</v>
      </c>
      <c r="N87" s="644">
        <v>162229000</v>
      </c>
      <c r="O87" s="644">
        <v>0</v>
      </c>
      <c r="P87" s="644">
        <v>162229000</v>
      </c>
      <c r="Q87" s="644">
        <v>162229000</v>
      </c>
      <c r="R87" s="644">
        <v>0</v>
      </c>
      <c r="S87" s="644">
        <v>0</v>
      </c>
      <c r="T87" s="644">
        <v>0</v>
      </c>
      <c r="U87" s="644">
        <v>0</v>
      </c>
      <c r="V87" s="644">
        <v>0</v>
      </c>
      <c r="W87" s="632">
        <v>0</v>
      </c>
      <c r="X87" s="632">
        <v>0</v>
      </c>
    </row>
    <row r="88" spans="1:24" ht="22.5">
      <c r="A88" s="645">
        <v>70</v>
      </c>
      <c r="B88" s="643" t="s">
        <v>1143</v>
      </c>
      <c r="C88" s="645" t="s">
        <v>441</v>
      </c>
      <c r="D88" s="645" t="s">
        <v>1127</v>
      </c>
      <c r="E88" s="645" t="s">
        <v>903</v>
      </c>
      <c r="F88" s="645" t="s">
        <v>1114</v>
      </c>
      <c r="G88" s="645" t="s">
        <v>777</v>
      </c>
      <c r="H88" s="644">
        <v>1682710091</v>
      </c>
      <c r="I88" s="644">
        <v>771930091</v>
      </c>
      <c r="J88" s="644">
        <v>771930091</v>
      </c>
      <c r="K88" s="644">
        <v>0</v>
      </c>
      <c r="L88" s="644">
        <v>0</v>
      </c>
      <c r="M88" s="644">
        <v>708920000</v>
      </c>
      <c r="N88" s="644">
        <v>201860000</v>
      </c>
      <c r="O88" s="644">
        <v>0</v>
      </c>
      <c r="P88" s="644">
        <v>1249241914</v>
      </c>
      <c r="Q88" s="644">
        <v>1249241914</v>
      </c>
      <c r="R88" s="644">
        <v>0</v>
      </c>
      <c r="S88" s="644">
        <v>0</v>
      </c>
      <c r="T88" s="644">
        <v>0</v>
      </c>
      <c r="U88" s="644">
        <v>0</v>
      </c>
      <c r="V88" s="644">
        <v>0</v>
      </c>
      <c r="W88" s="632">
        <v>0</v>
      </c>
      <c r="X88" s="632">
        <v>0</v>
      </c>
    </row>
    <row r="89" spans="1:24" ht="22.5">
      <c r="A89" s="645">
        <v>71</v>
      </c>
      <c r="B89" s="643" t="s">
        <v>1143</v>
      </c>
      <c r="C89" s="645" t="s">
        <v>441</v>
      </c>
      <c r="D89" s="645" t="s">
        <v>1127</v>
      </c>
      <c r="E89" s="645" t="s">
        <v>905</v>
      </c>
      <c r="F89" s="645" t="s">
        <v>1114</v>
      </c>
      <c r="G89" s="645" t="s">
        <v>777</v>
      </c>
      <c r="H89" s="644">
        <v>2474625000</v>
      </c>
      <c r="I89" s="644">
        <v>75000000</v>
      </c>
      <c r="J89" s="644">
        <v>75000000</v>
      </c>
      <c r="K89" s="644">
        <v>0</v>
      </c>
      <c r="L89" s="644">
        <v>0</v>
      </c>
      <c r="M89" s="644">
        <v>2190700000</v>
      </c>
      <c r="N89" s="644">
        <v>208925000</v>
      </c>
      <c r="O89" s="644">
        <v>0</v>
      </c>
      <c r="P89" s="644">
        <v>2332782524</v>
      </c>
      <c r="Q89" s="644">
        <v>2332782524</v>
      </c>
      <c r="R89" s="644">
        <v>0</v>
      </c>
      <c r="S89" s="644">
        <v>0</v>
      </c>
      <c r="T89" s="644">
        <v>0</v>
      </c>
      <c r="U89" s="644">
        <v>0</v>
      </c>
      <c r="V89" s="644">
        <v>0</v>
      </c>
      <c r="W89" s="632">
        <v>0</v>
      </c>
      <c r="X89" s="632">
        <v>0</v>
      </c>
    </row>
    <row r="90" spans="1:24" ht="22.5">
      <c r="A90" s="645">
        <v>72</v>
      </c>
      <c r="B90" s="643" t="s">
        <v>1143</v>
      </c>
      <c r="C90" s="645" t="s">
        <v>441</v>
      </c>
      <c r="D90" s="645" t="s">
        <v>1127</v>
      </c>
      <c r="E90" s="645" t="s">
        <v>1115</v>
      </c>
      <c r="F90" s="645" t="s">
        <v>1114</v>
      </c>
      <c r="G90" s="645" t="s">
        <v>777</v>
      </c>
      <c r="H90" s="644">
        <v>1000000</v>
      </c>
      <c r="I90" s="644">
        <v>0</v>
      </c>
      <c r="J90" s="644">
        <v>0</v>
      </c>
      <c r="K90" s="644">
        <v>0</v>
      </c>
      <c r="L90" s="644">
        <v>0</v>
      </c>
      <c r="M90" s="644">
        <v>1000000</v>
      </c>
      <c r="N90" s="644">
        <v>0</v>
      </c>
      <c r="O90" s="644">
        <v>0</v>
      </c>
      <c r="P90" s="644">
        <v>1000000</v>
      </c>
      <c r="Q90" s="644">
        <v>1000000</v>
      </c>
      <c r="R90" s="644">
        <v>0</v>
      </c>
      <c r="S90" s="644">
        <v>0</v>
      </c>
      <c r="T90" s="644">
        <v>0</v>
      </c>
      <c r="U90" s="644">
        <v>0</v>
      </c>
      <c r="V90" s="644">
        <v>0</v>
      </c>
      <c r="W90" s="632">
        <v>0</v>
      </c>
      <c r="X90" s="632">
        <v>10928000</v>
      </c>
    </row>
    <row r="91" spans="1:24" ht="22.5">
      <c r="A91" s="645">
        <v>73</v>
      </c>
      <c r="B91" s="643" t="s">
        <v>1143</v>
      </c>
      <c r="C91" s="645" t="s">
        <v>441</v>
      </c>
      <c r="D91" s="645" t="s">
        <v>1127</v>
      </c>
      <c r="E91" s="645" t="s">
        <v>1116</v>
      </c>
      <c r="F91" s="645" t="s">
        <v>1114</v>
      </c>
      <c r="G91" s="645" t="s">
        <v>777</v>
      </c>
      <c r="H91" s="644">
        <v>372722000</v>
      </c>
      <c r="I91" s="644">
        <v>0</v>
      </c>
      <c r="J91" s="644">
        <v>0</v>
      </c>
      <c r="K91" s="644">
        <v>0</v>
      </c>
      <c r="L91" s="644">
        <v>0</v>
      </c>
      <c r="M91" s="644">
        <v>0</v>
      </c>
      <c r="N91" s="644">
        <v>372722000</v>
      </c>
      <c r="O91" s="644">
        <v>0</v>
      </c>
      <c r="P91" s="644">
        <v>371552000</v>
      </c>
      <c r="Q91" s="644">
        <v>371552000</v>
      </c>
      <c r="R91" s="644">
        <v>0</v>
      </c>
      <c r="S91" s="644">
        <v>0</v>
      </c>
      <c r="T91" s="644">
        <v>0</v>
      </c>
      <c r="U91" s="644">
        <v>0</v>
      </c>
      <c r="V91" s="644">
        <v>0</v>
      </c>
      <c r="W91" s="632">
        <v>0</v>
      </c>
      <c r="X91" s="632">
        <v>0</v>
      </c>
    </row>
    <row r="92" spans="1:24" ht="22.5">
      <c r="A92" s="645">
        <v>74</v>
      </c>
      <c r="B92" s="643" t="s">
        <v>1144</v>
      </c>
      <c r="C92" s="645" t="s">
        <v>441</v>
      </c>
      <c r="D92" s="645" t="s">
        <v>1127</v>
      </c>
      <c r="E92" s="645" t="s">
        <v>889</v>
      </c>
      <c r="F92" s="645" t="s">
        <v>1114</v>
      </c>
      <c r="G92" s="645" t="s">
        <v>777</v>
      </c>
      <c r="H92" s="644">
        <v>2375749000</v>
      </c>
      <c r="I92" s="644">
        <v>0</v>
      </c>
      <c r="J92" s="644">
        <v>0</v>
      </c>
      <c r="K92" s="644">
        <v>0</v>
      </c>
      <c r="L92" s="644">
        <v>0</v>
      </c>
      <c r="M92" s="644">
        <v>2375749000</v>
      </c>
      <c r="N92" s="644">
        <v>0</v>
      </c>
      <c r="O92" s="644">
        <v>0</v>
      </c>
      <c r="P92" s="644">
        <v>1787028500</v>
      </c>
      <c r="Q92" s="644">
        <v>1787028500</v>
      </c>
      <c r="R92" s="644">
        <v>0</v>
      </c>
      <c r="S92" s="644">
        <v>0</v>
      </c>
      <c r="T92" s="644">
        <v>0</v>
      </c>
      <c r="U92" s="644">
        <v>0</v>
      </c>
      <c r="V92" s="644">
        <v>0</v>
      </c>
      <c r="W92" s="632">
        <v>0</v>
      </c>
      <c r="X92" s="632">
        <v>0</v>
      </c>
    </row>
    <row r="93" spans="1:24" ht="22.5">
      <c r="A93" s="645">
        <v>75</v>
      </c>
      <c r="B93" s="643" t="s">
        <v>1144</v>
      </c>
      <c r="C93" s="645" t="s">
        <v>441</v>
      </c>
      <c r="D93" s="645" t="s">
        <v>1127</v>
      </c>
      <c r="E93" s="645" t="s">
        <v>905</v>
      </c>
      <c r="F93" s="645" t="s">
        <v>1114</v>
      </c>
      <c r="G93" s="645" t="s">
        <v>777</v>
      </c>
      <c r="H93" s="644">
        <v>164700000</v>
      </c>
      <c r="I93" s="644">
        <v>0</v>
      </c>
      <c r="J93" s="644">
        <v>0</v>
      </c>
      <c r="K93" s="644">
        <v>0</v>
      </c>
      <c r="L93" s="644">
        <v>0</v>
      </c>
      <c r="M93" s="644">
        <v>164700000</v>
      </c>
      <c r="N93" s="644">
        <v>0</v>
      </c>
      <c r="O93" s="644">
        <v>0</v>
      </c>
      <c r="P93" s="644">
        <v>151913600</v>
      </c>
      <c r="Q93" s="644">
        <v>151913600</v>
      </c>
      <c r="R93" s="644">
        <v>0</v>
      </c>
      <c r="S93" s="644">
        <v>0</v>
      </c>
      <c r="T93" s="644">
        <v>0</v>
      </c>
      <c r="U93" s="644">
        <v>0</v>
      </c>
      <c r="V93" s="644">
        <v>0</v>
      </c>
      <c r="W93" s="632">
        <v>0</v>
      </c>
      <c r="X93" s="632">
        <v>936705</v>
      </c>
    </row>
    <row r="94" spans="1:24" ht="22.5">
      <c r="A94" s="645">
        <v>76</v>
      </c>
      <c r="B94" s="643" t="s">
        <v>1144</v>
      </c>
      <c r="C94" s="645" t="s">
        <v>441</v>
      </c>
      <c r="D94" s="645" t="s">
        <v>1127</v>
      </c>
      <c r="E94" s="645" t="s">
        <v>1115</v>
      </c>
      <c r="F94" s="645" t="s">
        <v>1114</v>
      </c>
      <c r="G94" s="645" t="s">
        <v>777</v>
      </c>
      <c r="H94" s="644">
        <v>500000</v>
      </c>
      <c r="I94" s="644">
        <v>0</v>
      </c>
      <c r="J94" s="644">
        <v>0</v>
      </c>
      <c r="K94" s="644">
        <v>0</v>
      </c>
      <c r="L94" s="644">
        <v>0</v>
      </c>
      <c r="M94" s="644">
        <v>500000</v>
      </c>
      <c r="N94" s="644">
        <v>0</v>
      </c>
      <c r="O94" s="644">
        <v>0</v>
      </c>
      <c r="P94" s="644">
        <v>500000</v>
      </c>
      <c r="Q94" s="644">
        <v>500000</v>
      </c>
      <c r="R94" s="644">
        <v>0</v>
      </c>
      <c r="S94" s="644">
        <v>0</v>
      </c>
      <c r="T94" s="644">
        <v>0</v>
      </c>
      <c r="U94" s="644">
        <v>0</v>
      </c>
      <c r="V94" s="644">
        <v>0</v>
      </c>
      <c r="W94" s="632">
        <v>0</v>
      </c>
      <c r="X94" s="632">
        <v>0</v>
      </c>
    </row>
    <row r="95" spans="1:24" ht="22.5">
      <c r="A95" s="645">
        <v>77</v>
      </c>
      <c r="B95" s="643" t="s">
        <v>1144</v>
      </c>
      <c r="C95" s="645" t="s">
        <v>441</v>
      </c>
      <c r="D95" s="645" t="s">
        <v>1127</v>
      </c>
      <c r="E95" s="645" t="s">
        <v>673</v>
      </c>
      <c r="F95" s="645" t="s">
        <v>1134</v>
      </c>
      <c r="G95" s="645" t="s">
        <v>777</v>
      </c>
      <c r="H95" s="644">
        <v>309384000</v>
      </c>
      <c r="I95" s="644">
        <v>0</v>
      </c>
      <c r="J95" s="644">
        <v>0</v>
      </c>
      <c r="K95" s="644">
        <v>0</v>
      </c>
      <c r="L95" s="644">
        <v>0</v>
      </c>
      <c r="M95" s="644">
        <v>309384000</v>
      </c>
      <c r="N95" s="644">
        <v>0</v>
      </c>
      <c r="O95" s="644">
        <v>0</v>
      </c>
      <c r="P95" s="644">
        <v>228550000</v>
      </c>
      <c r="Q95" s="644">
        <v>228550000</v>
      </c>
      <c r="R95" s="644">
        <v>0</v>
      </c>
      <c r="S95" s="644">
        <v>0</v>
      </c>
      <c r="T95" s="644">
        <v>0</v>
      </c>
      <c r="U95" s="644">
        <v>0</v>
      </c>
      <c r="V95" s="644">
        <v>0</v>
      </c>
      <c r="W95" s="632">
        <v>0</v>
      </c>
      <c r="X95" s="632">
        <v>9289900</v>
      </c>
    </row>
    <row r="96" spans="1:24" ht="22.5">
      <c r="A96" s="645">
        <v>78</v>
      </c>
      <c r="B96" s="643" t="s">
        <v>1145</v>
      </c>
      <c r="C96" s="645" t="s">
        <v>441</v>
      </c>
      <c r="D96" s="645" t="s">
        <v>1127</v>
      </c>
      <c r="E96" s="645" t="s">
        <v>889</v>
      </c>
      <c r="F96" s="645" t="s">
        <v>1114</v>
      </c>
      <c r="G96" s="645" t="s">
        <v>777</v>
      </c>
      <c r="H96" s="644">
        <v>15364233000</v>
      </c>
      <c r="I96" s="644">
        <v>0</v>
      </c>
      <c r="J96" s="644">
        <v>0</v>
      </c>
      <c r="K96" s="644">
        <v>0</v>
      </c>
      <c r="L96" s="644">
        <v>0</v>
      </c>
      <c r="M96" s="644">
        <v>15364233000</v>
      </c>
      <c r="N96" s="644">
        <v>0</v>
      </c>
      <c r="O96" s="644">
        <v>0</v>
      </c>
      <c r="P96" s="644">
        <v>14254904709</v>
      </c>
      <c r="Q96" s="644">
        <v>14254904709</v>
      </c>
      <c r="R96" s="644">
        <v>0</v>
      </c>
      <c r="S96" s="644">
        <v>0</v>
      </c>
      <c r="T96" s="644">
        <v>0</v>
      </c>
      <c r="U96" s="644">
        <v>0</v>
      </c>
      <c r="V96" s="644">
        <v>0</v>
      </c>
      <c r="W96" s="632">
        <v>0</v>
      </c>
      <c r="X96" s="632">
        <v>0</v>
      </c>
    </row>
    <row r="97" spans="1:24" ht="22.5">
      <c r="A97" s="645">
        <v>79</v>
      </c>
      <c r="B97" s="643" t="s">
        <v>1145</v>
      </c>
      <c r="C97" s="645" t="s">
        <v>441</v>
      </c>
      <c r="D97" s="645" t="s">
        <v>1127</v>
      </c>
      <c r="E97" s="645" t="s">
        <v>1115</v>
      </c>
      <c r="F97" s="645" t="s">
        <v>1114</v>
      </c>
      <c r="G97" s="645" t="s">
        <v>777</v>
      </c>
      <c r="H97" s="644">
        <v>1000000</v>
      </c>
      <c r="I97" s="644">
        <v>0</v>
      </c>
      <c r="J97" s="644">
        <v>0</v>
      </c>
      <c r="K97" s="644">
        <v>0</v>
      </c>
      <c r="L97" s="644">
        <v>0</v>
      </c>
      <c r="M97" s="644">
        <v>1000000</v>
      </c>
      <c r="N97" s="644">
        <v>0</v>
      </c>
      <c r="O97" s="644">
        <v>0</v>
      </c>
      <c r="P97" s="644">
        <v>1000000</v>
      </c>
      <c r="Q97" s="644">
        <v>1000000</v>
      </c>
      <c r="R97" s="644">
        <v>0</v>
      </c>
      <c r="S97" s="644">
        <v>0</v>
      </c>
      <c r="T97" s="644">
        <v>0</v>
      </c>
      <c r="U97" s="644">
        <v>0</v>
      </c>
      <c r="V97" s="644">
        <v>0</v>
      </c>
      <c r="W97" s="632">
        <v>0</v>
      </c>
      <c r="X97" s="632">
        <v>30081000</v>
      </c>
    </row>
    <row r="98" spans="1:24" ht="22.5">
      <c r="A98" s="645">
        <v>80</v>
      </c>
      <c r="B98" s="643" t="s">
        <v>1145</v>
      </c>
      <c r="C98" s="645" t="s">
        <v>441</v>
      </c>
      <c r="D98" s="645" t="s">
        <v>1127</v>
      </c>
      <c r="E98" s="645" t="s">
        <v>1116</v>
      </c>
      <c r="F98" s="645" t="s">
        <v>1114</v>
      </c>
      <c r="G98" s="645" t="s">
        <v>777</v>
      </c>
      <c r="H98" s="644">
        <v>624000000</v>
      </c>
      <c r="I98" s="644">
        <v>0</v>
      </c>
      <c r="J98" s="644">
        <v>0</v>
      </c>
      <c r="K98" s="644">
        <v>0</v>
      </c>
      <c r="L98" s="644">
        <v>0</v>
      </c>
      <c r="M98" s="644">
        <v>0</v>
      </c>
      <c r="N98" s="644">
        <v>624000000</v>
      </c>
      <c r="O98" s="644">
        <v>0</v>
      </c>
      <c r="P98" s="644">
        <v>464861880</v>
      </c>
      <c r="Q98" s="644">
        <v>464861880</v>
      </c>
      <c r="R98" s="644">
        <v>0</v>
      </c>
      <c r="S98" s="644">
        <v>0</v>
      </c>
      <c r="T98" s="644">
        <v>0</v>
      </c>
      <c r="U98" s="644">
        <v>0</v>
      </c>
      <c r="V98" s="644">
        <v>0</v>
      </c>
      <c r="W98" s="632">
        <v>0</v>
      </c>
      <c r="X98" s="632">
        <v>0</v>
      </c>
    </row>
    <row r="99" spans="1:24" ht="22.5">
      <c r="A99" s="645">
        <v>81</v>
      </c>
      <c r="B99" s="643" t="s">
        <v>1145</v>
      </c>
      <c r="C99" s="645" t="s">
        <v>441</v>
      </c>
      <c r="D99" s="645" t="s">
        <v>1127</v>
      </c>
      <c r="E99" s="645" t="s">
        <v>673</v>
      </c>
      <c r="F99" s="645" t="s">
        <v>1134</v>
      </c>
      <c r="G99" s="645" t="s">
        <v>777</v>
      </c>
      <c r="H99" s="644">
        <v>136566000</v>
      </c>
      <c r="I99" s="644">
        <v>0</v>
      </c>
      <c r="J99" s="644">
        <v>0</v>
      </c>
      <c r="K99" s="644">
        <v>0</v>
      </c>
      <c r="L99" s="644">
        <v>0</v>
      </c>
      <c r="M99" s="644">
        <v>136566000</v>
      </c>
      <c r="N99" s="644">
        <v>0</v>
      </c>
      <c r="O99" s="644">
        <v>0</v>
      </c>
      <c r="P99" s="644">
        <v>92422000</v>
      </c>
      <c r="Q99" s="644">
        <v>92422000</v>
      </c>
      <c r="R99" s="644">
        <v>0</v>
      </c>
      <c r="S99" s="644">
        <v>0</v>
      </c>
      <c r="T99" s="644">
        <v>0</v>
      </c>
      <c r="U99" s="644">
        <v>0</v>
      </c>
      <c r="V99" s="644">
        <v>0</v>
      </c>
      <c r="W99" s="632">
        <v>0</v>
      </c>
      <c r="X99" s="632">
        <v>0</v>
      </c>
    </row>
    <row r="100" spans="1:24" ht="22.5">
      <c r="A100" s="645">
        <v>82</v>
      </c>
      <c r="B100" s="643" t="s">
        <v>1146</v>
      </c>
      <c r="C100" s="645" t="s">
        <v>441</v>
      </c>
      <c r="D100" s="645" t="s">
        <v>1127</v>
      </c>
      <c r="E100" s="645" t="s">
        <v>1132</v>
      </c>
      <c r="F100" s="645" t="s">
        <v>1114</v>
      </c>
      <c r="G100" s="645" t="s">
        <v>777</v>
      </c>
      <c r="H100" s="644">
        <v>126679000</v>
      </c>
      <c r="I100" s="644">
        <v>0</v>
      </c>
      <c r="J100" s="644">
        <v>0</v>
      </c>
      <c r="K100" s="644">
        <v>0</v>
      </c>
      <c r="L100" s="644">
        <v>0</v>
      </c>
      <c r="M100" s="644">
        <v>126679000</v>
      </c>
      <c r="N100" s="644">
        <v>0</v>
      </c>
      <c r="O100" s="644">
        <v>0</v>
      </c>
      <c r="P100" s="644">
        <v>120270000</v>
      </c>
      <c r="Q100" s="644">
        <v>120270000</v>
      </c>
      <c r="R100" s="644">
        <v>0</v>
      </c>
      <c r="S100" s="644">
        <v>0</v>
      </c>
      <c r="T100" s="644">
        <v>0</v>
      </c>
      <c r="U100" s="644">
        <v>0</v>
      </c>
      <c r="V100" s="644">
        <v>0</v>
      </c>
      <c r="W100" s="632">
        <v>0</v>
      </c>
      <c r="X100" s="632">
        <v>75000</v>
      </c>
    </row>
    <row r="101" spans="1:24" ht="22.5">
      <c r="A101" s="645">
        <v>83</v>
      </c>
      <c r="B101" s="643" t="s">
        <v>1146</v>
      </c>
      <c r="C101" s="645" t="s">
        <v>441</v>
      </c>
      <c r="D101" s="645" t="s">
        <v>1127</v>
      </c>
      <c r="E101" s="645" t="s">
        <v>889</v>
      </c>
      <c r="F101" s="645" t="s">
        <v>1114</v>
      </c>
      <c r="G101" s="645" t="s">
        <v>777</v>
      </c>
      <c r="H101" s="644">
        <v>2447714000</v>
      </c>
      <c r="I101" s="644">
        <v>161720000</v>
      </c>
      <c r="J101" s="644">
        <v>161720000</v>
      </c>
      <c r="K101" s="644">
        <v>0</v>
      </c>
      <c r="L101" s="644">
        <v>0</v>
      </c>
      <c r="M101" s="644">
        <v>2285994000</v>
      </c>
      <c r="N101" s="644">
        <v>0</v>
      </c>
      <c r="O101" s="644">
        <v>0</v>
      </c>
      <c r="P101" s="644">
        <v>2063181266</v>
      </c>
      <c r="Q101" s="644">
        <v>2063181266</v>
      </c>
      <c r="R101" s="644">
        <v>0</v>
      </c>
      <c r="S101" s="644">
        <v>0</v>
      </c>
      <c r="T101" s="644">
        <v>0</v>
      </c>
      <c r="U101" s="644">
        <v>0</v>
      </c>
      <c r="V101" s="644">
        <v>0</v>
      </c>
      <c r="W101" s="632">
        <v>0</v>
      </c>
      <c r="X101" s="632">
        <v>0</v>
      </c>
    </row>
    <row r="102" spans="1:24" ht="22.5">
      <c r="A102" s="645">
        <v>84</v>
      </c>
      <c r="B102" s="643" t="s">
        <v>1146</v>
      </c>
      <c r="C102" s="645" t="s">
        <v>441</v>
      </c>
      <c r="D102" s="645" t="s">
        <v>1127</v>
      </c>
      <c r="E102" s="645" t="s">
        <v>903</v>
      </c>
      <c r="F102" s="645" t="s">
        <v>1114</v>
      </c>
      <c r="G102" s="645" t="s">
        <v>777</v>
      </c>
      <c r="H102" s="644">
        <v>800465000</v>
      </c>
      <c r="I102" s="644">
        <v>425465000</v>
      </c>
      <c r="J102" s="644">
        <v>425465000</v>
      </c>
      <c r="K102" s="644">
        <v>0</v>
      </c>
      <c r="L102" s="644">
        <v>0</v>
      </c>
      <c r="M102" s="644">
        <v>375000000</v>
      </c>
      <c r="N102" s="644">
        <v>0</v>
      </c>
      <c r="O102" s="644">
        <v>0</v>
      </c>
      <c r="P102" s="644">
        <v>553756000</v>
      </c>
      <c r="Q102" s="644">
        <v>553756000</v>
      </c>
      <c r="R102" s="644">
        <v>0</v>
      </c>
      <c r="S102" s="644">
        <v>0</v>
      </c>
      <c r="T102" s="644">
        <v>0</v>
      </c>
      <c r="U102" s="644">
        <v>0</v>
      </c>
      <c r="V102" s="644">
        <v>0</v>
      </c>
      <c r="W102" s="632">
        <v>0</v>
      </c>
      <c r="X102" s="632">
        <v>68052000</v>
      </c>
    </row>
    <row r="103" spans="1:24" ht="22.5">
      <c r="A103" s="645">
        <v>85</v>
      </c>
      <c r="B103" s="643" t="s">
        <v>1146</v>
      </c>
      <c r="C103" s="645" t="s">
        <v>441</v>
      </c>
      <c r="D103" s="645" t="s">
        <v>1127</v>
      </c>
      <c r="E103" s="645" t="s">
        <v>905</v>
      </c>
      <c r="F103" s="645" t="s">
        <v>1114</v>
      </c>
      <c r="G103" s="645" t="s">
        <v>777</v>
      </c>
      <c r="H103" s="644">
        <v>346000000</v>
      </c>
      <c r="I103" s="644">
        <v>0</v>
      </c>
      <c r="J103" s="644">
        <v>0</v>
      </c>
      <c r="K103" s="644">
        <v>0</v>
      </c>
      <c r="L103" s="644">
        <v>0</v>
      </c>
      <c r="M103" s="644">
        <v>346000000</v>
      </c>
      <c r="N103" s="644">
        <v>0</v>
      </c>
      <c r="O103" s="644">
        <v>0</v>
      </c>
      <c r="P103" s="644">
        <v>329057150</v>
      </c>
      <c r="Q103" s="644">
        <v>329057150</v>
      </c>
      <c r="R103" s="644">
        <v>0</v>
      </c>
      <c r="S103" s="644">
        <v>0</v>
      </c>
      <c r="T103" s="644">
        <v>0</v>
      </c>
      <c r="U103" s="644">
        <v>0</v>
      </c>
      <c r="V103" s="644">
        <v>0</v>
      </c>
      <c r="W103" s="632">
        <v>0</v>
      </c>
      <c r="X103" s="632">
        <v>0</v>
      </c>
    </row>
    <row r="104" spans="1:24" ht="22.5">
      <c r="A104" s="645">
        <v>86</v>
      </c>
      <c r="B104" s="643" t="s">
        <v>1146</v>
      </c>
      <c r="C104" s="645" t="s">
        <v>441</v>
      </c>
      <c r="D104" s="645" t="s">
        <v>1127</v>
      </c>
      <c r="E104" s="645" t="s">
        <v>1115</v>
      </c>
      <c r="F104" s="645" t="s">
        <v>1114</v>
      </c>
      <c r="G104" s="645" t="s">
        <v>777</v>
      </c>
      <c r="H104" s="644">
        <v>500000</v>
      </c>
      <c r="I104" s="644">
        <v>0</v>
      </c>
      <c r="J104" s="644">
        <v>0</v>
      </c>
      <c r="K104" s="644">
        <v>0</v>
      </c>
      <c r="L104" s="644">
        <v>0</v>
      </c>
      <c r="M104" s="644">
        <v>500000</v>
      </c>
      <c r="N104" s="644">
        <v>0</v>
      </c>
      <c r="O104" s="644">
        <v>0</v>
      </c>
      <c r="P104" s="644">
        <v>500000</v>
      </c>
      <c r="Q104" s="644">
        <v>500000</v>
      </c>
      <c r="R104" s="644">
        <v>0</v>
      </c>
      <c r="S104" s="644">
        <v>0</v>
      </c>
      <c r="T104" s="644">
        <v>0</v>
      </c>
      <c r="U104" s="644">
        <v>0</v>
      </c>
      <c r="V104" s="644">
        <v>0</v>
      </c>
      <c r="W104" s="632">
        <v>0</v>
      </c>
      <c r="X104" s="632">
        <v>0</v>
      </c>
    </row>
    <row r="105" spans="1:24" ht="22.5">
      <c r="A105" s="645">
        <v>87</v>
      </c>
      <c r="B105" s="643" t="s">
        <v>1146</v>
      </c>
      <c r="C105" s="645" t="s">
        <v>441</v>
      </c>
      <c r="D105" s="645" t="s">
        <v>1127</v>
      </c>
      <c r="E105" s="645" t="s">
        <v>1132</v>
      </c>
      <c r="F105" s="645" t="s">
        <v>1133</v>
      </c>
      <c r="G105" s="645" t="s">
        <v>777</v>
      </c>
      <c r="H105" s="644">
        <v>108603000</v>
      </c>
      <c r="I105" s="644">
        <v>0</v>
      </c>
      <c r="J105" s="644">
        <v>0</v>
      </c>
      <c r="K105" s="644">
        <v>0</v>
      </c>
      <c r="L105" s="644">
        <v>0</v>
      </c>
      <c r="M105" s="644">
        <v>0</v>
      </c>
      <c r="N105" s="644">
        <v>108603000</v>
      </c>
      <c r="O105" s="644">
        <v>0</v>
      </c>
      <c r="P105" s="644">
        <v>102380000</v>
      </c>
      <c r="Q105" s="644">
        <v>102380000</v>
      </c>
      <c r="R105" s="644">
        <v>0</v>
      </c>
      <c r="S105" s="644">
        <v>0</v>
      </c>
      <c r="T105" s="644">
        <v>0</v>
      </c>
      <c r="U105" s="644">
        <v>0</v>
      </c>
      <c r="V105" s="644">
        <v>0</v>
      </c>
      <c r="W105" s="632">
        <v>0</v>
      </c>
      <c r="X105" s="632">
        <v>23568900</v>
      </c>
    </row>
    <row r="106" spans="1:24" ht="22.5">
      <c r="A106" s="645">
        <v>88</v>
      </c>
      <c r="B106" s="643" t="s">
        <v>1146</v>
      </c>
      <c r="C106" s="645" t="s">
        <v>441</v>
      </c>
      <c r="D106" s="645" t="s">
        <v>1127</v>
      </c>
      <c r="E106" s="645" t="s">
        <v>673</v>
      </c>
      <c r="F106" s="645" t="s">
        <v>1134</v>
      </c>
      <c r="G106" s="645" t="s">
        <v>777</v>
      </c>
      <c r="H106" s="644">
        <v>150000000</v>
      </c>
      <c r="I106" s="644">
        <v>0</v>
      </c>
      <c r="J106" s="644">
        <v>0</v>
      </c>
      <c r="K106" s="644">
        <v>0</v>
      </c>
      <c r="L106" s="644">
        <v>0</v>
      </c>
      <c r="M106" s="644">
        <v>150000000</v>
      </c>
      <c r="N106" s="644">
        <v>0</v>
      </c>
      <c r="O106" s="644">
        <v>0</v>
      </c>
      <c r="P106" s="644">
        <v>83700000</v>
      </c>
      <c r="Q106" s="644">
        <v>83700000</v>
      </c>
      <c r="R106" s="644">
        <v>0</v>
      </c>
      <c r="S106" s="644">
        <v>0</v>
      </c>
      <c r="T106" s="644">
        <v>0</v>
      </c>
      <c r="U106" s="644">
        <v>0</v>
      </c>
      <c r="V106" s="644">
        <v>0</v>
      </c>
      <c r="W106" s="632">
        <v>0</v>
      </c>
      <c r="X106" s="632">
        <v>0</v>
      </c>
    </row>
    <row r="107" spans="1:24" ht="22.5">
      <c r="A107" s="645">
        <v>89</v>
      </c>
      <c r="B107" s="643" t="s">
        <v>1146</v>
      </c>
      <c r="C107" s="645" t="s">
        <v>441</v>
      </c>
      <c r="D107" s="645" t="s">
        <v>1127</v>
      </c>
      <c r="E107" s="645" t="s">
        <v>889</v>
      </c>
      <c r="F107" s="645" t="s">
        <v>1129</v>
      </c>
      <c r="G107" s="645" t="s">
        <v>777</v>
      </c>
      <c r="H107" s="644">
        <v>264255000</v>
      </c>
      <c r="I107" s="644">
        <v>264255000</v>
      </c>
      <c r="J107" s="644">
        <v>264255000</v>
      </c>
      <c r="K107" s="644">
        <v>0</v>
      </c>
      <c r="L107" s="644">
        <v>0</v>
      </c>
      <c r="M107" s="644">
        <v>0</v>
      </c>
      <c r="N107" s="644">
        <v>0</v>
      </c>
      <c r="O107" s="644">
        <v>0</v>
      </c>
      <c r="P107" s="644">
        <v>245733000</v>
      </c>
      <c r="Q107" s="644">
        <v>245733000</v>
      </c>
      <c r="R107" s="644">
        <v>0</v>
      </c>
      <c r="S107" s="644">
        <v>0</v>
      </c>
      <c r="T107" s="644">
        <v>0</v>
      </c>
      <c r="U107" s="644">
        <v>0</v>
      </c>
      <c r="V107" s="644">
        <v>0</v>
      </c>
      <c r="W107" s="632">
        <v>0</v>
      </c>
      <c r="X107" s="632">
        <v>125929000</v>
      </c>
    </row>
    <row r="108" spans="1:24" ht="22.5">
      <c r="A108" s="645">
        <v>90</v>
      </c>
      <c r="B108" s="643" t="s">
        <v>1147</v>
      </c>
      <c r="C108" s="645" t="s">
        <v>441</v>
      </c>
      <c r="D108" s="645" t="s">
        <v>1127</v>
      </c>
      <c r="E108" s="645" t="s">
        <v>899</v>
      </c>
      <c r="F108" s="645" t="s">
        <v>1114</v>
      </c>
      <c r="G108" s="645" t="s">
        <v>777</v>
      </c>
      <c r="H108" s="644">
        <v>154200000</v>
      </c>
      <c r="I108" s="644">
        <v>0</v>
      </c>
      <c r="J108" s="644">
        <v>0</v>
      </c>
      <c r="K108" s="644">
        <v>0</v>
      </c>
      <c r="L108" s="644">
        <v>0</v>
      </c>
      <c r="M108" s="644">
        <v>154200000</v>
      </c>
      <c r="N108" s="644">
        <v>0</v>
      </c>
      <c r="O108" s="644">
        <v>0</v>
      </c>
      <c r="P108" s="644">
        <v>130556800</v>
      </c>
      <c r="Q108" s="644">
        <v>130556800</v>
      </c>
      <c r="R108" s="644">
        <v>0</v>
      </c>
      <c r="S108" s="644">
        <v>0</v>
      </c>
      <c r="T108" s="644">
        <v>0</v>
      </c>
      <c r="U108" s="644">
        <v>0</v>
      </c>
      <c r="V108" s="644">
        <v>0</v>
      </c>
      <c r="W108" s="632">
        <v>0</v>
      </c>
      <c r="X108" s="632">
        <v>0</v>
      </c>
    </row>
    <row r="109" spans="1:24" ht="22.5">
      <c r="A109" s="645">
        <v>91</v>
      </c>
      <c r="B109" s="643" t="s">
        <v>1147</v>
      </c>
      <c r="C109" s="645" t="s">
        <v>441</v>
      </c>
      <c r="D109" s="645" t="s">
        <v>1127</v>
      </c>
      <c r="E109" s="645" t="s">
        <v>1116</v>
      </c>
      <c r="F109" s="645" t="s">
        <v>1114</v>
      </c>
      <c r="G109" s="645" t="s">
        <v>777</v>
      </c>
      <c r="H109" s="644">
        <v>1072415000</v>
      </c>
      <c r="I109" s="644">
        <v>0</v>
      </c>
      <c r="J109" s="644">
        <v>0</v>
      </c>
      <c r="K109" s="644">
        <v>0</v>
      </c>
      <c r="L109" s="644">
        <v>0</v>
      </c>
      <c r="M109" s="644">
        <v>0</v>
      </c>
      <c r="N109" s="644">
        <v>1072415000</v>
      </c>
      <c r="O109" s="644">
        <v>0</v>
      </c>
      <c r="P109" s="644">
        <v>998200000</v>
      </c>
      <c r="Q109" s="644">
        <v>998200000</v>
      </c>
      <c r="R109" s="644">
        <v>0</v>
      </c>
      <c r="S109" s="644">
        <v>0</v>
      </c>
      <c r="T109" s="644">
        <v>0</v>
      </c>
      <c r="U109" s="644">
        <v>0</v>
      </c>
      <c r="V109" s="644">
        <v>0</v>
      </c>
      <c r="W109" s="632">
        <v>0</v>
      </c>
      <c r="X109" s="632">
        <v>0</v>
      </c>
    </row>
    <row r="110" spans="1:24">
      <c r="A110" s="645">
        <v>92</v>
      </c>
      <c r="B110" s="643" t="s">
        <v>1148</v>
      </c>
      <c r="C110" s="645" t="s">
        <v>441</v>
      </c>
      <c r="D110" s="645" t="s">
        <v>1127</v>
      </c>
      <c r="E110" s="645" t="s">
        <v>889</v>
      </c>
      <c r="F110" s="645" t="s">
        <v>1114</v>
      </c>
      <c r="G110" s="645" t="s">
        <v>777</v>
      </c>
      <c r="H110" s="644">
        <v>1111075000</v>
      </c>
      <c r="I110" s="644">
        <v>1111075000</v>
      </c>
      <c r="J110" s="644">
        <v>0</v>
      </c>
      <c r="K110" s="644">
        <v>0</v>
      </c>
      <c r="L110" s="644">
        <v>1111075000</v>
      </c>
      <c r="M110" s="644">
        <v>0</v>
      </c>
      <c r="N110" s="644">
        <v>0</v>
      </c>
      <c r="O110" s="644">
        <v>0</v>
      </c>
      <c r="P110" s="644">
        <v>1111075000</v>
      </c>
      <c r="Q110" s="644">
        <v>1111075000</v>
      </c>
      <c r="R110" s="644">
        <v>0</v>
      </c>
      <c r="S110" s="644">
        <v>0</v>
      </c>
      <c r="T110" s="644">
        <v>0</v>
      </c>
      <c r="U110" s="644">
        <v>0</v>
      </c>
      <c r="V110" s="644">
        <v>0</v>
      </c>
      <c r="W110" s="632">
        <v>0</v>
      </c>
      <c r="X110" s="632">
        <v>0</v>
      </c>
    </row>
    <row r="111" spans="1:24">
      <c r="A111" s="645">
        <v>93</v>
      </c>
      <c r="B111" s="643" t="s">
        <v>1148</v>
      </c>
      <c r="C111" s="645" t="s">
        <v>441</v>
      </c>
      <c r="D111" s="645" t="s">
        <v>1127</v>
      </c>
      <c r="E111" s="645" t="s">
        <v>891</v>
      </c>
      <c r="F111" s="645" t="s">
        <v>1114</v>
      </c>
      <c r="G111" s="645" t="s">
        <v>777</v>
      </c>
      <c r="H111" s="644">
        <v>23244041140</v>
      </c>
      <c r="I111" s="644">
        <v>11338455140</v>
      </c>
      <c r="J111" s="644">
        <v>3574955140</v>
      </c>
      <c r="K111" s="644">
        <v>0</v>
      </c>
      <c r="L111" s="644">
        <v>7763500000</v>
      </c>
      <c r="M111" s="644">
        <v>-3494414000</v>
      </c>
      <c r="N111" s="644">
        <v>15400000000</v>
      </c>
      <c r="O111" s="644">
        <v>0</v>
      </c>
      <c r="P111" s="644">
        <v>22030451315</v>
      </c>
      <c r="Q111" s="644">
        <v>22030451315</v>
      </c>
      <c r="R111" s="644">
        <v>0</v>
      </c>
      <c r="S111" s="644">
        <v>1022863825</v>
      </c>
      <c r="T111" s="644">
        <f>475291825+U111</f>
        <v>1022863825</v>
      </c>
      <c r="U111" s="644">
        <v>547572000</v>
      </c>
      <c r="V111" s="644">
        <v>0</v>
      </c>
      <c r="W111" s="632">
        <v>0</v>
      </c>
      <c r="X111" s="632">
        <v>4794900</v>
      </c>
    </row>
    <row r="112" spans="1:24">
      <c r="A112" s="645">
        <v>94</v>
      </c>
      <c r="B112" s="643" t="s">
        <v>1148</v>
      </c>
      <c r="C112" s="645" t="s">
        <v>441</v>
      </c>
      <c r="D112" s="645" t="s">
        <v>1127</v>
      </c>
      <c r="E112" s="645" t="s">
        <v>903</v>
      </c>
      <c r="F112" s="645" t="s">
        <v>1114</v>
      </c>
      <c r="G112" s="645" t="s">
        <v>777</v>
      </c>
      <c r="H112" s="644">
        <v>778683000</v>
      </c>
      <c r="I112" s="644">
        <v>778683000</v>
      </c>
      <c r="J112" s="644">
        <v>778683000</v>
      </c>
      <c r="K112" s="644">
        <v>0</v>
      </c>
      <c r="L112" s="644">
        <v>0</v>
      </c>
      <c r="M112" s="644">
        <v>0</v>
      </c>
      <c r="N112" s="644">
        <v>0</v>
      </c>
      <c r="O112" s="644">
        <v>0</v>
      </c>
      <c r="P112" s="644">
        <v>0</v>
      </c>
      <c r="Q112" s="644">
        <v>0</v>
      </c>
      <c r="R112" s="644">
        <v>0</v>
      </c>
      <c r="S112" s="644">
        <v>0</v>
      </c>
      <c r="T112" s="644">
        <v>0</v>
      </c>
      <c r="U112" s="644">
        <v>0</v>
      </c>
      <c r="V112" s="644">
        <v>0</v>
      </c>
      <c r="W112" s="632">
        <v>0</v>
      </c>
      <c r="X112" s="632">
        <v>0</v>
      </c>
    </row>
    <row r="113" spans="1:24">
      <c r="A113" s="645">
        <v>95</v>
      </c>
      <c r="B113" s="643" t="s">
        <v>1148</v>
      </c>
      <c r="C113" s="645" t="s">
        <v>441</v>
      </c>
      <c r="D113" s="645" t="s">
        <v>1127</v>
      </c>
      <c r="E113" s="645" t="s">
        <v>1115</v>
      </c>
      <c r="F113" s="645" t="s">
        <v>1114</v>
      </c>
      <c r="G113" s="645" t="s">
        <v>777</v>
      </c>
      <c r="H113" s="644">
        <v>2000000</v>
      </c>
      <c r="I113" s="644">
        <v>0</v>
      </c>
      <c r="J113" s="644">
        <v>0</v>
      </c>
      <c r="K113" s="644">
        <v>0</v>
      </c>
      <c r="L113" s="644">
        <v>0</v>
      </c>
      <c r="M113" s="644">
        <v>2000000</v>
      </c>
      <c r="N113" s="644">
        <v>0</v>
      </c>
      <c r="O113" s="644">
        <v>0</v>
      </c>
      <c r="P113" s="644">
        <v>2000000</v>
      </c>
      <c r="Q113" s="644">
        <v>2000000</v>
      </c>
      <c r="R113" s="644">
        <v>0</v>
      </c>
      <c r="S113" s="644">
        <v>0</v>
      </c>
      <c r="T113" s="644">
        <v>0</v>
      </c>
      <c r="U113" s="644">
        <v>0</v>
      </c>
      <c r="V113" s="644">
        <v>0</v>
      </c>
      <c r="W113" s="632">
        <v>0</v>
      </c>
      <c r="X113" s="632">
        <v>49756000</v>
      </c>
    </row>
    <row r="114" spans="1:24">
      <c r="A114" s="645">
        <v>96</v>
      </c>
      <c r="B114" s="643" t="s">
        <v>1149</v>
      </c>
      <c r="C114" s="645" t="s">
        <v>441</v>
      </c>
      <c r="D114" s="645" t="s">
        <v>1127</v>
      </c>
      <c r="E114" s="645" t="s">
        <v>893</v>
      </c>
      <c r="F114" s="645" t="s">
        <v>1114</v>
      </c>
      <c r="G114" s="645" t="s">
        <v>777</v>
      </c>
      <c r="H114" s="644">
        <v>3237789000</v>
      </c>
      <c r="I114" s="644">
        <v>3091713000</v>
      </c>
      <c r="J114" s="644">
        <v>3091713000</v>
      </c>
      <c r="K114" s="644">
        <v>0</v>
      </c>
      <c r="L114" s="644">
        <v>0</v>
      </c>
      <c r="M114" s="644">
        <v>0</v>
      </c>
      <c r="N114" s="644">
        <v>146076000</v>
      </c>
      <c r="O114" s="644">
        <v>0</v>
      </c>
      <c r="P114" s="644">
        <v>240618000</v>
      </c>
      <c r="Q114" s="644">
        <v>240618000</v>
      </c>
      <c r="R114" s="644">
        <v>0</v>
      </c>
      <c r="S114" s="644">
        <v>2996871000</v>
      </c>
      <c r="T114" s="644">
        <v>0</v>
      </c>
      <c r="U114" s="644">
        <v>0</v>
      </c>
      <c r="V114" s="644">
        <v>0</v>
      </c>
      <c r="W114" s="632">
        <v>2996871000</v>
      </c>
      <c r="X114" s="632">
        <v>0</v>
      </c>
    </row>
    <row r="115" spans="1:24">
      <c r="A115" s="645">
        <v>97</v>
      </c>
      <c r="B115" s="643" t="s">
        <v>1149</v>
      </c>
      <c r="C115" s="645" t="s">
        <v>441</v>
      </c>
      <c r="D115" s="645" t="s">
        <v>1127</v>
      </c>
      <c r="E115" s="645" t="s">
        <v>903</v>
      </c>
      <c r="F115" s="645" t="s">
        <v>1114</v>
      </c>
      <c r="G115" s="645" t="s">
        <v>777</v>
      </c>
      <c r="H115" s="644">
        <v>1026879118</v>
      </c>
      <c r="I115" s="644">
        <v>808779118</v>
      </c>
      <c r="J115" s="644">
        <v>534470118</v>
      </c>
      <c r="K115" s="644">
        <v>0</v>
      </c>
      <c r="L115" s="644">
        <v>274309000</v>
      </c>
      <c r="M115" s="644">
        <v>218100000</v>
      </c>
      <c r="N115" s="644">
        <v>0</v>
      </c>
      <c r="O115" s="644">
        <v>0</v>
      </c>
      <c r="P115" s="644">
        <v>644976000</v>
      </c>
      <c r="Q115" s="644">
        <v>644976000</v>
      </c>
      <c r="R115" s="644">
        <v>0</v>
      </c>
      <c r="S115" s="644">
        <v>0</v>
      </c>
      <c r="T115" s="644">
        <v>0</v>
      </c>
      <c r="U115" s="644">
        <v>0</v>
      </c>
      <c r="V115" s="644">
        <v>0</v>
      </c>
      <c r="W115" s="632">
        <v>0</v>
      </c>
      <c r="X115" s="632">
        <v>0</v>
      </c>
    </row>
    <row r="116" spans="1:24">
      <c r="A116" s="645">
        <v>98</v>
      </c>
      <c r="B116" s="643" t="s">
        <v>1149</v>
      </c>
      <c r="C116" s="645" t="s">
        <v>441</v>
      </c>
      <c r="D116" s="645" t="s">
        <v>1127</v>
      </c>
      <c r="E116" s="645" t="s">
        <v>905</v>
      </c>
      <c r="F116" s="645" t="s">
        <v>1114</v>
      </c>
      <c r="G116" s="645" t="s">
        <v>777</v>
      </c>
      <c r="H116" s="644">
        <v>86500000</v>
      </c>
      <c r="I116" s="644">
        <v>0</v>
      </c>
      <c r="J116" s="644">
        <v>0</v>
      </c>
      <c r="K116" s="644">
        <v>0</v>
      </c>
      <c r="L116" s="644">
        <v>0</v>
      </c>
      <c r="M116" s="644">
        <v>86500000</v>
      </c>
      <c r="N116" s="644">
        <v>0</v>
      </c>
      <c r="O116" s="644">
        <v>0</v>
      </c>
      <c r="P116" s="644">
        <v>81705100</v>
      </c>
      <c r="Q116" s="644">
        <v>81705100</v>
      </c>
      <c r="R116" s="644">
        <v>0</v>
      </c>
      <c r="S116" s="644">
        <v>0</v>
      </c>
      <c r="T116" s="644">
        <v>0</v>
      </c>
      <c r="U116" s="644">
        <v>0</v>
      </c>
      <c r="V116" s="644">
        <v>0</v>
      </c>
      <c r="W116" s="632">
        <v>0</v>
      </c>
      <c r="X116" s="632">
        <v>772336540</v>
      </c>
    </row>
    <row r="117" spans="1:24">
      <c r="A117" s="645">
        <v>99</v>
      </c>
      <c r="B117" s="643" t="s">
        <v>1149</v>
      </c>
      <c r="C117" s="645" t="s">
        <v>441</v>
      </c>
      <c r="D117" s="645" t="s">
        <v>1127</v>
      </c>
      <c r="E117" s="645" t="s">
        <v>1115</v>
      </c>
      <c r="F117" s="645" t="s">
        <v>1114</v>
      </c>
      <c r="G117" s="645" t="s">
        <v>777</v>
      </c>
      <c r="H117" s="644">
        <v>500000</v>
      </c>
      <c r="I117" s="644">
        <v>0</v>
      </c>
      <c r="J117" s="644">
        <v>0</v>
      </c>
      <c r="K117" s="644">
        <v>0</v>
      </c>
      <c r="L117" s="644">
        <v>0</v>
      </c>
      <c r="M117" s="644">
        <v>500000</v>
      </c>
      <c r="N117" s="644">
        <v>0</v>
      </c>
      <c r="O117" s="644">
        <v>0</v>
      </c>
      <c r="P117" s="644">
        <v>500000</v>
      </c>
      <c r="Q117" s="644">
        <v>500000</v>
      </c>
      <c r="R117" s="644">
        <v>0</v>
      </c>
      <c r="S117" s="644">
        <v>0</v>
      </c>
      <c r="T117" s="644">
        <v>0</v>
      </c>
      <c r="U117" s="644">
        <v>0</v>
      </c>
      <c r="V117" s="644">
        <v>0</v>
      </c>
      <c r="W117" s="632">
        <v>0</v>
      </c>
      <c r="X117" s="632">
        <v>99000</v>
      </c>
    </row>
    <row r="118" spans="1:24">
      <c r="A118" s="645">
        <v>100</v>
      </c>
      <c r="B118" s="643" t="s">
        <v>1149</v>
      </c>
      <c r="C118" s="645" t="s">
        <v>441</v>
      </c>
      <c r="D118" s="645" t="s">
        <v>1127</v>
      </c>
      <c r="E118" s="645" t="s">
        <v>1116</v>
      </c>
      <c r="F118" s="645" t="s">
        <v>1114</v>
      </c>
      <c r="G118" s="645" t="s">
        <v>777</v>
      </c>
      <c r="H118" s="644">
        <v>326216272</v>
      </c>
      <c r="I118" s="644">
        <v>0</v>
      </c>
      <c r="J118" s="644">
        <v>0</v>
      </c>
      <c r="K118" s="644">
        <v>0</v>
      </c>
      <c r="L118" s="644">
        <v>0</v>
      </c>
      <c r="M118" s="644">
        <v>0</v>
      </c>
      <c r="N118" s="644">
        <v>326216272</v>
      </c>
      <c r="O118" s="644">
        <v>0</v>
      </c>
      <c r="P118" s="644">
        <v>325516272</v>
      </c>
      <c r="Q118" s="644">
        <v>325516272</v>
      </c>
      <c r="R118" s="644">
        <v>0</v>
      </c>
      <c r="S118" s="644">
        <v>0</v>
      </c>
      <c r="T118" s="644">
        <v>0</v>
      </c>
      <c r="U118" s="644">
        <v>0</v>
      </c>
      <c r="V118" s="644">
        <v>0</v>
      </c>
      <c r="W118" s="632">
        <v>0</v>
      </c>
      <c r="X118" s="632">
        <v>0</v>
      </c>
    </row>
    <row r="119" spans="1:24">
      <c r="A119" s="645">
        <v>101</v>
      </c>
      <c r="B119" s="643" t="s">
        <v>1149</v>
      </c>
      <c r="C119" s="645" t="s">
        <v>441</v>
      </c>
      <c r="D119" s="645" t="s">
        <v>1127</v>
      </c>
      <c r="E119" s="645" t="s">
        <v>889</v>
      </c>
      <c r="F119" s="645" t="s">
        <v>1129</v>
      </c>
      <c r="G119" s="645" t="s">
        <v>777</v>
      </c>
      <c r="H119" s="644">
        <v>4185704850</v>
      </c>
      <c r="I119" s="644">
        <v>238344850</v>
      </c>
      <c r="J119" s="644">
        <v>238344850</v>
      </c>
      <c r="K119" s="644">
        <v>0</v>
      </c>
      <c r="L119" s="644">
        <v>0</v>
      </c>
      <c r="M119" s="644">
        <v>0</v>
      </c>
      <c r="N119" s="644">
        <v>3947360000</v>
      </c>
      <c r="O119" s="644">
        <v>0</v>
      </c>
      <c r="P119" s="644">
        <v>4147287000</v>
      </c>
      <c r="Q119" s="644">
        <v>4147287000</v>
      </c>
      <c r="R119" s="644">
        <v>0</v>
      </c>
      <c r="S119" s="644">
        <v>0</v>
      </c>
      <c r="T119" s="644">
        <v>0</v>
      </c>
      <c r="U119" s="644">
        <v>0</v>
      </c>
      <c r="V119" s="644">
        <v>0</v>
      </c>
      <c r="W119" s="632">
        <v>0</v>
      </c>
      <c r="X119" s="632">
        <v>0</v>
      </c>
    </row>
    <row r="120" spans="1:24">
      <c r="A120" s="645">
        <v>102</v>
      </c>
      <c r="B120" s="643" t="s">
        <v>1149</v>
      </c>
      <c r="C120" s="645" t="s">
        <v>441</v>
      </c>
      <c r="D120" s="645" t="s">
        <v>1127</v>
      </c>
      <c r="E120" s="645" t="s">
        <v>893</v>
      </c>
      <c r="F120" s="645" t="s">
        <v>1150</v>
      </c>
      <c r="G120" s="645" t="s">
        <v>777</v>
      </c>
      <c r="H120" s="644">
        <v>1999200000</v>
      </c>
      <c r="I120" s="644">
        <v>0</v>
      </c>
      <c r="J120" s="644">
        <v>0</v>
      </c>
      <c r="K120" s="644">
        <v>0</v>
      </c>
      <c r="L120" s="644">
        <v>0</v>
      </c>
      <c r="M120" s="644">
        <v>1999200000</v>
      </c>
      <c r="N120" s="644">
        <v>0</v>
      </c>
      <c r="O120" s="644">
        <v>0</v>
      </c>
      <c r="P120" s="644">
        <v>0</v>
      </c>
      <c r="Q120" s="644">
        <v>0</v>
      </c>
      <c r="R120" s="644">
        <v>0</v>
      </c>
      <c r="S120" s="644">
        <v>1999200000</v>
      </c>
      <c r="T120" s="644">
        <v>0</v>
      </c>
      <c r="U120" s="644">
        <v>0</v>
      </c>
      <c r="V120" s="644">
        <v>0</v>
      </c>
      <c r="W120" s="632">
        <v>1999200000</v>
      </c>
      <c r="X120" s="632">
        <v>0</v>
      </c>
    </row>
    <row r="121" spans="1:24">
      <c r="A121" s="645">
        <v>103</v>
      </c>
      <c r="B121" s="643" t="s">
        <v>1151</v>
      </c>
      <c r="C121" s="645" t="s">
        <v>441</v>
      </c>
      <c r="D121" s="645" t="s">
        <v>1127</v>
      </c>
      <c r="E121" s="645" t="s">
        <v>1115</v>
      </c>
      <c r="F121" s="645" t="s">
        <v>1114</v>
      </c>
      <c r="G121" s="645" t="s">
        <v>777</v>
      </c>
      <c r="H121" s="644">
        <v>5500000</v>
      </c>
      <c r="I121" s="644">
        <v>0</v>
      </c>
      <c r="J121" s="644">
        <v>0</v>
      </c>
      <c r="K121" s="644">
        <v>0</v>
      </c>
      <c r="L121" s="644">
        <v>0</v>
      </c>
      <c r="M121" s="644">
        <v>5500000</v>
      </c>
      <c r="N121" s="644">
        <v>0</v>
      </c>
      <c r="O121" s="644">
        <v>0</v>
      </c>
      <c r="P121" s="644">
        <v>5500000</v>
      </c>
      <c r="Q121" s="644">
        <v>5500000</v>
      </c>
      <c r="R121" s="644">
        <v>0</v>
      </c>
      <c r="S121" s="644">
        <v>0</v>
      </c>
      <c r="T121" s="644">
        <v>0</v>
      </c>
      <c r="U121" s="644">
        <v>0</v>
      </c>
      <c r="V121" s="644">
        <v>0</v>
      </c>
      <c r="W121" s="632">
        <v>0</v>
      </c>
      <c r="X121" s="632">
        <v>0</v>
      </c>
    </row>
    <row r="122" spans="1:24" ht="22.5">
      <c r="A122" s="645">
        <v>104</v>
      </c>
      <c r="B122" s="643" t="s">
        <v>1152</v>
      </c>
      <c r="C122" s="645" t="s">
        <v>441</v>
      </c>
      <c r="D122" s="645" t="s">
        <v>1127</v>
      </c>
      <c r="E122" s="645" t="s">
        <v>891</v>
      </c>
      <c r="F122" s="645" t="s">
        <v>1114</v>
      </c>
      <c r="G122" s="645" t="s">
        <v>777</v>
      </c>
      <c r="H122" s="644">
        <v>1948615548</v>
      </c>
      <c r="I122" s="644">
        <v>0</v>
      </c>
      <c r="J122" s="644">
        <v>0</v>
      </c>
      <c r="K122" s="644">
        <v>0</v>
      </c>
      <c r="L122" s="644">
        <v>0</v>
      </c>
      <c r="M122" s="644">
        <v>1260000000</v>
      </c>
      <c r="N122" s="644">
        <v>688615548</v>
      </c>
      <c r="O122" s="644">
        <v>0</v>
      </c>
      <c r="P122" s="644">
        <v>1938603548</v>
      </c>
      <c r="Q122" s="644">
        <v>1938603548</v>
      </c>
      <c r="R122" s="644">
        <v>0</v>
      </c>
      <c r="S122" s="644">
        <v>0</v>
      </c>
      <c r="T122" s="644">
        <v>0</v>
      </c>
      <c r="U122" s="644">
        <v>0</v>
      </c>
      <c r="V122" s="644">
        <v>0</v>
      </c>
      <c r="W122" s="632">
        <v>0</v>
      </c>
      <c r="X122" s="632">
        <v>0</v>
      </c>
    </row>
    <row r="123" spans="1:24">
      <c r="A123" s="645">
        <v>105</v>
      </c>
      <c r="B123" s="643" t="s">
        <v>1153</v>
      </c>
      <c r="C123" s="645" t="s">
        <v>441</v>
      </c>
      <c r="D123" s="645" t="s">
        <v>1127</v>
      </c>
      <c r="E123" s="645" t="s">
        <v>890</v>
      </c>
      <c r="F123" s="645" t="s">
        <v>1114</v>
      </c>
      <c r="G123" s="645" t="s">
        <v>777</v>
      </c>
      <c r="H123" s="644">
        <v>892000000</v>
      </c>
      <c r="I123" s="644">
        <v>0</v>
      </c>
      <c r="J123" s="644">
        <v>0</v>
      </c>
      <c r="K123" s="644">
        <v>0</v>
      </c>
      <c r="L123" s="644">
        <v>0</v>
      </c>
      <c r="M123" s="644">
        <v>892000000</v>
      </c>
      <c r="N123" s="644">
        <v>0</v>
      </c>
      <c r="O123" s="644">
        <v>0</v>
      </c>
      <c r="P123" s="644">
        <v>654497860</v>
      </c>
      <c r="Q123" s="644">
        <v>654497860</v>
      </c>
      <c r="R123" s="644">
        <v>0</v>
      </c>
      <c r="S123" s="644">
        <v>0</v>
      </c>
      <c r="T123" s="644">
        <v>0</v>
      </c>
      <c r="U123" s="644">
        <v>0</v>
      </c>
      <c r="V123" s="644">
        <v>0</v>
      </c>
      <c r="W123" s="632">
        <v>0</v>
      </c>
      <c r="X123" s="632">
        <v>0</v>
      </c>
    </row>
    <row r="124" spans="1:24" ht="22.5">
      <c r="A124" s="645">
        <v>106</v>
      </c>
      <c r="B124" s="643" t="s">
        <v>1154</v>
      </c>
      <c r="C124" s="645" t="s">
        <v>441</v>
      </c>
      <c r="D124" s="645" t="s">
        <v>1127</v>
      </c>
      <c r="E124" s="645" t="s">
        <v>890</v>
      </c>
      <c r="F124" s="645" t="s">
        <v>1114</v>
      </c>
      <c r="G124" s="645" t="s">
        <v>777</v>
      </c>
      <c r="H124" s="644">
        <v>301000000</v>
      </c>
      <c r="I124" s="644">
        <v>0</v>
      </c>
      <c r="J124" s="644">
        <v>0</v>
      </c>
      <c r="K124" s="644">
        <v>0</v>
      </c>
      <c r="L124" s="644">
        <v>0</v>
      </c>
      <c r="M124" s="644">
        <v>301000000</v>
      </c>
      <c r="N124" s="644">
        <v>0</v>
      </c>
      <c r="O124" s="644">
        <v>0</v>
      </c>
      <c r="P124" s="644">
        <v>300822010</v>
      </c>
      <c r="Q124" s="644">
        <v>300822010</v>
      </c>
      <c r="R124" s="644">
        <v>0</v>
      </c>
      <c r="S124" s="644">
        <v>0</v>
      </c>
      <c r="T124" s="644">
        <v>0</v>
      </c>
      <c r="U124" s="644">
        <v>0</v>
      </c>
      <c r="V124" s="644">
        <v>0</v>
      </c>
      <c r="W124" s="632">
        <v>0</v>
      </c>
      <c r="X124" s="632">
        <v>0</v>
      </c>
    </row>
    <row r="125" spans="1:24" ht="33.75">
      <c r="A125" s="645">
        <v>107</v>
      </c>
      <c r="B125" s="643" t="s">
        <v>1155</v>
      </c>
      <c r="C125" s="645" t="s">
        <v>441</v>
      </c>
      <c r="D125" s="645" t="s">
        <v>1127</v>
      </c>
      <c r="E125" s="645" t="s">
        <v>892</v>
      </c>
      <c r="F125" s="645" t="s">
        <v>1114</v>
      </c>
      <c r="G125" s="645" t="s">
        <v>777</v>
      </c>
      <c r="H125" s="644">
        <v>260000000</v>
      </c>
      <c r="I125" s="644">
        <v>0</v>
      </c>
      <c r="J125" s="644">
        <v>0</v>
      </c>
      <c r="K125" s="644">
        <v>0</v>
      </c>
      <c r="L125" s="644">
        <v>0</v>
      </c>
      <c r="M125" s="644">
        <v>260000000</v>
      </c>
      <c r="N125" s="644">
        <v>0</v>
      </c>
      <c r="O125" s="644">
        <v>0</v>
      </c>
      <c r="P125" s="644">
        <v>211266000</v>
      </c>
      <c r="Q125" s="644">
        <v>211266000</v>
      </c>
      <c r="R125" s="644">
        <v>0</v>
      </c>
      <c r="S125" s="644">
        <v>0</v>
      </c>
      <c r="T125" s="644">
        <v>0</v>
      </c>
      <c r="U125" s="644">
        <v>0</v>
      </c>
      <c r="V125" s="644">
        <v>0</v>
      </c>
      <c r="W125" s="632">
        <v>3950000</v>
      </c>
      <c r="X125" s="632">
        <v>0</v>
      </c>
    </row>
    <row r="126" spans="1:24" ht="22.5">
      <c r="A126" s="645">
        <v>108</v>
      </c>
      <c r="B126" s="643" t="s">
        <v>1156</v>
      </c>
      <c r="C126" s="645" t="s">
        <v>441</v>
      </c>
      <c r="D126" s="645" t="s">
        <v>1127</v>
      </c>
      <c r="E126" s="645" t="s">
        <v>1132</v>
      </c>
      <c r="F126" s="645" t="s">
        <v>1114</v>
      </c>
      <c r="G126" s="645" t="s">
        <v>777</v>
      </c>
      <c r="H126" s="644">
        <v>80534000</v>
      </c>
      <c r="I126" s="644">
        <v>0</v>
      </c>
      <c r="J126" s="644">
        <v>0</v>
      </c>
      <c r="K126" s="644">
        <v>0</v>
      </c>
      <c r="L126" s="644">
        <v>0</v>
      </c>
      <c r="M126" s="644">
        <v>80534000</v>
      </c>
      <c r="N126" s="644">
        <v>0</v>
      </c>
      <c r="O126" s="644">
        <v>0</v>
      </c>
      <c r="P126" s="644">
        <v>66000000</v>
      </c>
      <c r="Q126" s="644">
        <v>66000000</v>
      </c>
      <c r="R126" s="644">
        <v>0</v>
      </c>
      <c r="S126" s="644">
        <v>0</v>
      </c>
      <c r="T126" s="644">
        <v>0</v>
      </c>
      <c r="U126" s="644">
        <v>0</v>
      </c>
      <c r="V126" s="644">
        <v>0</v>
      </c>
      <c r="W126" s="632">
        <v>0</v>
      </c>
      <c r="X126" s="632">
        <v>0</v>
      </c>
    </row>
    <row r="127" spans="1:24" ht="22.5">
      <c r="A127" s="645">
        <v>109</v>
      </c>
      <c r="B127" s="643" t="s">
        <v>1156</v>
      </c>
      <c r="C127" s="645" t="s">
        <v>441</v>
      </c>
      <c r="D127" s="645" t="s">
        <v>1127</v>
      </c>
      <c r="E127" s="645" t="s">
        <v>891</v>
      </c>
      <c r="F127" s="645" t="s">
        <v>1114</v>
      </c>
      <c r="G127" s="645" t="s">
        <v>777</v>
      </c>
      <c r="H127" s="644">
        <v>147619235830</v>
      </c>
      <c r="I127" s="644">
        <v>13083421830</v>
      </c>
      <c r="J127" s="644">
        <v>11316693830</v>
      </c>
      <c r="K127" s="644">
        <v>0</v>
      </c>
      <c r="L127" s="644">
        <v>1766728000</v>
      </c>
      <c r="M127" s="644">
        <v>104233814000</v>
      </c>
      <c r="N127" s="644">
        <v>30302000000</v>
      </c>
      <c r="O127" s="644">
        <v>0</v>
      </c>
      <c r="P127" s="644">
        <v>134436895292</v>
      </c>
      <c r="Q127" s="644">
        <v>134436895292</v>
      </c>
      <c r="R127" s="644">
        <v>0</v>
      </c>
      <c r="S127" s="644">
        <v>13182340538</v>
      </c>
      <c r="T127" s="644">
        <v>12419418538</v>
      </c>
      <c r="U127" s="644">
        <v>0</v>
      </c>
      <c r="V127" s="644">
        <v>762922000</v>
      </c>
      <c r="W127" s="632">
        <v>0</v>
      </c>
      <c r="X127" s="632">
        <v>0</v>
      </c>
    </row>
    <row r="128" spans="1:24" ht="22.5">
      <c r="A128" s="645">
        <v>110</v>
      </c>
      <c r="B128" s="643" t="s">
        <v>1156</v>
      </c>
      <c r="C128" s="645" t="s">
        <v>441</v>
      </c>
      <c r="D128" s="645" t="s">
        <v>1127</v>
      </c>
      <c r="E128" s="645" t="s">
        <v>1115</v>
      </c>
      <c r="F128" s="645" t="s">
        <v>1114</v>
      </c>
      <c r="G128" s="645" t="s">
        <v>777</v>
      </c>
      <c r="H128" s="644">
        <v>36000000</v>
      </c>
      <c r="I128" s="644">
        <v>0</v>
      </c>
      <c r="J128" s="644">
        <v>0</v>
      </c>
      <c r="K128" s="644">
        <v>0</v>
      </c>
      <c r="L128" s="644">
        <v>0</v>
      </c>
      <c r="M128" s="644">
        <v>36000000</v>
      </c>
      <c r="N128" s="644">
        <v>0</v>
      </c>
      <c r="O128" s="644">
        <v>0</v>
      </c>
      <c r="P128" s="644">
        <v>36000000</v>
      </c>
      <c r="Q128" s="644">
        <v>36000000</v>
      </c>
      <c r="R128" s="644">
        <v>0</v>
      </c>
      <c r="S128" s="644">
        <v>0</v>
      </c>
      <c r="T128" s="644">
        <v>0</v>
      </c>
      <c r="U128" s="644">
        <v>0</v>
      </c>
      <c r="V128" s="644">
        <v>0</v>
      </c>
      <c r="W128" s="632">
        <v>0</v>
      </c>
      <c r="X128" s="632">
        <v>0</v>
      </c>
    </row>
    <row r="129" spans="1:24" ht="22.5">
      <c r="A129" s="645">
        <v>111</v>
      </c>
      <c r="B129" s="643" t="s">
        <v>1157</v>
      </c>
      <c r="C129" s="645" t="s">
        <v>441</v>
      </c>
      <c r="D129" s="645" t="s">
        <v>1158</v>
      </c>
      <c r="E129" s="645" t="s">
        <v>1125</v>
      </c>
      <c r="F129" s="645" t="s">
        <v>1114</v>
      </c>
      <c r="G129" s="645" t="s">
        <v>777</v>
      </c>
      <c r="H129" s="644">
        <v>395000000</v>
      </c>
      <c r="I129" s="644">
        <v>0</v>
      </c>
      <c r="J129" s="644">
        <v>0</v>
      </c>
      <c r="K129" s="644">
        <v>0</v>
      </c>
      <c r="L129" s="644">
        <v>0</v>
      </c>
      <c r="M129" s="644">
        <v>285000000</v>
      </c>
      <c r="N129" s="644">
        <v>110000000</v>
      </c>
      <c r="O129" s="644">
        <v>0</v>
      </c>
      <c r="P129" s="644">
        <v>395000000</v>
      </c>
      <c r="Q129" s="644">
        <v>395000000</v>
      </c>
      <c r="R129" s="644">
        <v>0</v>
      </c>
      <c r="S129" s="644">
        <v>0</v>
      </c>
      <c r="T129" s="644">
        <v>0</v>
      </c>
      <c r="U129" s="644">
        <v>0</v>
      </c>
      <c r="V129" s="644">
        <v>0</v>
      </c>
      <c r="W129" s="632">
        <v>0</v>
      </c>
      <c r="X129" s="632">
        <v>0</v>
      </c>
    </row>
    <row r="130" spans="1:24" ht="22.5">
      <c r="A130" s="645">
        <v>112</v>
      </c>
      <c r="B130" s="643" t="s">
        <v>1157</v>
      </c>
      <c r="C130" s="645" t="s">
        <v>441</v>
      </c>
      <c r="D130" s="645" t="s">
        <v>1158</v>
      </c>
      <c r="E130" s="645" t="s">
        <v>900</v>
      </c>
      <c r="F130" s="645" t="s">
        <v>1114</v>
      </c>
      <c r="G130" s="645" t="s">
        <v>777</v>
      </c>
      <c r="H130" s="644">
        <v>1500000000</v>
      </c>
      <c r="I130" s="644">
        <v>0</v>
      </c>
      <c r="J130" s="644">
        <v>0</v>
      </c>
      <c r="K130" s="644">
        <v>0</v>
      </c>
      <c r="L130" s="644">
        <v>0</v>
      </c>
      <c r="M130" s="644">
        <v>1500000000</v>
      </c>
      <c r="N130" s="644">
        <v>0</v>
      </c>
      <c r="O130" s="644">
        <v>0</v>
      </c>
      <c r="P130" s="644">
        <v>1496758173</v>
      </c>
      <c r="Q130" s="644">
        <v>1496758173</v>
      </c>
      <c r="R130" s="644">
        <v>0</v>
      </c>
      <c r="S130" s="644">
        <v>0</v>
      </c>
      <c r="T130" s="644">
        <v>0</v>
      </c>
      <c r="U130" s="644">
        <v>0</v>
      </c>
      <c r="V130" s="644">
        <v>0</v>
      </c>
      <c r="W130" s="632">
        <v>0</v>
      </c>
      <c r="X130" s="632">
        <v>0</v>
      </c>
    </row>
    <row r="131" spans="1:24" ht="22.5">
      <c r="A131" s="645">
        <v>113</v>
      </c>
      <c r="B131" s="643" t="s">
        <v>1157</v>
      </c>
      <c r="C131" s="645" t="s">
        <v>441</v>
      </c>
      <c r="D131" s="645" t="s">
        <v>1158</v>
      </c>
      <c r="E131" s="645" t="s">
        <v>904</v>
      </c>
      <c r="F131" s="645" t="s">
        <v>1114</v>
      </c>
      <c r="G131" s="645" t="s">
        <v>777</v>
      </c>
      <c r="H131" s="644">
        <v>524000000</v>
      </c>
      <c r="I131" s="644">
        <v>0</v>
      </c>
      <c r="J131" s="644">
        <v>0</v>
      </c>
      <c r="K131" s="644">
        <v>0</v>
      </c>
      <c r="L131" s="644">
        <v>0</v>
      </c>
      <c r="M131" s="644">
        <v>524000000</v>
      </c>
      <c r="N131" s="644">
        <v>0</v>
      </c>
      <c r="O131" s="644">
        <v>0</v>
      </c>
      <c r="P131" s="644">
        <v>516376589</v>
      </c>
      <c r="Q131" s="644">
        <v>516376589</v>
      </c>
      <c r="R131" s="644">
        <v>0</v>
      </c>
      <c r="S131" s="644">
        <v>0</v>
      </c>
      <c r="T131" s="644">
        <v>0</v>
      </c>
      <c r="U131" s="644">
        <v>0</v>
      </c>
      <c r="V131" s="644">
        <v>0</v>
      </c>
      <c r="W131" s="632">
        <v>0</v>
      </c>
      <c r="X131" s="632">
        <v>0</v>
      </c>
    </row>
    <row r="132" spans="1:24" ht="22.5">
      <c r="A132" s="645">
        <v>114</v>
      </c>
      <c r="B132" s="643" t="s">
        <v>1157</v>
      </c>
      <c r="C132" s="645" t="s">
        <v>441</v>
      </c>
      <c r="D132" s="645" t="s">
        <v>1158</v>
      </c>
      <c r="E132" s="645" t="s">
        <v>905</v>
      </c>
      <c r="F132" s="645" t="s">
        <v>1114</v>
      </c>
      <c r="G132" s="645" t="s">
        <v>777</v>
      </c>
      <c r="H132" s="644">
        <v>2039000000</v>
      </c>
      <c r="I132" s="644">
        <v>0</v>
      </c>
      <c r="J132" s="644">
        <v>0</v>
      </c>
      <c r="K132" s="644">
        <v>0</v>
      </c>
      <c r="L132" s="644">
        <v>0</v>
      </c>
      <c r="M132" s="644">
        <v>1912000000</v>
      </c>
      <c r="N132" s="644">
        <v>127000000</v>
      </c>
      <c r="O132" s="644">
        <v>0</v>
      </c>
      <c r="P132" s="644">
        <v>1257037274</v>
      </c>
      <c r="Q132" s="644">
        <v>1257037274</v>
      </c>
      <c r="R132" s="644">
        <v>0</v>
      </c>
      <c r="S132" s="644">
        <v>0</v>
      </c>
      <c r="T132" s="644">
        <v>0</v>
      </c>
      <c r="U132" s="644">
        <v>0</v>
      </c>
      <c r="V132" s="644">
        <v>0</v>
      </c>
      <c r="W132" s="632">
        <v>0</v>
      </c>
      <c r="X132" s="632">
        <v>20844</v>
      </c>
    </row>
    <row r="133" spans="1:24" ht="22.5">
      <c r="A133" s="645">
        <v>115</v>
      </c>
      <c r="B133" s="643" t="s">
        <v>1157</v>
      </c>
      <c r="C133" s="645" t="s">
        <v>441</v>
      </c>
      <c r="D133" s="645" t="s">
        <v>1158</v>
      </c>
      <c r="E133" s="645" t="s">
        <v>1115</v>
      </c>
      <c r="F133" s="645" t="s">
        <v>1114</v>
      </c>
      <c r="G133" s="645" t="s">
        <v>777</v>
      </c>
      <c r="H133" s="644">
        <v>1000000</v>
      </c>
      <c r="I133" s="644">
        <v>0</v>
      </c>
      <c r="J133" s="644">
        <v>0</v>
      </c>
      <c r="K133" s="644">
        <v>0</v>
      </c>
      <c r="L133" s="644">
        <v>0</v>
      </c>
      <c r="M133" s="644">
        <v>1000000</v>
      </c>
      <c r="N133" s="644">
        <v>0</v>
      </c>
      <c r="O133" s="644">
        <v>0</v>
      </c>
      <c r="P133" s="644">
        <v>1000000</v>
      </c>
      <c r="Q133" s="644">
        <v>1000000</v>
      </c>
      <c r="R133" s="644">
        <v>0</v>
      </c>
      <c r="S133" s="644">
        <v>0</v>
      </c>
      <c r="T133" s="644">
        <v>0</v>
      </c>
      <c r="U133" s="644">
        <v>0</v>
      </c>
      <c r="V133" s="644">
        <v>0</v>
      </c>
      <c r="W133" s="632">
        <v>0</v>
      </c>
      <c r="X133" s="632">
        <v>11043237</v>
      </c>
    </row>
    <row r="134" spans="1:24" ht="22.5">
      <c r="A134" s="645">
        <v>116</v>
      </c>
      <c r="B134" s="643" t="s">
        <v>1157</v>
      </c>
      <c r="C134" s="645" t="s">
        <v>441</v>
      </c>
      <c r="D134" s="645" t="s">
        <v>1158</v>
      </c>
      <c r="E134" s="645" t="s">
        <v>1116</v>
      </c>
      <c r="F134" s="645" t="s">
        <v>1114</v>
      </c>
      <c r="G134" s="645" t="s">
        <v>777</v>
      </c>
      <c r="H134" s="644">
        <v>49494000</v>
      </c>
      <c r="I134" s="644">
        <v>0</v>
      </c>
      <c r="J134" s="644">
        <v>0</v>
      </c>
      <c r="K134" s="644">
        <v>0</v>
      </c>
      <c r="L134" s="644">
        <v>0</v>
      </c>
      <c r="M134" s="644">
        <v>0</v>
      </c>
      <c r="N134" s="644">
        <v>49494000</v>
      </c>
      <c r="O134" s="644">
        <v>0</v>
      </c>
      <c r="P134" s="644">
        <v>49494000</v>
      </c>
      <c r="Q134" s="644">
        <v>49494000</v>
      </c>
      <c r="R134" s="644">
        <v>0</v>
      </c>
      <c r="S134" s="644">
        <v>0</v>
      </c>
      <c r="T134" s="644">
        <v>0</v>
      </c>
      <c r="U134" s="644">
        <v>0</v>
      </c>
      <c r="V134" s="644">
        <v>0</v>
      </c>
      <c r="W134" s="632">
        <v>0</v>
      </c>
      <c r="X134" s="632">
        <v>0</v>
      </c>
    </row>
    <row r="135" spans="1:24" ht="22.5">
      <c r="A135" s="645">
        <v>117</v>
      </c>
      <c r="B135" s="643" t="s">
        <v>1159</v>
      </c>
      <c r="C135" s="645" t="s">
        <v>441</v>
      </c>
      <c r="D135" s="645" t="s">
        <v>1158</v>
      </c>
      <c r="E135" s="645" t="s">
        <v>903</v>
      </c>
      <c r="F135" s="645" t="s">
        <v>1114</v>
      </c>
      <c r="G135" s="645" t="s">
        <v>777</v>
      </c>
      <c r="H135" s="644">
        <v>300000000</v>
      </c>
      <c r="I135" s="644">
        <v>300000000</v>
      </c>
      <c r="J135" s="644">
        <v>247365000</v>
      </c>
      <c r="K135" s="644">
        <v>0</v>
      </c>
      <c r="L135" s="644">
        <v>52635000</v>
      </c>
      <c r="M135" s="644">
        <v>0</v>
      </c>
      <c r="N135" s="644">
        <v>0</v>
      </c>
      <c r="O135" s="644">
        <v>0</v>
      </c>
      <c r="P135" s="644">
        <v>0</v>
      </c>
      <c r="Q135" s="644">
        <v>0</v>
      </c>
      <c r="R135" s="644">
        <v>0</v>
      </c>
      <c r="S135" s="644">
        <v>300000000</v>
      </c>
      <c r="T135" s="644">
        <v>0</v>
      </c>
      <c r="U135" s="644">
        <v>0</v>
      </c>
      <c r="V135" s="644">
        <v>52635000</v>
      </c>
      <c r="W135" s="632">
        <v>247365000</v>
      </c>
      <c r="X135" s="632">
        <v>0</v>
      </c>
    </row>
    <row r="136" spans="1:24" ht="22.5">
      <c r="A136" s="645">
        <v>118</v>
      </c>
      <c r="B136" s="643" t="s">
        <v>1160</v>
      </c>
      <c r="C136" s="645" t="s">
        <v>441</v>
      </c>
      <c r="D136" s="645" t="s">
        <v>1161</v>
      </c>
      <c r="E136" s="645" t="s">
        <v>904</v>
      </c>
      <c r="F136" s="645" t="s">
        <v>1114</v>
      </c>
      <c r="G136" s="645" t="s">
        <v>777</v>
      </c>
      <c r="H136" s="644">
        <v>2299950000</v>
      </c>
      <c r="I136" s="644">
        <v>0</v>
      </c>
      <c r="J136" s="644">
        <v>0</v>
      </c>
      <c r="K136" s="644">
        <v>0</v>
      </c>
      <c r="L136" s="644">
        <v>0</v>
      </c>
      <c r="M136" s="644">
        <v>2299950000</v>
      </c>
      <c r="N136" s="644">
        <v>0</v>
      </c>
      <c r="O136" s="644">
        <v>0</v>
      </c>
      <c r="P136" s="644">
        <v>1934490400</v>
      </c>
      <c r="Q136" s="644">
        <v>1934490400</v>
      </c>
      <c r="R136" s="644">
        <v>0</v>
      </c>
      <c r="S136" s="644">
        <v>13000000</v>
      </c>
      <c r="T136" s="644">
        <v>13000000</v>
      </c>
      <c r="U136" s="644">
        <v>0</v>
      </c>
      <c r="V136" s="644">
        <v>0</v>
      </c>
      <c r="W136" s="632">
        <v>0</v>
      </c>
      <c r="X136" s="632">
        <v>0</v>
      </c>
    </row>
    <row r="137" spans="1:24" ht="22.5">
      <c r="A137" s="645">
        <v>119</v>
      </c>
      <c r="B137" s="643" t="s">
        <v>1160</v>
      </c>
      <c r="C137" s="645" t="s">
        <v>441</v>
      </c>
      <c r="D137" s="645" t="s">
        <v>1161</v>
      </c>
      <c r="E137" s="645" t="s">
        <v>1115</v>
      </c>
      <c r="F137" s="645" t="s">
        <v>1114</v>
      </c>
      <c r="G137" s="645" t="s">
        <v>777</v>
      </c>
      <c r="H137" s="644">
        <v>1000000</v>
      </c>
      <c r="I137" s="644">
        <v>0</v>
      </c>
      <c r="J137" s="644">
        <v>0</v>
      </c>
      <c r="K137" s="644">
        <v>0</v>
      </c>
      <c r="L137" s="644">
        <v>0</v>
      </c>
      <c r="M137" s="644">
        <v>1000000</v>
      </c>
      <c r="N137" s="644">
        <v>0</v>
      </c>
      <c r="O137" s="644">
        <v>0</v>
      </c>
      <c r="P137" s="644">
        <v>1000000</v>
      </c>
      <c r="Q137" s="644">
        <v>1000000</v>
      </c>
      <c r="R137" s="644">
        <v>0</v>
      </c>
      <c r="S137" s="644">
        <v>0</v>
      </c>
      <c r="T137" s="644">
        <v>0</v>
      </c>
      <c r="U137" s="644">
        <v>0</v>
      </c>
      <c r="V137" s="644">
        <v>0</v>
      </c>
      <c r="W137" s="632">
        <v>0</v>
      </c>
      <c r="X137" s="632">
        <v>0</v>
      </c>
    </row>
    <row r="138" spans="1:24">
      <c r="A138" s="645">
        <v>120</v>
      </c>
      <c r="B138" s="643" t="s">
        <v>1162</v>
      </c>
      <c r="C138" s="645" t="s">
        <v>441</v>
      </c>
      <c r="D138" s="645" t="s">
        <v>1161</v>
      </c>
      <c r="E138" s="645" t="s">
        <v>900</v>
      </c>
      <c r="F138" s="645" t="s">
        <v>1114</v>
      </c>
      <c r="G138" s="645" t="s">
        <v>777</v>
      </c>
      <c r="H138" s="644">
        <v>100000000</v>
      </c>
      <c r="I138" s="644">
        <v>0</v>
      </c>
      <c r="J138" s="644">
        <v>0</v>
      </c>
      <c r="K138" s="644">
        <v>0</v>
      </c>
      <c r="L138" s="644">
        <v>0</v>
      </c>
      <c r="M138" s="644">
        <v>100000000</v>
      </c>
      <c r="N138" s="644">
        <v>0</v>
      </c>
      <c r="O138" s="644">
        <v>0</v>
      </c>
      <c r="P138" s="644">
        <v>0</v>
      </c>
      <c r="Q138" s="644">
        <v>0</v>
      </c>
      <c r="R138" s="644">
        <v>0</v>
      </c>
      <c r="S138" s="644">
        <v>0</v>
      </c>
      <c r="T138" s="644">
        <v>0</v>
      </c>
      <c r="U138" s="644">
        <v>0</v>
      </c>
      <c r="V138" s="644">
        <v>0</v>
      </c>
      <c r="W138" s="632">
        <v>0</v>
      </c>
      <c r="X138" s="632">
        <v>15543032</v>
      </c>
    </row>
    <row r="139" spans="1:24">
      <c r="A139" s="645">
        <v>121</v>
      </c>
      <c r="B139" s="643" t="s">
        <v>1162</v>
      </c>
      <c r="C139" s="645" t="s">
        <v>441</v>
      </c>
      <c r="D139" s="645" t="s">
        <v>1161</v>
      </c>
      <c r="E139" s="645" t="s">
        <v>905</v>
      </c>
      <c r="F139" s="645" t="s">
        <v>1114</v>
      </c>
      <c r="G139" s="645" t="s">
        <v>777</v>
      </c>
      <c r="H139" s="644">
        <v>4284875000</v>
      </c>
      <c r="I139" s="644">
        <v>58275000</v>
      </c>
      <c r="J139" s="644">
        <v>58275000</v>
      </c>
      <c r="K139" s="644">
        <v>0</v>
      </c>
      <c r="L139" s="644">
        <v>0</v>
      </c>
      <c r="M139" s="644">
        <v>4206600000</v>
      </c>
      <c r="N139" s="644">
        <v>20000000</v>
      </c>
      <c r="O139" s="644">
        <v>0</v>
      </c>
      <c r="P139" s="644">
        <v>3511211079</v>
      </c>
      <c r="Q139" s="644">
        <v>3511211079</v>
      </c>
      <c r="R139" s="644">
        <v>0</v>
      </c>
      <c r="S139" s="644">
        <v>450000000</v>
      </c>
      <c r="T139" s="644">
        <v>450000000</v>
      </c>
      <c r="U139" s="644">
        <v>0</v>
      </c>
      <c r="V139" s="644">
        <v>0</v>
      </c>
      <c r="W139" s="632">
        <v>0</v>
      </c>
      <c r="X139" s="632">
        <v>35220647</v>
      </c>
    </row>
    <row r="140" spans="1:24">
      <c r="A140" s="645">
        <v>122</v>
      </c>
      <c r="B140" s="643" t="s">
        <v>1162</v>
      </c>
      <c r="C140" s="645" t="s">
        <v>441</v>
      </c>
      <c r="D140" s="645" t="s">
        <v>1161</v>
      </c>
      <c r="E140" s="645" t="s">
        <v>1115</v>
      </c>
      <c r="F140" s="645" t="s">
        <v>1114</v>
      </c>
      <c r="G140" s="645" t="s">
        <v>777</v>
      </c>
      <c r="H140" s="644">
        <v>1000000</v>
      </c>
      <c r="I140" s="644">
        <v>0</v>
      </c>
      <c r="J140" s="644">
        <v>0</v>
      </c>
      <c r="K140" s="644">
        <v>0</v>
      </c>
      <c r="L140" s="644">
        <v>0</v>
      </c>
      <c r="M140" s="644">
        <v>1000000</v>
      </c>
      <c r="N140" s="644">
        <v>0</v>
      </c>
      <c r="O140" s="644">
        <v>0</v>
      </c>
      <c r="P140" s="644">
        <v>1000000</v>
      </c>
      <c r="Q140" s="644">
        <v>1000000</v>
      </c>
      <c r="R140" s="644">
        <v>0</v>
      </c>
      <c r="S140" s="644">
        <v>0</v>
      </c>
      <c r="T140" s="644">
        <v>0</v>
      </c>
      <c r="U140" s="644">
        <v>0</v>
      </c>
      <c r="V140" s="644">
        <v>0</v>
      </c>
      <c r="W140" s="632">
        <v>0</v>
      </c>
      <c r="X140" s="632">
        <v>0</v>
      </c>
    </row>
    <row r="141" spans="1:24" ht="22.5">
      <c r="A141" s="645">
        <v>123</v>
      </c>
      <c r="B141" s="643" t="s">
        <v>1163</v>
      </c>
      <c r="C141" s="645" t="s">
        <v>441</v>
      </c>
      <c r="D141" s="645" t="s">
        <v>1164</v>
      </c>
      <c r="E141" s="645" t="s">
        <v>897</v>
      </c>
      <c r="F141" s="645" t="s">
        <v>1114</v>
      </c>
      <c r="G141" s="645" t="s">
        <v>777</v>
      </c>
      <c r="H141" s="644">
        <v>1528000000</v>
      </c>
      <c r="I141" s="644">
        <v>0</v>
      </c>
      <c r="J141" s="644">
        <v>0</v>
      </c>
      <c r="K141" s="644">
        <v>0</v>
      </c>
      <c r="L141" s="644">
        <v>0</v>
      </c>
      <c r="M141" s="644">
        <v>1663000000</v>
      </c>
      <c r="N141" s="644">
        <v>-135000000</v>
      </c>
      <c r="O141" s="644">
        <v>0</v>
      </c>
      <c r="P141" s="644">
        <v>1247137371</v>
      </c>
      <c r="Q141" s="644">
        <v>1247137371</v>
      </c>
      <c r="R141" s="644">
        <v>0</v>
      </c>
      <c r="S141" s="644">
        <v>0</v>
      </c>
      <c r="T141" s="644">
        <v>0</v>
      </c>
      <c r="U141" s="644">
        <v>0</v>
      </c>
      <c r="V141" s="644">
        <v>0</v>
      </c>
      <c r="W141" s="632">
        <v>0</v>
      </c>
      <c r="X141" s="632">
        <v>6141342</v>
      </c>
    </row>
    <row r="142" spans="1:24" ht="22.5">
      <c r="A142" s="645">
        <v>124</v>
      </c>
      <c r="B142" s="643" t="s">
        <v>1163</v>
      </c>
      <c r="C142" s="645" t="s">
        <v>441</v>
      </c>
      <c r="D142" s="645" t="s">
        <v>1164</v>
      </c>
      <c r="E142" s="645" t="s">
        <v>898</v>
      </c>
      <c r="F142" s="645" t="s">
        <v>1114</v>
      </c>
      <c r="G142" s="645" t="s">
        <v>777</v>
      </c>
      <c r="H142" s="644">
        <v>2527179000</v>
      </c>
      <c r="I142" s="644">
        <v>0</v>
      </c>
      <c r="J142" s="644">
        <v>0</v>
      </c>
      <c r="K142" s="644">
        <v>0</v>
      </c>
      <c r="L142" s="644">
        <v>0</v>
      </c>
      <c r="M142" s="644">
        <v>2531000000</v>
      </c>
      <c r="N142" s="644">
        <v>-3821000</v>
      </c>
      <c r="O142" s="644">
        <v>0</v>
      </c>
      <c r="P142" s="644">
        <v>2390221800</v>
      </c>
      <c r="Q142" s="644">
        <v>2390221800</v>
      </c>
      <c r="R142" s="644">
        <v>0</v>
      </c>
      <c r="S142" s="644">
        <v>0</v>
      </c>
      <c r="T142" s="644">
        <v>0</v>
      </c>
      <c r="U142" s="644">
        <v>0</v>
      </c>
      <c r="V142" s="644">
        <v>0</v>
      </c>
      <c r="W142" s="632">
        <v>0</v>
      </c>
      <c r="X142" s="632">
        <v>0</v>
      </c>
    </row>
    <row r="143" spans="1:24" ht="22.5">
      <c r="A143" s="645">
        <v>125</v>
      </c>
      <c r="B143" s="643" t="s">
        <v>1163</v>
      </c>
      <c r="C143" s="645" t="s">
        <v>441</v>
      </c>
      <c r="D143" s="645" t="s">
        <v>1164</v>
      </c>
      <c r="E143" s="645" t="s">
        <v>901</v>
      </c>
      <c r="F143" s="645" t="s">
        <v>1114</v>
      </c>
      <c r="G143" s="645" t="s">
        <v>777</v>
      </c>
      <c r="H143" s="644">
        <v>2931101000</v>
      </c>
      <c r="I143" s="644">
        <v>0</v>
      </c>
      <c r="J143" s="644">
        <v>0</v>
      </c>
      <c r="K143" s="644">
        <v>0</v>
      </c>
      <c r="L143" s="644">
        <v>0</v>
      </c>
      <c r="M143" s="644">
        <v>4577421000</v>
      </c>
      <c r="N143" s="644">
        <v>-1646320000</v>
      </c>
      <c r="O143" s="644">
        <v>0</v>
      </c>
      <c r="P143" s="644">
        <v>2462752304</v>
      </c>
      <c r="Q143" s="644">
        <v>2462752304</v>
      </c>
      <c r="R143" s="644">
        <v>0</v>
      </c>
      <c r="S143" s="644">
        <v>0</v>
      </c>
      <c r="T143" s="644">
        <v>0</v>
      </c>
      <c r="U143" s="644">
        <v>0</v>
      </c>
      <c r="V143" s="644">
        <v>0</v>
      </c>
      <c r="W143" s="632">
        <v>0</v>
      </c>
      <c r="X143" s="632">
        <v>0</v>
      </c>
    </row>
    <row r="144" spans="1:24" ht="22.5">
      <c r="A144" s="645">
        <v>126</v>
      </c>
      <c r="B144" s="643" t="s">
        <v>1163</v>
      </c>
      <c r="C144" s="645" t="s">
        <v>441</v>
      </c>
      <c r="D144" s="645" t="s">
        <v>1164</v>
      </c>
      <c r="E144" s="645" t="s">
        <v>1115</v>
      </c>
      <c r="F144" s="645" t="s">
        <v>1114</v>
      </c>
      <c r="G144" s="645" t="s">
        <v>777</v>
      </c>
      <c r="H144" s="644">
        <v>1000000</v>
      </c>
      <c r="I144" s="644">
        <v>0</v>
      </c>
      <c r="J144" s="644">
        <v>0</v>
      </c>
      <c r="K144" s="644">
        <v>0</v>
      </c>
      <c r="L144" s="644">
        <v>0</v>
      </c>
      <c r="M144" s="644">
        <v>1000000</v>
      </c>
      <c r="N144" s="644">
        <v>0</v>
      </c>
      <c r="O144" s="644">
        <v>0</v>
      </c>
      <c r="P144" s="644">
        <v>1000000</v>
      </c>
      <c r="Q144" s="644">
        <v>1000000</v>
      </c>
      <c r="R144" s="644">
        <v>0</v>
      </c>
      <c r="S144" s="644">
        <v>0</v>
      </c>
      <c r="T144" s="644">
        <v>0</v>
      </c>
      <c r="U144" s="644">
        <v>0</v>
      </c>
      <c r="V144" s="644">
        <v>0</v>
      </c>
      <c r="W144" s="632">
        <v>0</v>
      </c>
      <c r="X144" s="632">
        <v>0</v>
      </c>
    </row>
    <row r="145" spans="1:24" ht="22.5">
      <c r="A145" s="645">
        <v>127</v>
      </c>
      <c r="B145" s="643" t="s">
        <v>1163</v>
      </c>
      <c r="C145" s="645" t="s">
        <v>441</v>
      </c>
      <c r="D145" s="645" t="s">
        <v>1164</v>
      </c>
      <c r="E145" s="645" t="s">
        <v>1116</v>
      </c>
      <c r="F145" s="645" t="s">
        <v>1114</v>
      </c>
      <c r="G145" s="645" t="s">
        <v>777</v>
      </c>
      <c r="H145" s="644">
        <v>200000000</v>
      </c>
      <c r="I145" s="644">
        <v>0</v>
      </c>
      <c r="J145" s="644">
        <v>0</v>
      </c>
      <c r="K145" s="644">
        <v>0</v>
      </c>
      <c r="L145" s="644">
        <v>0</v>
      </c>
      <c r="M145" s="644">
        <v>0</v>
      </c>
      <c r="N145" s="644">
        <v>200000000</v>
      </c>
      <c r="O145" s="644">
        <v>0</v>
      </c>
      <c r="P145" s="644">
        <v>200000000</v>
      </c>
      <c r="Q145" s="644">
        <v>200000000</v>
      </c>
      <c r="R145" s="644">
        <v>0</v>
      </c>
      <c r="S145" s="644">
        <v>0</v>
      </c>
      <c r="T145" s="644">
        <v>0</v>
      </c>
      <c r="U145" s="644">
        <v>0</v>
      </c>
      <c r="V145" s="644">
        <v>0</v>
      </c>
      <c r="W145" s="632">
        <v>0</v>
      </c>
      <c r="X145" s="632">
        <v>79730844</v>
      </c>
    </row>
    <row r="146" spans="1:24" ht="22.5">
      <c r="A146" s="645">
        <v>128</v>
      </c>
      <c r="B146" s="643" t="s">
        <v>1165</v>
      </c>
      <c r="C146" s="645" t="s">
        <v>441</v>
      </c>
      <c r="D146" s="645" t="s">
        <v>1164</v>
      </c>
      <c r="E146" s="645" t="s">
        <v>905</v>
      </c>
      <c r="F146" s="645" t="s">
        <v>1114</v>
      </c>
      <c r="G146" s="645" t="s">
        <v>777</v>
      </c>
      <c r="H146" s="644">
        <v>1885725000</v>
      </c>
      <c r="I146" s="644">
        <v>49700000</v>
      </c>
      <c r="J146" s="644">
        <v>49700000</v>
      </c>
      <c r="K146" s="644">
        <v>0</v>
      </c>
      <c r="L146" s="644">
        <v>0</v>
      </c>
      <c r="M146" s="644">
        <v>1931500000</v>
      </c>
      <c r="N146" s="644">
        <v>-95475000</v>
      </c>
      <c r="O146" s="644">
        <v>0</v>
      </c>
      <c r="P146" s="644">
        <v>1862160300</v>
      </c>
      <c r="Q146" s="644">
        <v>1862160300</v>
      </c>
      <c r="R146" s="644">
        <v>0</v>
      </c>
      <c r="S146" s="644">
        <v>0</v>
      </c>
      <c r="T146" s="644">
        <v>0</v>
      </c>
      <c r="U146" s="644">
        <v>0</v>
      </c>
      <c r="V146" s="644">
        <v>0</v>
      </c>
      <c r="W146" s="632">
        <v>0</v>
      </c>
      <c r="X146" s="632">
        <v>27995000</v>
      </c>
    </row>
    <row r="147" spans="1:24" ht="22.5">
      <c r="A147" s="645">
        <v>129</v>
      </c>
      <c r="B147" s="643" t="s">
        <v>1165</v>
      </c>
      <c r="C147" s="645" t="s">
        <v>441</v>
      </c>
      <c r="D147" s="645" t="s">
        <v>1164</v>
      </c>
      <c r="E147" s="645" t="s">
        <v>1115</v>
      </c>
      <c r="F147" s="645" t="s">
        <v>1114</v>
      </c>
      <c r="G147" s="645" t="s">
        <v>777</v>
      </c>
      <c r="H147" s="644">
        <v>2000000</v>
      </c>
      <c r="I147" s="644">
        <v>0</v>
      </c>
      <c r="J147" s="644">
        <v>0</v>
      </c>
      <c r="K147" s="644">
        <v>0</v>
      </c>
      <c r="L147" s="644">
        <v>0</v>
      </c>
      <c r="M147" s="644">
        <v>2000000</v>
      </c>
      <c r="N147" s="644">
        <v>0</v>
      </c>
      <c r="O147" s="644">
        <v>0</v>
      </c>
      <c r="P147" s="644">
        <v>2000000</v>
      </c>
      <c r="Q147" s="644">
        <v>2000000</v>
      </c>
      <c r="R147" s="644">
        <v>0</v>
      </c>
      <c r="S147" s="644">
        <v>0</v>
      </c>
      <c r="T147" s="644">
        <v>0</v>
      </c>
      <c r="U147" s="644">
        <v>0</v>
      </c>
      <c r="V147" s="644">
        <v>0</v>
      </c>
      <c r="W147" s="632">
        <v>0</v>
      </c>
      <c r="X147" s="632">
        <v>0</v>
      </c>
    </row>
    <row r="148" spans="1:24" ht="22.5">
      <c r="A148" s="645">
        <v>130</v>
      </c>
      <c r="B148" s="643" t="s">
        <v>1165</v>
      </c>
      <c r="C148" s="645" t="s">
        <v>441</v>
      </c>
      <c r="D148" s="645" t="s">
        <v>1164</v>
      </c>
      <c r="E148" s="645" t="s">
        <v>1116</v>
      </c>
      <c r="F148" s="645" t="s">
        <v>1114</v>
      </c>
      <c r="G148" s="645" t="s">
        <v>777</v>
      </c>
      <c r="H148" s="644">
        <v>595000000</v>
      </c>
      <c r="I148" s="644">
        <v>0</v>
      </c>
      <c r="J148" s="644">
        <v>0</v>
      </c>
      <c r="K148" s="644">
        <v>0</v>
      </c>
      <c r="L148" s="644">
        <v>0</v>
      </c>
      <c r="M148" s="644">
        <v>0</v>
      </c>
      <c r="N148" s="644">
        <v>595000000</v>
      </c>
      <c r="O148" s="644">
        <v>0</v>
      </c>
      <c r="P148" s="644">
        <v>503696000</v>
      </c>
      <c r="Q148" s="644">
        <v>503696000</v>
      </c>
      <c r="R148" s="644">
        <v>0</v>
      </c>
      <c r="S148" s="644">
        <v>0</v>
      </c>
      <c r="T148" s="644">
        <v>0</v>
      </c>
      <c r="U148" s="644">
        <v>0</v>
      </c>
      <c r="V148" s="644">
        <v>0</v>
      </c>
      <c r="W148" s="632">
        <v>0</v>
      </c>
      <c r="X148" s="632">
        <v>0</v>
      </c>
    </row>
    <row r="149" spans="1:24">
      <c r="A149" s="645">
        <v>131</v>
      </c>
      <c r="B149" s="643" t="s">
        <v>1166</v>
      </c>
      <c r="C149" s="645" t="s">
        <v>441</v>
      </c>
      <c r="D149" s="645" t="s">
        <v>1164</v>
      </c>
      <c r="E149" s="645" t="s">
        <v>901</v>
      </c>
      <c r="F149" s="645" t="s">
        <v>1114</v>
      </c>
      <c r="G149" s="645" t="s">
        <v>777</v>
      </c>
      <c r="H149" s="644">
        <v>236000000</v>
      </c>
      <c r="I149" s="644">
        <v>0</v>
      </c>
      <c r="J149" s="644">
        <v>0</v>
      </c>
      <c r="K149" s="644">
        <v>0</v>
      </c>
      <c r="L149" s="644">
        <v>0</v>
      </c>
      <c r="M149" s="644">
        <v>236000000</v>
      </c>
      <c r="N149" s="644">
        <v>0</v>
      </c>
      <c r="O149" s="644">
        <v>0</v>
      </c>
      <c r="P149" s="644">
        <v>155004000</v>
      </c>
      <c r="Q149" s="644">
        <v>155004000</v>
      </c>
      <c r="R149" s="644">
        <v>0</v>
      </c>
      <c r="S149" s="644">
        <v>0</v>
      </c>
      <c r="T149" s="644">
        <v>0</v>
      </c>
      <c r="U149" s="644">
        <v>0</v>
      </c>
      <c r="V149" s="644">
        <v>0</v>
      </c>
      <c r="W149" s="632">
        <v>0</v>
      </c>
      <c r="X149" s="632">
        <v>0</v>
      </c>
    </row>
    <row r="150" spans="1:24">
      <c r="A150" s="645">
        <v>132</v>
      </c>
      <c r="B150" s="643" t="s">
        <v>1166</v>
      </c>
      <c r="C150" s="645" t="s">
        <v>441</v>
      </c>
      <c r="D150" s="645" t="s">
        <v>1164</v>
      </c>
      <c r="E150" s="645" t="s">
        <v>903</v>
      </c>
      <c r="F150" s="645" t="s">
        <v>1114</v>
      </c>
      <c r="G150" s="645" t="s">
        <v>777</v>
      </c>
      <c r="H150" s="644">
        <v>868026725</v>
      </c>
      <c r="I150" s="644">
        <v>868026725</v>
      </c>
      <c r="J150" s="644">
        <v>868026725</v>
      </c>
      <c r="K150" s="644">
        <v>0</v>
      </c>
      <c r="L150" s="644">
        <v>0</v>
      </c>
      <c r="M150" s="644">
        <v>0</v>
      </c>
      <c r="N150" s="644">
        <v>0</v>
      </c>
      <c r="O150" s="644">
        <v>0</v>
      </c>
      <c r="P150" s="644">
        <v>560961000</v>
      </c>
      <c r="Q150" s="644">
        <v>560961000</v>
      </c>
      <c r="R150" s="644">
        <v>0</v>
      </c>
      <c r="S150" s="644">
        <v>0</v>
      </c>
      <c r="T150" s="644">
        <v>0</v>
      </c>
      <c r="U150" s="644">
        <v>0</v>
      </c>
      <c r="V150" s="644">
        <v>0</v>
      </c>
      <c r="W150" s="632">
        <v>0</v>
      </c>
      <c r="X150" s="632">
        <v>0</v>
      </c>
    </row>
    <row r="151" spans="1:24">
      <c r="A151" s="645">
        <v>133</v>
      </c>
      <c r="B151" s="643" t="s">
        <v>1166</v>
      </c>
      <c r="C151" s="645" t="s">
        <v>441</v>
      </c>
      <c r="D151" s="645" t="s">
        <v>1164</v>
      </c>
      <c r="E151" s="645" t="s">
        <v>905</v>
      </c>
      <c r="F151" s="645" t="s">
        <v>1114</v>
      </c>
      <c r="G151" s="645" t="s">
        <v>777</v>
      </c>
      <c r="H151" s="644">
        <v>1262590000</v>
      </c>
      <c r="I151" s="644">
        <v>0</v>
      </c>
      <c r="J151" s="644">
        <v>0</v>
      </c>
      <c r="K151" s="644">
        <v>0</v>
      </c>
      <c r="L151" s="644">
        <v>0</v>
      </c>
      <c r="M151" s="644">
        <v>1271000000</v>
      </c>
      <c r="N151" s="644">
        <v>-8410000</v>
      </c>
      <c r="O151" s="644">
        <v>0</v>
      </c>
      <c r="P151" s="644">
        <v>1130110925</v>
      </c>
      <c r="Q151" s="644">
        <v>1130110925</v>
      </c>
      <c r="R151" s="644">
        <v>0</v>
      </c>
      <c r="S151" s="644">
        <v>25480000</v>
      </c>
      <c r="T151" s="644">
        <v>25480000</v>
      </c>
      <c r="U151" s="644">
        <v>0</v>
      </c>
      <c r="V151" s="644">
        <v>0</v>
      </c>
      <c r="W151" s="632">
        <v>0</v>
      </c>
      <c r="X151" s="632">
        <v>0</v>
      </c>
    </row>
    <row r="152" spans="1:24">
      <c r="A152" s="645">
        <v>134</v>
      </c>
      <c r="B152" s="643" t="s">
        <v>1166</v>
      </c>
      <c r="C152" s="645" t="s">
        <v>441</v>
      </c>
      <c r="D152" s="645" t="s">
        <v>1164</v>
      </c>
      <c r="E152" s="645" t="s">
        <v>1115</v>
      </c>
      <c r="F152" s="645" t="s">
        <v>1114</v>
      </c>
      <c r="G152" s="645" t="s">
        <v>777</v>
      </c>
      <c r="H152" s="644">
        <v>1000000</v>
      </c>
      <c r="I152" s="644">
        <v>0</v>
      </c>
      <c r="J152" s="644">
        <v>0</v>
      </c>
      <c r="K152" s="644">
        <v>0</v>
      </c>
      <c r="L152" s="644">
        <v>0</v>
      </c>
      <c r="M152" s="644">
        <v>1000000</v>
      </c>
      <c r="N152" s="644">
        <v>0</v>
      </c>
      <c r="O152" s="644">
        <v>0</v>
      </c>
      <c r="P152" s="644">
        <v>1000000</v>
      </c>
      <c r="Q152" s="644">
        <v>1000000</v>
      </c>
      <c r="R152" s="644">
        <v>0</v>
      </c>
      <c r="S152" s="644">
        <v>0</v>
      </c>
      <c r="T152" s="644">
        <v>0</v>
      </c>
      <c r="U152" s="644">
        <v>0</v>
      </c>
      <c r="V152" s="644">
        <v>0</v>
      </c>
      <c r="W152" s="632">
        <v>0</v>
      </c>
      <c r="X152" s="632">
        <v>0</v>
      </c>
    </row>
    <row r="153" spans="1:24" ht="22.5">
      <c r="A153" s="645">
        <v>135</v>
      </c>
      <c r="B153" s="643" t="s">
        <v>1167</v>
      </c>
      <c r="C153" s="645" t="s">
        <v>441</v>
      </c>
      <c r="D153" s="645" t="s">
        <v>1164</v>
      </c>
      <c r="E153" s="645" t="s">
        <v>905</v>
      </c>
      <c r="F153" s="645" t="s">
        <v>1114</v>
      </c>
      <c r="G153" s="645" t="s">
        <v>777</v>
      </c>
      <c r="H153" s="644">
        <v>840000000</v>
      </c>
      <c r="I153" s="644">
        <v>0</v>
      </c>
      <c r="J153" s="644">
        <v>0</v>
      </c>
      <c r="K153" s="644">
        <v>0</v>
      </c>
      <c r="L153" s="644">
        <v>0</v>
      </c>
      <c r="M153" s="644">
        <v>840000000</v>
      </c>
      <c r="N153" s="644">
        <v>0</v>
      </c>
      <c r="O153" s="644">
        <v>0</v>
      </c>
      <c r="P153" s="644">
        <v>423474557</v>
      </c>
      <c r="Q153" s="644">
        <v>423474557</v>
      </c>
      <c r="R153" s="644">
        <v>0</v>
      </c>
      <c r="S153" s="644">
        <v>0</v>
      </c>
      <c r="T153" s="644">
        <v>0</v>
      </c>
      <c r="U153" s="644">
        <v>0</v>
      </c>
      <c r="V153" s="644">
        <v>0</v>
      </c>
      <c r="W153" s="632">
        <v>0</v>
      </c>
      <c r="X153" s="632">
        <v>0</v>
      </c>
    </row>
    <row r="154" spans="1:24" ht="22.5">
      <c r="A154" s="645">
        <v>136</v>
      </c>
      <c r="B154" s="643" t="s">
        <v>1168</v>
      </c>
      <c r="C154" s="645" t="s">
        <v>441</v>
      </c>
      <c r="D154" s="645" t="s">
        <v>1169</v>
      </c>
      <c r="E154" s="645" t="s">
        <v>641</v>
      </c>
      <c r="F154" s="645" t="s">
        <v>1114</v>
      </c>
      <c r="G154" s="645" t="s">
        <v>777</v>
      </c>
      <c r="H154" s="644">
        <v>2182354000</v>
      </c>
      <c r="I154" s="644">
        <v>0</v>
      </c>
      <c r="J154" s="644">
        <v>0</v>
      </c>
      <c r="K154" s="644">
        <v>0</v>
      </c>
      <c r="L154" s="644">
        <v>0</v>
      </c>
      <c r="M154" s="644">
        <v>500000000</v>
      </c>
      <c r="N154" s="644">
        <v>1682354000</v>
      </c>
      <c r="O154" s="644">
        <v>0</v>
      </c>
      <c r="P154" s="644">
        <v>2051111688</v>
      </c>
      <c r="Q154" s="644">
        <v>2051111688</v>
      </c>
      <c r="R154" s="644">
        <v>0</v>
      </c>
      <c r="S154" s="644">
        <v>0</v>
      </c>
      <c r="T154" s="644">
        <v>0</v>
      </c>
      <c r="U154" s="644">
        <v>0</v>
      </c>
      <c r="V154" s="644">
        <v>0</v>
      </c>
      <c r="W154" s="632">
        <v>0</v>
      </c>
      <c r="X154" s="632">
        <v>23401736</v>
      </c>
    </row>
    <row r="155" spans="1:24" ht="22.5">
      <c r="A155" s="645">
        <v>137</v>
      </c>
      <c r="B155" s="643" t="s">
        <v>1168</v>
      </c>
      <c r="C155" s="645" t="s">
        <v>441</v>
      </c>
      <c r="D155" s="645" t="s">
        <v>1169</v>
      </c>
      <c r="E155" s="645" t="s">
        <v>905</v>
      </c>
      <c r="F155" s="645" t="s">
        <v>1114</v>
      </c>
      <c r="G155" s="645" t="s">
        <v>777</v>
      </c>
      <c r="H155" s="644">
        <v>196500000</v>
      </c>
      <c r="I155" s="644">
        <v>0</v>
      </c>
      <c r="J155" s="644">
        <v>0</v>
      </c>
      <c r="K155" s="644">
        <v>0</v>
      </c>
      <c r="L155" s="644">
        <v>0</v>
      </c>
      <c r="M155" s="644">
        <v>196500000</v>
      </c>
      <c r="N155" s="644">
        <v>0</v>
      </c>
      <c r="O155" s="644">
        <v>0</v>
      </c>
      <c r="P155" s="644">
        <v>191595100</v>
      </c>
      <c r="Q155" s="644">
        <v>191595100</v>
      </c>
      <c r="R155" s="644">
        <v>0</v>
      </c>
      <c r="S155" s="644">
        <v>0</v>
      </c>
      <c r="T155" s="644">
        <v>0</v>
      </c>
      <c r="U155" s="644">
        <v>0</v>
      </c>
      <c r="V155" s="644">
        <v>0</v>
      </c>
      <c r="W155" s="632">
        <v>0</v>
      </c>
      <c r="X155" s="632">
        <v>0</v>
      </c>
    </row>
    <row r="156" spans="1:24" ht="22.5">
      <c r="A156" s="645">
        <v>138</v>
      </c>
      <c r="B156" s="643" t="s">
        <v>1170</v>
      </c>
      <c r="C156" s="645" t="s">
        <v>441</v>
      </c>
      <c r="D156" s="645" t="s">
        <v>1169</v>
      </c>
      <c r="E156" s="645" t="s">
        <v>1125</v>
      </c>
      <c r="F156" s="645" t="s">
        <v>1114</v>
      </c>
      <c r="G156" s="645" t="s">
        <v>777</v>
      </c>
      <c r="H156" s="644">
        <v>100000000</v>
      </c>
      <c r="I156" s="644">
        <v>0</v>
      </c>
      <c r="J156" s="644">
        <v>0</v>
      </c>
      <c r="K156" s="644">
        <v>0</v>
      </c>
      <c r="L156" s="644">
        <v>0</v>
      </c>
      <c r="M156" s="644">
        <v>100000000</v>
      </c>
      <c r="N156" s="644">
        <v>0</v>
      </c>
      <c r="O156" s="644">
        <v>0</v>
      </c>
      <c r="P156" s="644">
        <v>29181000</v>
      </c>
      <c r="Q156" s="644">
        <v>29181000</v>
      </c>
      <c r="R156" s="644">
        <v>0</v>
      </c>
      <c r="S156" s="644">
        <v>0</v>
      </c>
      <c r="T156" s="644">
        <v>0</v>
      </c>
      <c r="U156" s="644">
        <v>0</v>
      </c>
      <c r="V156" s="644">
        <v>0</v>
      </c>
      <c r="W156" s="632">
        <v>0</v>
      </c>
      <c r="X156" s="632">
        <v>40013500</v>
      </c>
    </row>
    <row r="157" spans="1:24" ht="22.5">
      <c r="A157" s="645">
        <v>139</v>
      </c>
      <c r="B157" s="643" t="s">
        <v>1170</v>
      </c>
      <c r="C157" s="645" t="s">
        <v>441</v>
      </c>
      <c r="D157" s="645" t="s">
        <v>1169</v>
      </c>
      <c r="E157" s="645" t="s">
        <v>639</v>
      </c>
      <c r="F157" s="645" t="s">
        <v>1114</v>
      </c>
      <c r="G157" s="645" t="s">
        <v>777</v>
      </c>
      <c r="H157" s="644">
        <v>7904952550</v>
      </c>
      <c r="I157" s="644">
        <v>7904952550</v>
      </c>
      <c r="J157" s="644">
        <v>396459450</v>
      </c>
      <c r="K157" s="644">
        <v>0</v>
      </c>
      <c r="L157" s="644">
        <v>7508493100</v>
      </c>
      <c r="M157" s="644">
        <v>0</v>
      </c>
      <c r="N157" s="644">
        <v>0</v>
      </c>
      <c r="O157" s="644">
        <v>0</v>
      </c>
      <c r="P157" s="644">
        <v>5503974500</v>
      </c>
      <c r="Q157" s="644">
        <v>5503974500</v>
      </c>
      <c r="R157" s="644">
        <v>0</v>
      </c>
      <c r="S157" s="644">
        <v>1952405600</v>
      </c>
      <c r="T157" s="644">
        <v>0</v>
      </c>
      <c r="U157" s="644">
        <v>0</v>
      </c>
      <c r="V157" s="644">
        <v>1952405600</v>
      </c>
      <c r="W157" s="632">
        <v>0</v>
      </c>
      <c r="X157" s="632">
        <v>2602510</v>
      </c>
    </row>
    <row r="158" spans="1:24" ht="22.5">
      <c r="A158" s="645">
        <v>140</v>
      </c>
      <c r="B158" s="643" t="s">
        <v>1170</v>
      </c>
      <c r="C158" s="645" t="s">
        <v>441</v>
      </c>
      <c r="D158" s="645" t="s">
        <v>1169</v>
      </c>
      <c r="E158" s="645" t="s">
        <v>641</v>
      </c>
      <c r="F158" s="645" t="s">
        <v>1114</v>
      </c>
      <c r="G158" s="645" t="s">
        <v>777</v>
      </c>
      <c r="H158" s="644">
        <v>7999341004</v>
      </c>
      <c r="I158" s="644">
        <v>2163228234</v>
      </c>
      <c r="J158" s="644">
        <v>1158320019</v>
      </c>
      <c r="K158" s="644">
        <v>0</v>
      </c>
      <c r="L158" s="644">
        <v>1004908215</v>
      </c>
      <c r="M158" s="644">
        <v>5836112770</v>
      </c>
      <c r="N158" s="644">
        <v>0</v>
      </c>
      <c r="O158" s="644">
        <v>0</v>
      </c>
      <c r="P158" s="644">
        <v>6360563631</v>
      </c>
      <c r="Q158" s="644">
        <v>6360563631</v>
      </c>
      <c r="R158" s="644">
        <v>0</v>
      </c>
      <c r="S158" s="644">
        <v>0</v>
      </c>
      <c r="T158" s="644">
        <v>0</v>
      </c>
      <c r="U158" s="644">
        <v>0</v>
      </c>
      <c r="V158" s="644">
        <v>0</v>
      </c>
      <c r="W158" s="632">
        <v>0</v>
      </c>
      <c r="X158" s="632">
        <v>0</v>
      </c>
    </row>
    <row r="159" spans="1:24" ht="22.5">
      <c r="A159" s="645">
        <v>141</v>
      </c>
      <c r="B159" s="643" t="s">
        <v>1170</v>
      </c>
      <c r="C159" s="645" t="s">
        <v>441</v>
      </c>
      <c r="D159" s="645" t="s">
        <v>1169</v>
      </c>
      <c r="E159" s="645" t="s">
        <v>905</v>
      </c>
      <c r="F159" s="645" t="s">
        <v>1114</v>
      </c>
      <c r="G159" s="645" t="s">
        <v>777</v>
      </c>
      <c r="H159" s="644">
        <v>1964956000</v>
      </c>
      <c r="I159" s="644">
        <v>430956000</v>
      </c>
      <c r="J159" s="644">
        <v>35860500</v>
      </c>
      <c r="K159" s="644">
        <v>0</v>
      </c>
      <c r="L159" s="644">
        <v>395095500</v>
      </c>
      <c r="M159" s="644">
        <v>1534000000</v>
      </c>
      <c r="N159" s="644">
        <v>0</v>
      </c>
      <c r="O159" s="644">
        <v>0</v>
      </c>
      <c r="P159" s="644">
        <v>1638002364</v>
      </c>
      <c r="Q159" s="644">
        <v>1638002364</v>
      </c>
      <c r="R159" s="644">
        <v>0</v>
      </c>
      <c r="S159" s="644">
        <v>0</v>
      </c>
      <c r="T159" s="644">
        <v>0</v>
      </c>
      <c r="U159" s="644">
        <v>0</v>
      </c>
      <c r="V159" s="644">
        <v>0</v>
      </c>
      <c r="W159" s="632">
        <v>0</v>
      </c>
      <c r="X159" s="632">
        <v>0</v>
      </c>
    </row>
    <row r="160" spans="1:24" ht="22.5">
      <c r="A160" s="645">
        <v>142</v>
      </c>
      <c r="B160" s="643" t="s">
        <v>1170</v>
      </c>
      <c r="C160" s="645" t="s">
        <v>441</v>
      </c>
      <c r="D160" s="645" t="s">
        <v>1169</v>
      </c>
      <c r="E160" s="645" t="s">
        <v>1115</v>
      </c>
      <c r="F160" s="645" t="s">
        <v>1114</v>
      </c>
      <c r="G160" s="645" t="s">
        <v>777</v>
      </c>
      <c r="H160" s="644">
        <v>1000000</v>
      </c>
      <c r="I160" s="644">
        <v>0</v>
      </c>
      <c r="J160" s="644">
        <v>0</v>
      </c>
      <c r="K160" s="644">
        <v>0</v>
      </c>
      <c r="L160" s="644">
        <v>0</v>
      </c>
      <c r="M160" s="644">
        <v>1000000</v>
      </c>
      <c r="N160" s="644">
        <v>0</v>
      </c>
      <c r="O160" s="644">
        <v>0</v>
      </c>
      <c r="P160" s="644">
        <v>1000000</v>
      </c>
      <c r="Q160" s="644">
        <v>1000000</v>
      </c>
      <c r="R160" s="644">
        <v>0</v>
      </c>
      <c r="S160" s="644">
        <v>0</v>
      </c>
      <c r="T160" s="644">
        <v>0</v>
      </c>
      <c r="U160" s="644">
        <v>0</v>
      </c>
      <c r="V160" s="644">
        <v>0</v>
      </c>
      <c r="W160" s="632">
        <v>0</v>
      </c>
      <c r="X160" s="632">
        <v>0</v>
      </c>
    </row>
    <row r="161" spans="1:24" ht="22.5">
      <c r="A161" s="645">
        <v>143</v>
      </c>
      <c r="B161" s="643" t="s">
        <v>1170</v>
      </c>
      <c r="C161" s="645" t="s">
        <v>441</v>
      </c>
      <c r="D161" s="645" t="s">
        <v>1169</v>
      </c>
      <c r="E161" s="645" t="s">
        <v>1116</v>
      </c>
      <c r="F161" s="645" t="s">
        <v>1114</v>
      </c>
      <c r="G161" s="645" t="s">
        <v>777</v>
      </c>
      <c r="H161" s="644">
        <v>18570000</v>
      </c>
      <c r="I161" s="644">
        <v>0</v>
      </c>
      <c r="J161" s="644">
        <v>0</v>
      </c>
      <c r="K161" s="644">
        <v>0</v>
      </c>
      <c r="L161" s="644">
        <v>0</v>
      </c>
      <c r="M161" s="644">
        <v>0</v>
      </c>
      <c r="N161" s="644">
        <v>18570000</v>
      </c>
      <c r="O161" s="644">
        <v>0</v>
      </c>
      <c r="P161" s="644">
        <v>15620000</v>
      </c>
      <c r="Q161" s="644">
        <v>15620000</v>
      </c>
      <c r="R161" s="644">
        <v>0</v>
      </c>
      <c r="S161" s="644">
        <v>0</v>
      </c>
      <c r="T161" s="644">
        <v>0</v>
      </c>
      <c r="U161" s="644">
        <v>0</v>
      </c>
      <c r="V161" s="644">
        <v>0</v>
      </c>
      <c r="W161" s="632">
        <v>0</v>
      </c>
      <c r="X161" s="632">
        <v>58500000</v>
      </c>
    </row>
    <row r="162" spans="1:24" ht="22.5">
      <c r="A162" s="645">
        <v>144</v>
      </c>
      <c r="B162" s="643" t="s">
        <v>1171</v>
      </c>
      <c r="C162" s="645" t="s">
        <v>441</v>
      </c>
      <c r="D162" s="645" t="s">
        <v>1169</v>
      </c>
      <c r="E162" s="645" t="s">
        <v>639</v>
      </c>
      <c r="F162" s="645" t="s">
        <v>1114</v>
      </c>
      <c r="G162" s="645" t="s">
        <v>777</v>
      </c>
      <c r="H162" s="644">
        <v>304683639</v>
      </c>
      <c r="I162" s="644">
        <v>304683639</v>
      </c>
      <c r="J162" s="644">
        <v>304683639</v>
      </c>
      <c r="K162" s="644">
        <v>0</v>
      </c>
      <c r="L162" s="644">
        <v>0</v>
      </c>
      <c r="M162" s="644">
        <v>0</v>
      </c>
      <c r="N162" s="644">
        <v>0</v>
      </c>
      <c r="O162" s="644">
        <v>0</v>
      </c>
      <c r="P162" s="644">
        <v>260517221</v>
      </c>
      <c r="Q162" s="644">
        <v>260517221</v>
      </c>
      <c r="R162" s="644">
        <v>0</v>
      </c>
      <c r="S162" s="644">
        <v>0</v>
      </c>
      <c r="T162" s="644">
        <v>0</v>
      </c>
      <c r="U162" s="644">
        <v>0</v>
      </c>
      <c r="V162" s="644">
        <v>0</v>
      </c>
      <c r="W162" s="632">
        <v>0</v>
      </c>
      <c r="X162" s="632">
        <v>0</v>
      </c>
    </row>
    <row r="163" spans="1:24" ht="22.5">
      <c r="A163" s="645">
        <v>145</v>
      </c>
      <c r="B163" s="643" t="s">
        <v>1171</v>
      </c>
      <c r="C163" s="645" t="s">
        <v>441</v>
      </c>
      <c r="D163" s="645" t="s">
        <v>1169</v>
      </c>
      <c r="E163" s="645" t="s">
        <v>1116</v>
      </c>
      <c r="F163" s="645" t="s">
        <v>1114</v>
      </c>
      <c r="G163" s="645" t="s">
        <v>777</v>
      </c>
      <c r="H163" s="644">
        <v>448125000</v>
      </c>
      <c r="I163" s="644">
        <v>0</v>
      </c>
      <c r="J163" s="644">
        <v>0</v>
      </c>
      <c r="K163" s="644">
        <v>0</v>
      </c>
      <c r="L163" s="644">
        <v>0</v>
      </c>
      <c r="M163" s="644">
        <v>0</v>
      </c>
      <c r="N163" s="644">
        <v>448125000</v>
      </c>
      <c r="O163" s="644">
        <v>0</v>
      </c>
      <c r="P163" s="644">
        <v>432682000</v>
      </c>
      <c r="Q163" s="644">
        <v>432682000</v>
      </c>
      <c r="R163" s="644">
        <v>0</v>
      </c>
      <c r="S163" s="644">
        <v>0</v>
      </c>
      <c r="T163" s="644">
        <v>0</v>
      </c>
      <c r="U163" s="644">
        <v>0</v>
      </c>
      <c r="V163" s="644">
        <v>0</v>
      </c>
      <c r="W163" s="632">
        <v>0</v>
      </c>
      <c r="X163" s="632">
        <v>0</v>
      </c>
    </row>
    <row r="164" spans="1:24" ht="22.5">
      <c r="A164" s="645">
        <v>146</v>
      </c>
      <c r="B164" s="643" t="s">
        <v>1172</v>
      </c>
      <c r="C164" s="645" t="s">
        <v>441</v>
      </c>
      <c r="D164" s="645" t="s">
        <v>1169</v>
      </c>
      <c r="E164" s="645" t="s">
        <v>641</v>
      </c>
      <c r="F164" s="645" t="s">
        <v>1114</v>
      </c>
      <c r="G164" s="645" t="s">
        <v>777</v>
      </c>
      <c r="H164" s="644">
        <v>225621970</v>
      </c>
      <c r="I164" s="644">
        <v>225621970</v>
      </c>
      <c r="J164" s="644">
        <v>146421970</v>
      </c>
      <c r="K164" s="644">
        <v>0</v>
      </c>
      <c r="L164" s="644">
        <v>79200000</v>
      </c>
      <c r="M164" s="644">
        <v>0</v>
      </c>
      <c r="N164" s="644">
        <v>0</v>
      </c>
      <c r="O164" s="644">
        <v>0</v>
      </c>
      <c r="P164" s="644">
        <v>216060000</v>
      </c>
      <c r="Q164" s="644">
        <v>216060000</v>
      </c>
      <c r="R164" s="644">
        <v>0</v>
      </c>
      <c r="S164" s="644">
        <v>0</v>
      </c>
      <c r="T164" s="644">
        <v>0</v>
      </c>
      <c r="U164" s="644">
        <v>0</v>
      </c>
      <c r="V164" s="644">
        <v>0</v>
      </c>
      <c r="W164" s="632">
        <v>0</v>
      </c>
      <c r="X164" s="632">
        <v>10000</v>
      </c>
    </row>
    <row r="165" spans="1:24" ht="22.5">
      <c r="A165" s="645">
        <v>147</v>
      </c>
      <c r="B165" s="643" t="s">
        <v>1172</v>
      </c>
      <c r="C165" s="645" t="s">
        <v>441</v>
      </c>
      <c r="D165" s="645" t="s">
        <v>1169</v>
      </c>
      <c r="E165" s="645" t="s">
        <v>1115</v>
      </c>
      <c r="F165" s="645" t="s">
        <v>1114</v>
      </c>
      <c r="G165" s="645" t="s">
        <v>777</v>
      </c>
      <c r="H165" s="644">
        <v>1500000</v>
      </c>
      <c r="I165" s="644">
        <v>0</v>
      </c>
      <c r="J165" s="644">
        <v>0</v>
      </c>
      <c r="K165" s="644">
        <v>0</v>
      </c>
      <c r="L165" s="644">
        <v>0</v>
      </c>
      <c r="M165" s="644">
        <v>1500000</v>
      </c>
      <c r="N165" s="644">
        <v>0</v>
      </c>
      <c r="O165" s="644">
        <v>0</v>
      </c>
      <c r="P165" s="644">
        <v>1500000</v>
      </c>
      <c r="Q165" s="644">
        <v>1500000</v>
      </c>
      <c r="R165" s="644">
        <v>0</v>
      </c>
      <c r="S165" s="644">
        <v>0</v>
      </c>
      <c r="T165" s="644">
        <v>0</v>
      </c>
      <c r="U165" s="644">
        <v>0</v>
      </c>
      <c r="V165" s="644">
        <v>0</v>
      </c>
      <c r="W165" s="632">
        <v>0</v>
      </c>
      <c r="X165" s="632">
        <v>388792099</v>
      </c>
    </row>
    <row r="166" spans="1:24" ht="22.5">
      <c r="A166" s="645">
        <v>148</v>
      </c>
      <c r="B166" s="643" t="s">
        <v>1173</v>
      </c>
      <c r="C166" s="645" t="s">
        <v>441</v>
      </c>
      <c r="D166" s="645" t="s">
        <v>1169</v>
      </c>
      <c r="E166" s="645" t="s">
        <v>904</v>
      </c>
      <c r="F166" s="645" t="s">
        <v>1114</v>
      </c>
      <c r="G166" s="645" t="s">
        <v>777</v>
      </c>
      <c r="H166" s="644">
        <v>44000000</v>
      </c>
      <c r="I166" s="644">
        <v>0</v>
      </c>
      <c r="J166" s="644">
        <v>0</v>
      </c>
      <c r="K166" s="644">
        <v>0</v>
      </c>
      <c r="L166" s="644">
        <v>0</v>
      </c>
      <c r="M166" s="644">
        <v>44000000</v>
      </c>
      <c r="N166" s="644">
        <v>0</v>
      </c>
      <c r="O166" s="644">
        <v>0</v>
      </c>
      <c r="P166" s="644">
        <v>24000000</v>
      </c>
      <c r="Q166" s="644">
        <v>24000000</v>
      </c>
      <c r="R166" s="644">
        <v>0</v>
      </c>
      <c r="S166" s="644">
        <v>0</v>
      </c>
      <c r="T166" s="644">
        <v>0</v>
      </c>
      <c r="U166" s="644">
        <v>0</v>
      </c>
      <c r="V166" s="644">
        <v>0</v>
      </c>
      <c r="W166" s="632">
        <v>0</v>
      </c>
      <c r="X166" s="632">
        <v>0</v>
      </c>
    </row>
    <row r="167" spans="1:24" ht="22.5">
      <c r="A167" s="645">
        <v>149</v>
      </c>
      <c r="B167" s="643" t="s">
        <v>1173</v>
      </c>
      <c r="C167" s="645" t="s">
        <v>441</v>
      </c>
      <c r="D167" s="645" t="s">
        <v>1169</v>
      </c>
      <c r="E167" s="645" t="s">
        <v>1116</v>
      </c>
      <c r="F167" s="645" t="s">
        <v>1114</v>
      </c>
      <c r="G167" s="645" t="s">
        <v>777</v>
      </c>
      <c r="H167" s="644">
        <v>134000000</v>
      </c>
      <c r="I167" s="644">
        <v>0</v>
      </c>
      <c r="J167" s="644">
        <v>0</v>
      </c>
      <c r="K167" s="644">
        <v>0</v>
      </c>
      <c r="L167" s="644">
        <v>0</v>
      </c>
      <c r="M167" s="644">
        <v>0</v>
      </c>
      <c r="N167" s="644">
        <v>134000000</v>
      </c>
      <c r="O167" s="644">
        <v>0</v>
      </c>
      <c r="P167" s="644">
        <v>131623800</v>
      </c>
      <c r="Q167" s="644">
        <v>131623800</v>
      </c>
      <c r="R167" s="644">
        <v>0</v>
      </c>
      <c r="S167" s="644">
        <v>0</v>
      </c>
      <c r="T167" s="644">
        <v>0</v>
      </c>
      <c r="U167" s="644">
        <v>0</v>
      </c>
      <c r="V167" s="644">
        <v>0</v>
      </c>
      <c r="W167" s="632">
        <v>0</v>
      </c>
      <c r="X167" s="632">
        <v>0</v>
      </c>
    </row>
    <row r="168" spans="1:24">
      <c r="A168" s="645">
        <v>150</v>
      </c>
      <c r="B168" s="643" t="s">
        <v>1174</v>
      </c>
      <c r="C168" s="645" t="s">
        <v>441</v>
      </c>
      <c r="D168" s="645" t="s">
        <v>1175</v>
      </c>
      <c r="E168" s="645" t="s">
        <v>1125</v>
      </c>
      <c r="F168" s="645" t="s">
        <v>1114</v>
      </c>
      <c r="G168" s="645" t="s">
        <v>777</v>
      </c>
      <c r="H168" s="644">
        <v>449800000</v>
      </c>
      <c r="I168" s="644">
        <v>0</v>
      </c>
      <c r="J168" s="644">
        <v>0</v>
      </c>
      <c r="K168" s="644">
        <v>0</v>
      </c>
      <c r="L168" s="644">
        <v>0</v>
      </c>
      <c r="M168" s="644">
        <v>449800000</v>
      </c>
      <c r="N168" s="644">
        <v>0</v>
      </c>
      <c r="O168" s="644">
        <v>0</v>
      </c>
      <c r="P168" s="644">
        <v>449800000</v>
      </c>
      <c r="Q168" s="644">
        <v>449800000</v>
      </c>
      <c r="R168" s="644">
        <v>0</v>
      </c>
      <c r="S168" s="644">
        <v>0</v>
      </c>
      <c r="T168" s="644">
        <v>0</v>
      </c>
      <c r="U168" s="644">
        <v>0</v>
      </c>
      <c r="V168" s="644">
        <v>0</v>
      </c>
      <c r="W168" s="632">
        <v>0</v>
      </c>
      <c r="X168" s="632">
        <v>0</v>
      </c>
    </row>
    <row r="169" spans="1:24">
      <c r="A169" s="645">
        <v>151</v>
      </c>
      <c r="B169" s="643" t="s">
        <v>1174</v>
      </c>
      <c r="C169" s="645" t="s">
        <v>441</v>
      </c>
      <c r="D169" s="645" t="s">
        <v>1175</v>
      </c>
      <c r="E169" s="645" t="s">
        <v>900</v>
      </c>
      <c r="F169" s="645" t="s">
        <v>1114</v>
      </c>
      <c r="G169" s="645" t="s">
        <v>777</v>
      </c>
      <c r="H169" s="644">
        <v>2181677000</v>
      </c>
      <c r="I169" s="644">
        <v>0</v>
      </c>
      <c r="J169" s="644">
        <v>0</v>
      </c>
      <c r="K169" s="644">
        <v>0</v>
      </c>
      <c r="L169" s="644">
        <v>0</v>
      </c>
      <c r="M169" s="644">
        <v>2000000000</v>
      </c>
      <c r="N169" s="644">
        <v>181677000</v>
      </c>
      <c r="O169" s="644">
        <v>0</v>
      </c>
      <c r="P169" s="644">
        <v>2181676743</v>
      </c>
      <c r="Q169" s="644">
        <v>2181676743</v>
      </c>
      <c r="R169" s="644">
        <v>0</v>
      </c>
      <c r="S169" s="644">
        <v>0</v>
      </c>
      <c r="T169" s="644">
        <v>0</v>
      </c>
      <c r="U169" s="644">
        <v>0</v>
      </c>
      <c r="V169" s="644">
        <v>0</v>
      </c>
      <c r="W169" s="632">
        <v>0</v>
      </c>
      <c r="X169" s="632">
        <v>1500000</v>
      </c>
    </row>
    <row r="170" spans="1:24">
      <c r="A170" s="645">
        <v>152</v>
      </c>
      <c r="B170" s="643" t="s">
        <v>1174</v>
      </c>
      <c r="C170" s="645" t="s">
        <v>441</v>
      </c>
      <c r="D170" s="645" t="s">
        <v>1175</v>
      </c>
      <c r="E170" s="645" t="s">
        <v>904</v>
      </c>
      <c r="F170" s="645" t="s">
        <v>1114</v>
      </c>
      <c r="G170" s="645" t="s">
        <v>777</v>
      </c>
      <c r="H170" s="644">
        <v>400000000</v>
      </c>
      <c r="I170" s="644">
        <v>0</v>
      </c>
      <c r="J170" s="644">
        <v>0</v>
      </c>
      <c r="K170" s="644">
        <v>0</v>
      </c>
      <c r="L170" s="644">
        <v>0</v>
      </c>
      <c r="M170" s="644">
        <v>400000000</v>
      </c>
      <c r="N170" s="644">
        <v>0</v>
      </c>
      <c r="O170" s="644">
        <v>0</v>
      </c>
      <c r="P170" s="644">
        <v>400000000</v>
      </c>
      <c r="Q170" s="644">
        <v>400000000</v>
      </c>
      <c r="R170" s="644">
        <v>0</v>
      </c>
      <c r="S170" s="644">
        <v>0</v>
      </c>
      <c r="T170" s="644">
        <v>0</v>
      </c>
      <c r="U170" s="644">
        <v>0</v>
      </c>
      <c r="V170" s="644">
        <v>0</v>
      </c>
      <c r="W170" s="632">
        <v>0</v>
      </c>
      <c r="X170" s="632">
        <v>0</v>
      </c>
    </row>
    <row r="171" spans="1:24">
      <c r="A171" s="645">
        <v>153</v>
      </c>
      <c r="B171" s="643" t="s">
        <v>1174</v>
      </c>
      <c r="C171" s="645" t="s">
        <v>441</v>
      </c>
      <c r="D171" s="645" t="s">
        <v>1175</v>
      </c>
      <c r="E171" s="645" t="s">
        <v>905</v>
      </c>
      <c r="F171" s="645" t="s">
        <v>1114</v>
      </c>
      <c r="G171" s="645" t="s">
        <v>777</v>
      </c>
      <c r="H171" s="644">
        <v>6038835000</v>
      </c>
      <c r="I171" s="644">
        <v>0</v>
      </c>
      <c r="J171" s="644">
        <v>0</v>
      </c>
      <c r="K171" s="644">
        <v>0</v>
      </c>
      <c r="L171" s="644">
        <v>0</v>
      </c>
      <c r="M171" s="644">
        <v>6038835000</v>
      </c>
      <c r="N171" s="644">
        <v>0</v>
      </c>
      <c r="O171" s="644">
        <v>0</v>
      </c>
      <c r="P171" s="644">
        <v>5832744846</v>
      </c>
      <c r="Q171" s="644">
        <v>5832744846</v>
      </c>
      <c r="R171" s="644">
        <v>0</v>
      </c>
      <c r="S171" s="644">
        <v>0</v>
      </c>
      <c r="T171" s="644">
        <v>0</v>
      </c>
      <c r="U171" s="644">
        <v>0</v>
      </c>
      <c r="V171" s="644">
        <v>0</v>
      </c>
      <c r="W171" s="632">
        <v>0</v>
      </c>
      <c r="X171" s="632">
        <v>0</v>
      </c>
    </row>
    <row r="172" spans="1:24">
      <c r="A172" s="645">
        <v>154</v>
      </c>
      <c r="B172" s="643" t="s">
        <v>1174</v>
      </c>
      <c r="C172" s="645" t="s">
        <v>441</v>
      </c>
      <c r="D172" s="645" t="s">
        <v>1175</v>
      </c>
      <c r="E172" s="645" t="s">
        <v>1116</v>
      </c>
      <c r="F172" s="645" t="s">
        <v>1114</v>
      </c>
      <c r="G172" s="645" t="s">
        <v>777</v>
      </c>
      <c r="H172" s="644">
        <v>542620000</v>
      </c>
      <c r="I172" s="644">
        <v>0</v>
      </c>
      <c r="J172" s="644">
        <v>0</v>
      </c>
      <c r="K172" s="644">
        <v>0</v>
      </c>
      <c r="L172" s="644">
        <v>0</v>
      </c>
      <c r="M172" s="644">
        <v>90000000</v>
      </c>
      <c r="N172" s="644">
        <v>452620000</v>
      </c>
      <c r="O172" s="644">
        <v>0</v>
      </c>
      <c r="P172" s="644">
        <v>531730000</v>
      </c>
      <c r="Q172" s="644">
        <v>531730000</v>
      </c>
      <c r="R172" s="644">
        <v>0</v>
      </c>
      <c r="S172" s="644">
        <v>0</v>
      </c>
      <c r="T172" s="644">
        <v>0</v>
      </c>
      <c r="U172" s="644">
        <v>0</v>
      </c>
      <c r="V172" s="644">
        <v>0</v>
      </c>
      <c r="W172" s="632">
        <v>0</v>
      </c>
      <c r="X172" s="632">
        <v>0</v>
      </c>
    </row>
    <row r="173" spans="1:24" ht="22.5">
      <c r="A173" s="645">
        <v>155</v>
      </c>
      <c r="B173" s="643" t="s">
        <v>1176</v>
      </c>
      <c r="C173" s="645" t="s">
        <v>441</v>
      </c>
      <c r="D173" s="645" t="s">
        <v>1175</v>
      </c>
      <c r="E173" s="645" t="s">
        <v>904</v>
      </c>
      <c r="F173" s="645" t="s">
        <v>1114</v>
      </c>
      <c r="G173" s="645" t="s">
        <v>777</v>
      </c>
      <c r="H173" s="644">
        <v>1154791000</v>
      </c>
      <c r="I173" s="644">
        <v>24000000</v>
      </c>
      <c r="J173" s="644">
        <v>24000000</v>
      </c>
      <c r="K173" s="644">
        <v>0</v>
      </c>
      <c r="L173" s="644">
        <v>0</v>
      </c>
      <c r="M173" s="644">
        <v>75000000</v>
      </c>
      <c r="N173" s="644">
        <v>1055791000</v>
      </c>
      <c r="O173" s="644">
        <v>0</v>
      </c>
      <c r="P173" s="644">
        <v>1142204561</v>
      </c>
      <c r="Q173" s="644">
        <v>1142204561</v>
      </c>
      <c r="R173" s="644">
        <v>0</v>
      </c>
      <c r="S173" s="644">
        <v>0</v>
      </c>
      <c r="T173" s="644">
        <v>0</v>
      </c>
      <c r="U173" s="644">
        <v>0</v>
      </c>
      <c r="V173" s="644">
        <v>0</v>
      </c>
      <c r="W173" s="632">
        <v>0</v>
      </c>
      <c r="X173" s="632">
        <v>1000</v>
      </c>
    </row>
    <row r="174" spans="1:24" ht="22.5">
      <c r="A174" s="645">
        <v>156</v>
      </c>
      <c r="B174" s="643" t="s">
        <v>1176</v>
      </c>
      <c r="C174" s="645" t="s">
        <v>441</v>
      </c>
      <c r="D174" s="645" t="s">
        <v>1175</v>
      </c>
      <c r="E174" s="645" t="s">
        <v>1116</v>
      </c>
      <c r="F174" s="645" t="s">
        <v>1114</v>
      </c>
      <c r="G174" s="645" t="s">
        <v>777</v>
      </c>
      <c r="H174" s="644">
        <v>67719000</v>
      </c>
      <c r="I174" s="644">
        <v>0</v>
      </c>
      <c r="J174" s="644">
        <v>0</v>
      </c>
      <c r="K174" s="644">
        <v>0</v>
      </c>
      <c r="L174" s="644">
        <v>0</v>
      </c>
      <c r="M174" s="644">
        <v>0</v>
      </c>
      <c r="N174" s="644">
        <v>67719000</v>
      </c>
      <c r="O174" s="644">
        <v>0</v>
      </c>
      <c r="P174" s="644">
        <v>67719000</v>
      </c>
      <c r="Q174" s="644">
        <v>67719000</v>
      </c>
      <c r="R174" s="644">
        <v>0</v>
      </c>
      <c r="S174" s="644">
        <v>0</v>
      </c>
      <c r="T174" s="644">
        <v>0</v>
      </c>
      <c r="U174" s="644">
        <v>0</v>
      </c>
      <c r="V174" s="644">
        <v>0</v>
      </c>
      <c r="W174" s="632">
        <v>0</v>
      </c>
      <c r="X174" s="632">
        <v>0</v>
      </c>
    </row>
    <row r="175" spans="1:24">
      <c r="A175" s="645">
        <v>157</v>
      </c>
      <c r="B175" s="643" t="s">
        <v>1177</v>
      </c>
      <c r="C175" s="645" t="s">
        <v>441</v>
      </c>
      <c r="D175" s="645" t="s">
        <v>1178</v>
      </c>
      <c r="E175" s="645" t="s">
        <v>899</v>
      </c>
      <c r="F175" s="645" t="s">
        <v>1114</v>
      </c>
      <c r="G175" s="645" t="s">
        <v>777</v>
      </c>
      <c r="H175" s="644">
        <v>784125000</v>
      </c>
      <c r="I175" s="644">
        <v>0</v>
      </c>
      <c r="J175" s="644">
        <v>0</v>
      </c>
      <c r="K175" s="644">
        <v>0</v>
      </c>
      <c r="L175" s="644">
        <v>0</v>
      </c>
      <c r="M175" s="644">
        <v>0</v>
      </c>
      <c r="N175" s="644">
        <v>784125000</v>
      </c>
      <c r="O175" s="644">
        <v>0</v>
      </c>
      <c r="P175" s="644">
        <v>469447600</v>
      </c>
      <c r="Q175" s="644">
        <v>469447600</v>
      </c>
      <c r="R175" s="644">
        <v>0</v>
      </c>
      <c r="S175" s="644">
        <v>0</v>
      </c>
      <c r="T175" s="644">
        <v>0</v>
      </c>
      <c r="U175" s="644">
        <v>0</v>
      </c>
      <c r="V175" s="644">
        <v>0</v>
      </c>
      <c r="W175" s="632">
        <v>0</v>
      </c>
      <c r="X175" s="632">
        <v>0</v>
      </c>
    </row>
    <row r="176" spans="1:24">
      <c r="A176" s="645">
        <v>158</v>
      </c>
      <c r="B176" s="643" t="s">
        <v>1177</v>
      </c>
      <c r="C176" s="645" t="s">
        <v>441</v>
      </c>
      <c r="D176" s="645" t="s">
        <v>1178</v>
      </c>
      <c r="E176" s="645" t="s">
        <v>903</v>
      </c>
      <c r="F176" s="645" t="s">
        <v>1114</v>
      </c>
      <c r="G176" s="645" t="s">
        <v>777</v>
      </c>
      <c r="H176" s="644">
        <v>4000000000</v>
      </c>
      <c r="I176" s="644">
        <v>0</v>
      </c>
      <c r="J176" s="644">
        <v>0</v>
      </c>
      <c r="K176" s="644">
        <v>0</v>
      </c>
      <c r="L176" s="644">
        <v>0</v>
      </c>
      <c r="M176" s="644">
        <v>4000000000</v>
      </c>
      <c r="N176" s="644">
        <v>0</v>
      </c>
      <c r="O176" s="644">
        <v>0</v>
      </c>
      <c r="P176" s="644">
        <v>2286697000</v>
      </c>
      <c r="Q176" s="644">
        <v>2286697000</v>
      </c>
      <c r="R176" s="644">
        <v>0</v>
      </c>
      <c r="S176" s="644">
        <v>0</v>
      </c>
      <c r="T176" s="644">
        <v>0</v>
      </c>
      <c r="U176" s="644">
        <v>0</v>
      </c>
      <c r="V176" s="644">
        <v>0</v>
      </c>
      <c r="W176" s="632">
        <v>0</v>
      </c>
      <c r="X176" s="632">
        <v>0</v>
      </c>
    </row>
    <row r="177" spans="1:24">
      <c r="A177" s="645">
        <v>159</v>
      </c>
      <c r="B177" s="643" t="s">
        <v>1177</v>
      </c>
      <c r="C177" s="645" t="s">
        <v>441</v>
      </c>
      <c r="D177" s="645" t="s">
        <v>1178</v>
      </c>
      <c r="E177" s="645" t="s">
        <v>905</v>
      </c>
      <c r="F177" s="645" t="s">
        <v>1114</v>
      </c>
      <c r="G177" s="645" t="s">
        <v>777</v>
      </c>
      <c r="H177" s="644">
        <v>695343000</v>
      </c>
      <c r="I177" s="644">
        <v>0</v>
      </c>
      <c r="J177" s="644">
        <v>0</v>
      </c>
      <c r="K177" s="644">
        <v>0</v>
      </c>
      <c r="L177" s="644">
        <v>0</v>
      </c>
      <c r="M177" s="644">
        <v>519500000</v>
      </c>
      <c r="N177" s="644">
        <v>175843000</v>
      </c>
      <c r="O177" s="644">
        <v>0</v>
      </c>
      <c r="P177" s="644">
        <v>613251400</v>
      </c>
      <c r="Q177" s="644">
        <v>613251400</v>
      </c>
      <c r="R177" s="644">
        <v>0</v>
      </c>
      <c r="S177" s="644">
        <v>12600000</v>
      </c>
      <c r="T177" s="644">
        <v>12600000</v>
      </c>
      <c r="U177" s="644">
        <v>0</v>
      </c>
      <c r="V177" s="644">
        <v>0</v>
      </c>
      <c r="W177" s="632">
        <v>0</v>
      </c>
      <c r="X177" s="632">
        <v>0</v>
      </c>
    </row>
    <row r="178" spans="1:24">
      <c r="A178" s="645">
        <v>160</v>
      </c>
      <c r="B178" s="643" t="s">
        <v>1177</v>
      </c>
      <c r="C178" s="645" t="s">
        <v>441</v>
      </c>
      <c r="D178" s="645" t="s">
        <v>1178</v>
      </c>
      <c r="E178" s="645" t="s">
        <v>1115</v>
      </c>
      <c r="F178" s="645" t="s">
        <v>1114</v>
      </c>
      <c r="G178" s="645" t="s">
        <v>777</v>
      </c>
      <c r="H178" s="644">
        <v>500000</v>
      </c>
      <c r="I178" s="644">
        <v>0</v>
      </c>
      <c r="J178" s="644">
        <v>0</v>
      </c>
      <c r="K178" s="644">
        <v>0</v>
      </c>
      <c r="L178" s="644">
        <v>0</v>
      </c>
      <c r="M178" s="644">
        <v>500000</v>
      </c>
      <c r="N178" s="644">
        <v>0</v>
      </c>
      <c r="O178" s="644">
        <v>0</v>
      </c>
      <c r="P178" s="644">
        <v>500000</v>
      </c>
      <c r="Q178" s="644">
        <v>500000</v>
      </c>
      <c r="R178" s="644">
        <v>0</v>
      </c>
      <c r="S178" s="644">
        <v>0</v>
      </c>
      <c r="T178" s="644">
        <v>0</v>
      </c>
      <c r="U178" s="644">
        <v>0</v>
      </c>
      <c r="V178" s="644">
        <v>0</v>
      </c>
      <c r="W178" s="632">
        <v>0</v>
      </c>
      <c r="X178" s="632">
        <v>10466320</v>
      </c>
    </row>
    <row r="179" spans="1:24">
      <c r="A179" s="645">
        <v>161</v>
      </c>
      <c r="B179" s="643" t="s">
        <v>1177</v>
      </c>
      <c r="C179" s="645" t="s">
        <v>441</v>
      </c>
      <c r="D179" s="645" t="s">
        <v>1178</v>
      </c>
      <c r="E179" s="645" t="s">
        <v>1116</v>
      </c>
      <c r="F179" s="645" t="s">
        <v>1114</v>
      </c>
      <c r="G179" s="645" t="s">
        <v>777</v>
      </c>
      <c r="H179" s="644">
        <v>127647000</v>
      </c>
      <c r="I179" s="644">
        <v>0</v>
      </c>
      <c r="J179" s="644">
        <v>0</v>
      </c>
      <c r="K179" s="644">
        <v>0</v>
      </c>
      <c r="L179" s="644">
        <v>0</v>
      </c>
      <c r="M179" s="644">
        <v>0</v>
      </c>
      <c r="N179" s="644">
        <v>127647000</v>
      </c>
      <c r="O179" s="644">
        <v>0</v>
      </c>
      <c r="P179" s="644">
        <v>120827000</v>
      </c>
      <c r="Q179" s="644">
        <v>120827000</v>
      </c>
      <c r="R179" s="644">
        <v>0</v>
      </c>
      <c r="S179" s="644">
        <v>0</v>
      </c>
      <c r="T179" s="644">
        <v>0</v>
      </c>
      <c r="U179" s="644">
        <v>0</v>
      </c>
      <c r="V179" s="644">
        <v>0</v>
      </c>
      <c r="W179" s="632">
        <v>0</v>
      </c>
      <c r="X179" s="632">
        <v>0</v>
      </c>
    </row>
    <row r="180" spans="1:24" ht="22.5">
      <c r="A180" s="645">
        <v>162</v>
      </c>
      <c r="B180" s="643" t="s">
        <v>1179</v>
      </c>
      <c r="C180" s="645" t="s">
        <v>441</v>
      </c>
      <c r="D180" s="645" t="s">
        <v>1180</v>
      </c>
      <c r="E180" s="645" t="s">
        <v>894</v>
      </c>
      <c r="F180" s="645" t="s">
        <v>1114</v>
      </c>
      <c r="G180" s="645" t="s">
        <v>777</v>
      </c>
      <c r="H180" s="644">
        <v>90597045800</v>
      </c>
      <c r="I180" s="644">
        <v>7651045800</v>
      </c>
      <c r="J180" s="644">
        <v>4213045800</v>
      </c>
      <c r="K180" s="644">
        <v>0</v>
      </c>
      <c r="L180" s="644">
        <v>3438000000</v>
      </c>
      <c r="M180" s="644">
        <v>82946000000</v>
      </c>
      <c r="N180" s="644">
        <v>0</v>
      </c>
      <c r="O180" s="644">
        <v>0</v>
      </c>
      <c r="P180" s="644">
        <v>90593682800</v>
      </c>
      <c r="Q180" s="644">
        <v>90593682800</v>
      </c>
      <c r="R180" s="644">
        <v>0</v>
      </c>
      <c r="S180" s="644">
        <v>0</v>
      </c>
      <c r="T180" s="644">
        <v>0</v>
      </c>
      <c r="U180" s="644">
        <v>0</v>
      </c>
      <c r="V180" s="644">
        <v>0</v>
      </c>
      <c r="W180" s="632">
        <v>0</v>
      </c>
      <c r="X180" s="632">
        <v>0</v>
      </c>
    </row>
    <row r="181" spans="1:24" ht="22.5">
      <c r="A181" s="645">
        <v>163</v>
      </c>
      <c r="B181" s="643" t="s">
        <v>1179</v>
      </c>
      <c r="C181" s="645" t="s">
        <v>441</v>
      </c>
      <c r="D181" s="645" t="s">
        <v>1180</v>
      </c>
      <c r="E181" s="645" t="s">
        <v>896</v>
      </c>
      <c r="F181" s="645" t="s">
        <v>1114</v>
      </c>
      <c r="G181" s="645" t="s">
        <v>777</v>
      </c>
      <c r="H181" s="644">
        <v>3746000000</v>
      </c>
      <c r="I181" s="644">
        <v>0</v>
      </c>
      <c r="J181" s="644">
        <v>0</v>
      </c>
      <c r="K181" s="644">
        <v>0</v>
      </c>
      <c r="L181" s="644">
        <v>0</v>
      </c>
      <c r="M181" s="644">
        <v>3746000000</v>
      </c>
      <c r="N181" s="644">
        <v>0</v>
      </c>
      <c r="O181" s="644">
        <v>0</v>
      </c>
      <c r="P181" s="644">
        <v>3283230359</v>
      </c>
      <c r="Q181" s="644">
        <v>3283230359</v>
      </c>
      <c r="R181" s="644">
        <v>0</v>
      </c>
      <c r="S181" s="644">
        <v>0</v>
      </c>
      <c r="T181" s="644">
        <v>0</v>
      </c>
      <c r="U181" s="644">
        <v>0</v>
      </c>
      <c r="V181" s="644">
        <v>0</v>
      </c>
      <c r="W181" s="632">
        <v>0</v>
      </c>
      <c r="X181" s="632">
        <v>0</v>
      </c>
    </row>
    <row r="182" spans="1:24" ht="22.5">
      <c r="A182" s="645">
        <v>164</v>
      </c>
      <c r="B182" s="643" t="s">
        <v>1179</v>
      </c>
      <c r="C182" s="645" t="s">
        <v>441</v>
      </c>
      <c r="D182" s="645" t="s">
        <v>1180</v>
      </c>
      <c r="E182" s="645" t="s">
        <v>900</v>
      </c>
      <c r="F182" s="645" t="s">
        <v>1114</v>
      </c>
      <c r="G182" s="645" t="s">
        <v>777</v>
      </c>
      <c r="H182" s="644">
        <v>235000000</v>
      </c>
      <c r="I182" s="644">
        <v>0</v>
      </c>
      <c r="J182" s="644">
        <v>0</v>
      </c>
      <c r="K182" s="644">
        <v>0</v>
      </c>
      <c r="L182" s="644">
        <v>0</v>
      </c>
      <c r="M182" s="644">
        <v>235000000</v>
      </c>
      <c r="N182" s="644">
        <v>0</v>
      </c>
      <c r="O182" s="644">
        <v>0</v>
      </c>
      <c r="P182" s="644">
        <v>223250000</v>
      </c>
      <c r="Q182" s="644">
        <v>223250000</v>
      </c>
      <c r="R182" s="644">
        <v>0</v>
      </c>
      <c r="S182" s="644">
        <v>0</v>
      </c>
      <c r="T182" s="644">
        <v>0</v>
      </c>
      <c r="U182" s="644">
        <v>0</v>
      </c>
      <c r="V182" s="644">
        <v>0</v>
      </c>
      <c r="W182" s="632">
        <v>0</v>
      </c>
      <c r="X182" s="632">
        <v>1200000</v>
      </c>
    </row>
    <row r="183" spans="1:24" ht="22.5">
      <c r="A183" s="645">
        <v>165</v>
      </c>
      <c r="B183" s="643" t="s">
        <v>1179</v>
      </c>
      <c r="C183" s="645" t="s">
        <v>441</v>
      </c>
      <c r="D183" s="645" t="s">
        <v>1180</v>
      </c>
      <c r="E183" s="645" t="s">
        <v>904</v>
      </c>
      <c r="F183" s="645" t="s">
        <v>1114</v>
      </c>
      <c r="G183" s="645" t="s">
        <v>777</v>
      </c>
      <c r="H183" s="644">
        <v>76700000</v>
      </c>
      <c r="I183" s="644">
        <v>0</v>
      </c>
      <c r="J183" s="644">
        <v>0</v>
      </c>
      <c r="K183" s="644">
        <v>0</v>
      </c>
      <c r="L183" s="644">
        <v>0</v>
      </c>
      <c r="M183" s="644">
        <v>76700000</v>
      </c>
      <c r="N183" s="644">
        <v>0</v>
      </c>
      <c r="O183" s="644">
        <v>0</v>
      </c>
      <c r="P183" s="644">
        <v>70006800</v>
      </c>
      <c r="Q183" s="644">
        <v>70006800</v>
      </c>
      <c r="R183" s="644">
        <v>0</v>
      </c>
      <c r="S183" s="644">
        <v>0</v>
      </c>
      <c r="T183" s="644">
        <v>0</v>
      </c>
      <c r="U183" s="644">
        <v>0</v>
      </c>
      <c r="V183" s="644">
        <v>0</v>
      </c>
      <c r="W183" s="632">
        <v>0</v>
      </c>
      <c r="X183" s="632">
        <v>0</v>
      </c>
    </row>
    <row r="184" spans="1:24" ht="22.5">
      <c r="A184" s="645">
        <v>166</v>
      </c>
      <c r="B184" s="643" t="s">
        <v>1179</v>
      </c>
      <c r="C184" s="645" t="s">
        <v>441</v>
      </c>
      <c r="D184" s="645" t="s">
        <v>1180</v>
      </c>
      <c r="E184" s="645" t="s">
        <v>905</v>
      </c>
      <c r="F184" s="645" t="s">
        <v>1114</v>
      </c>
      <c r="G184" s="645" t="s">
        <v>777</v>
      </c>
      <c r="H184" s="644">
        <v>956300000</v>
      </c>
      <c r="I184" s="644">
        <v>0</v>
      </c>
      <c r="J184" s="644">
        <v>0</v>
      </c>
      <c r="K184" s="644">
        <v>0</v>
      </c>
      <c r="L184" s="644">
        <v>0</v>
      </c>
      <c r="M184" s="644">
        <v>693000000</v>
      </c>
      <c r="N184" s="644">
        <v>263300000</v>
      </c>
      <c r="O184" s="644">
        <v>0</v>
      </c>
      <c r="P184" s="644">
        <v>913844000</v>
      </c>
      <c r="Q184" s="644">
        <v>913844000</v>
      </c>
      <c r="R184" s="644">
        <v>0</v>
      </c>
      <c r="S184" s="644">
        <v>0</v>
      </c>
      <c r="T184" s="644">
        <v>0</v>
      </c>
      <c r="U184" s="644">
        <v>0</v>
      </c>
      <c r="V184" s="644">
        <v>0</v>
      </c>
      <c r="W184" s="632">
        <v>0</v>
      </c>
      <c r="X184" s="632">
        <v>0</v>
      </c>
    </row>
    <row r="185" spans="1:24" ht="22.5">
      <c r="A185" s="645">
        <v>167</v>
      </c>
      <c r="B185" s="643" t="s">
        <v>1179</v>
      </c>
      <c r="C185" s="645" t="s">
        <v>441</v>
      </c>
      <c r="D185" s="645" t="s">
        <v>1180</v>
      </c>
      <c r="E185" s="645" t="s">
        <v>1115</v>
      </c>
      <c r="F185" s="645" t="s">
        <v>1114</v>
      </c>
      <c r="G185" s="645" t="s">
        <v>777</v>
      </c>
      <c r="H185" s="644">
        <v>1500000</v>
      </c>
      <c r="I185" s="644">
        <v>0</v>
      </c>
      <c r="J185" s="644">
        <v>0</v>
      </c>
      <c r="K185" s="644">
        <v>0</v>
      </c>
      <c r="L185" s="644">
        <v>0</v>
      </c>
      <c r="M185" s="644">
        <v>1500000</v>
      </c>
      <c r="N185" s="644">
        <v>0</v>
      </c>
      <c r="O185" s="644">
        <v>0</v>
      </c>
      <c r="P185" s="644">
        <v>1500000</v>
      </c>
      <c r="Q185" s="644">
        <v>1500000</v>
      </c>
      <c r="R185" s="644">
        <v>0</v>
      </c>
      <c r="S185" s="644">
        <v>0</v>
      </c>
      <c r="T185" s="644">
        <v>0</v>
      </c>
      <c r="U185" s="644">
        <v>0</v>
      </c>
      <c r="V185" s="644">
        <v>0</v>
      </c>
      <c r="W185" s="632">
        <v>0</v>
      </c>
      <c r="X185" s="632">
        <v>0</v>
      </c>
    </row>
    <row r="186" spans="1:24">
      <c r="A186" s="645">
        <v>168</v>
      </c>
      <c r="B186" s="643" t="s">
        <v>1181</v>
      </c>
      <c r="C186" s="645" t="s">
        <v>441</v>
      </c>
      <c r="D186" s="645" t="s">
        <v>1180</v>
      </c>
      <c r="E186" s="645" t="s">
        <v>896</v>
      </c>
      <c r="F186" s="645" t="s">
        <v>1114</v>
      </c>
      <c r="G186" s="645" t="s">
        <v>777</v>
      </c>
      <c r="H186" s="644">
        <v>2650000000</v>
      </c>
      <c r="I186" s="644">
        <v>0</v>
      </c>
      <c r="J186" s="644">
        <v>0</v>
      </c>
      <c r="K186" s="644">
        <v>0</v>
      </c>
      <c r="L186" s="644">
        <v>0</v>
      </c>
      <c r="M186" s="644">
        <v>2650000000</v>
      </c>
      <c r="N186" s="644">
        <v>0</v>
      </c>
      <c r="O186" s="644">
        <v>0</v>
      </c>
      <c r="P186" s="644">
        <v>2649962640</v>
      </c>
      <c r="Q186" s="644">
        <v>2649962640</v>
      </c>
      <c r="R186" s="644">
        <v>0</v>
      </c>
      <c r="S186" s="644">
        <v>0</v>
      </c>
      <c r="T186" s="644">
        <v>0</v>
      </c>
      <c r="U186" s="644">
        <v>0</v>
      </c>
      <c r="V186" s="644">
        <v>0</v>
      </c>
      <c r="W186" s="632">
        <v>0</v>
      </c>
      <c r="X186" s="632">
        <v>51650500</v>
      </c>
    </row>
    <row r="187" spans="1:24">
      <c r="A187" s="645">
        <v>169</v>
      </c>
      <c r="B187" s="643" t="s">
        <v>1181</v>
      </c>
      <c r="C187" s="645" t="s">
        <v>441</v>
      </c>
      <c r="D187" s="645" t="s">
        <v>1180</v>
      </c>
      <c r="E187" s="645" t="s">
        <v>904</v>
      </c>
      <c r="F187" s="645" t="s">
        <v>1114</v>
      </c>
      <c r="G187" s="645" t="s">
        <v>777</v>
      </c>
      <c r="H187" s="644">
        <v>24000000</v>
      </c>
      <c r="I187" s="644">
        <v>0</v>
      </c>
      <c r="J187" s="644">
        <v>0</v>
      </c>
      <c r="K187" s="644">
        <v>0</v>
      </c>
      <c r="L187" s="644">
        <v>0</v>
      </c>
      <c r="M187" s="644">
        <v>24000000</v>
      </c>
      <c r="N187" s="644">
        <v>0</v>
      </c>
      <c r="O187" s="644">
        <v>0</v>
      </c>
      <c r="P187" s="644">
        <v>24000000</v>
      </c>
      <c r="Q187" s="644">
        <v>24000000</v>
      </c>
      <c r="R187" s="644">
        <v>0</v>
      </c>
      <c r="S187" s="644">
        <v>0</v>
      </c>
      <c r="T187" s="644">
        <v>0</v>
      </c>
      <c r="U187" s="644">
        <v>0</v>
      </c>
      <c r="V187" s="644">
        <v>0</v>
      </c>
      <c r="W187" s="632">
        <v>0</v>
      </c>
      <c r="X187" s="632">
        <v>81467400</v>
      </c>
    </row>
    <row r="188" spans="1:24">
      <c r="A188" s="645">
        <v>170</v>
      </c>
      <c r="B188" s="643" t="s">
        <v>1182</v>
      </c>
      <c r="C188" s="645" t="s">
        <v>441</v>
      </c>
      <c r="D188" s="645" t="s">
        <v>1183</v>
      </c>
      <c r="E188" s="645" t="s">
        <v>1184</v>
      </c>
      <c r="F188" s="645" t="s">
        <v>1114</v>
      </c>
      <c r="G188" s="645" t="s">
        <v>777</v>
      </c>
      <c r="H188" s="644">
        <v>4343368000</v>
      </c>
      <c r="I188" s="644">
        <v>0</v>
      </c>
      <c r="J188" s="644">
        <v>0</v>
      </c>
      <c r="K188" s="644">
        <v>0</v>
      </c>
      <c r="L188" s="644">
        <v>0</v>
      </c>
      <c r="M188" s="644">
        <v>4343368000</v>
      </c>
      <c r="N188" s="644">
        <v>0</v>
      </c>
      <c r="O188" s="644">
        <v>0</v>
      </c>
      <c r="P188" s="644">
        <v>4343368000</v>
      </c>
      <c r="Q188" s="644">
        <v>4343368000</v>
      </c>
      <c r="R188" s="644">
        <v>0</v>
      </c>
      <c r="S188" s="644">
        <v>0</v>
      </c>
      <c r="T188" s="644">
        <v>0</v>
      </c>
      <c r="U188" s="644">
        <v>0</v>
      </c>
      <c r="V188" s="644">
        <v>0</v>
      </c>
      <c r="W188" s="632">
        <v>0</v>
      </c>
      <c r="X188" s="632">
        <v>5070000</v>
      </c>
    </row>
    <row r="189" spans="1:24" ht="22.5">
      <c r="A189" s="645">
        <v>171</v>
      </c>
      <c r="B189" s="643" t="s">
        <v>1185</v>
      </c>
      <c r="C189" s="645" t="s">
        <v>441</v>
      </c>
      <c r="D189" s="645" t="s">
        <v>1183</v>
      </c>
      <c r="E189" s="645" t="s">
        <v>1184</v>
      </c>
      <c r="F189" s="645" t="s">
        <v>1114</v>
      </c>
      <c r="G189" s="645" t="s">
        <v>1186</v>
      </c>
      <c r="H189" s="644">
        <v>1496658000</v>
      </c>
      <c r="I189" s="644">
        <v>0</v>
      </c>
      <c r="J189" s="644">
        <v>0</v>
      </c>
      <c r="K189" s="644">
        <v>0</v>
      </c>
      <c r="L189" s="644">
        <v>0</v>
      </c>
      <c r="M189" s="644">
        <v>1449800000</v>
      </c>
      <c r="N189" s="644">
        <v>46858000</v>
      </c>
      <c r="O189" s="644">
        <v>0</v>
      </c>
      <c r="P189" s="644">
        <v>1492708000</v>
      </c>
      <c r="Q189" s="644">
        <v>1492708000</v>
      </c>
      <c r="R189" s="644">
        <v>0</v>
      </c>
      <c r="S189" s="644">
        <v>0</v>
      </c>
      <c r="T189" s="644">
        <v>0</v>
      </c>
      <c r="U189" s="644">
        <v>0</v>
      </c>
      <c r="V189" s="644">
        <v>0</v>
      </c>
      <c r="W189" s="632">
        <v>0</v>
      </c>
      <c r="X189" s="632">
        <v>0</v>
      </c>
    </row>
    <row r="190" spans="1:24" ht="22.5">
      <c r="A190" s="645">
        <v>172</v>
      </c>
      <c r="B190" s="643" t="s">
        <v>1185</v>
      </c>
      <c r="C190" s="645" t="s">
        <v>441</v>
      </c>
      <c r="D190" s="645" t="s">
        <v>1183</v>
      </c>
      <c r="E190" s="645" t="s">
        <v>1115</v>
      </c>
      <c r="F190" s="645" t="s">
        <v>1114</v>
      </c>
      <c r="G190" s="645" t="s">
        <v>1186</v>
      </c>
      <c r="H190" s="644">
        <v>500000</v>
      </c>
      <c r="I190" s="644">
        <v>0</v>
      </c>
      <c r="J190" s="644">
        <v>0</v>
      </c>
      <c r="K190" s="644">
        <v>0</v>
      </c>
      <c r="L190" s="644">
        <v>0</v>
      </c>
      <c r="M190" s="644">
        <v>500000</v>
      </c>
      <c r="N190" s="644">
        <v>0</v>
      </c>
      <c r="O190" s="644">
        <v>0</v>
      </c>
      <c r="P190" s="644">
        <v>500000</v>
      </c>
      <c r="Q190" s="644">
        <v>500000</v>
      </c>
      <c r="R190" s="644">
        <v>0</v>
      </c>
      <c r="S190" s="644">
        <v>0</v>
      </c>
      <c r="T190" s="644">
        <v>0</v>
      </c>
      <c r="U190" s="644">
        <v>0</v>
      </c>
      <c r="V190" s="644">
        <v>0</v>
      </c>
      <c r="W190" s="632">
        <v>0</v>
      </c>
      <c r="X190" s="632">
        <v>32291700</v>
      </c>
    </row>
    <row r="191" spans="1:24" ht="22.5">
      <c r="A191" s="645">
        <v>173</v>
      </c>
      <c r="B191" s="643" t="s">
        <v>1187</v>
      </c>
      <c r="C191" s="645" t="s">
        <v>441</v>
      </c>
      <c r="D191" s="645" t="s">
        <v>1183</v>
      </c>
      <c r="E191" s="645" t="s">
        <v>1184</v>
      </c>
      <c r="F191" s="645" t="s">
        <v>1114</v>
      </c>
      <c r="G191" s="645" t="s">
        <v>1188</v>
      </c>
      <c r="H191" s="644">
        <v>25722000</v>
      </c>
      <c r="I191" s="644">
        <v>0</v>
      </c>
      <c r="J191" s="644">
        <v>0</v>
      </c>
      <c r="K191" s="644">
        <v>0</v>
      </c>
      <c r="L191" s="644">
        <v>0</v>
      </c>
      <c r="M191" s="644">
        <v>11000000</v>
      </c>
      <c r="N191" s="644">
        <v>14722000</v>
      </c>
      <c r="O191" s="644">
        <v>0</v>
      </c>
      <c r="P191" s="644">
        <v>25722000</v>
      </c>
      <c r="Q191" s="644">
        <v>25722000</v>
      </c>
      <c r="R191" s="644">
        <v>0</v>
      </c>
      <c r="S191" s="644">
        <v>0</v>
      </c>
      <c r="T191" s="644">
        <v>0</v>
      </c>
      <c r="U191" s="644">
        <v>0</v>
      </c>
      <c r="V191" s="644">
        <v>0</v>
      </c>
      <c r="W191" s="632">
        <v>0</v>
      </c>
      <c r="X191" s="632">
        <v>0</v>
      </c>
    </row>
    <row r="192" spans="1:24" ht="22.5">
      <c r="A192" s="645">
        <v>174</v>
      </c>
      <c r="B192" s="643" t="s">
        <v>1187</v>
      </c>
      <c r="C192" s="645" t="s">
        <v>441</v>
      </c>
      <c r="D192" s="645" t="s">
        <v>1183</v>
      </c>
      <c r="E192" s="645" t="s">
        <v>1115</v>
      </c>
      <c r="F192" s="645" t="s">
        <v>1114</v>
      </c>
      <c r="G192" s="645" t="s">
        <v>1188</v>
      </c>
      <c r="H192" s="644">
        <v>500000</v>
      </c>
      <c r="I192" s="644">
        <v>0</v>
      </c>
      <c r="J192" s="644">
        <v>0</v>
      </c>
      <c r="K192" s="644">
        <v>0</v>
      </c>
      <c r="L192" s="644">
        <v>0</v>
      </c>
      <c r="M192" s="644">
        <v>500000</v>
      </c>
      <c r="N192" s="644">
        <v>0</v>
      </c>
      <c r="O192" s="644">
        <v>0</v>
      </c>
      <c r="P192" s="644">
        <v>500000</v>
      </c>
      <c r="Q192" s="644">
        <v>500000</v>
      </c>
      <c r="R192" s="644">
        <v>0</v>
      </c>
      <c r="S192" s="644">
        <v>0</v>
      </c>
      <c r="T192" s="644">
        <v>0</v>
      </c>
      <c r="U192" s="644">
        <v>0</v>
      </c>
      <c r="V192" s="644">
        <v>0</v>
      </c>
      <c r="W192" s="632">
        <v>0</v>
      </c>
      <c r="X192" s="632">
        <v>0</v>
      </c>
    </row>
    <row r="193" spans="1:24" ht="22.5">
      <c r="A193" s="645">
        <v>175</v>
      </c>
      <c r="B193" s="643" t="s">
        <v>1189</v>
      </c>
      <c r="C193" s="645" t="s">
        <v>441</v>
      </c>
      <c r="D193" s="645" t="s">
        <v>1183</v>
      </c>
      <c r="E193" s="645" t="s">
        <v>1184</v>
      </c>
      <c r="F193" s="645" t="s">
        <v>1114</v>
      </c>
      <c r="G193" s="645" t="s">
        <v>1190</v>
      </c>
      <c r="H193" s="644">
        <v>217525000</v>
      </c>
      <c r="I193" s="644">
        <v>194702000</v>
      </c>
      <c r="J193" s="644">
        <v>0</v>
      </c>
      <c r="K193" s="644">
        <v>0</v>
      </c>
      <c r="L193" s="644">
        <v>194702000</v>
      </c>
      <c r="M193" s="644">
        <v>9500000</v>
      </c>
      <c r="N193" s="644">
        <v>13323000</v>
      </c>
      <c r="O193" s="644">
        <v>0</v>
      </c>
      <c r="P193" s="644">
        <v>159017000</v>
      </c>
      <c r="Q193" s="644">
        <v>159017000</v>
      </c>
      <c r="R193" s="644">
        <v>0</v>
      </c>
      <c r="S193" s="644">
        <v>58508000</v>
      </c>
      <c r="T193" s="644">
        <v>0</v>
      </c>
      <c r="U193" s="644">
        <v>0</v>
      </c>
      <c r="V193" s="644">
        <v>58508000</v>
      </c>
      <c r="W193" s="632">
        <v>0</v>
      </c>
      <c r="X193" s="632">
        <v>0</v>
      </c>
    </row>
    <row r="194" spans="1:24" ht="22.5">
      <c r="A194" s="645">
        <v>176</v>
      </c>
      <c r="B194" s="643" t="s">
        <v>1189</v>
      </c>
      <c r="C194" s="645" t="s">
        <v>441</v>
      </c>
      <c r="D194" s="645" t="s">
        <v>1183</v>
      </c>
      <c r="E194" s="645" t="s">
        <v>1115</v>
      </c>
      <c r="F194" s="645" t="s">
        <v>1114</v>
      </c>
      <c r="G194" s="645" t="s">
        <v>1190</v>
      </c>
      <c r="H194" s="644">
        <v>500000</v>
      </c>
      <c r="I194" s="644">
        <v>0</v>
      </c>
      <c r="J194" s="644">
        <v>0</v>
      </c>
      <c r="K194" s="644">
        <v>0</v>
      </c>
      <c r="L194" s="644">
        <v>0</v>
      </c>
      <c r="M194" s="644">
        <v>500000</v>
      </c>
      <c r="N194" s="644">
        <v>0</v>
      </c>
      <c r="O194" s="644">
        <v>0</v>
      </c>
      <c r="P194" s="644">
        <v>500000</v>
      </c>
      <c r="Q194" s="644">
        <v>500000</v>
      </c>
      <c r="R194" s="644">
        <v>0</v>
      </c>
      <c r="S194" s="644">
        <v>0</v>
      </c>
      <c r="T194" s="644">
        <v>0</v>
      </c>
      <c r="U194" s="644">
        <v>0</v>
      </c>
      <c r="V194" s="644">
        <v>0</v>
      </c>
      <c r="W194" s="632">
        <v>0</v>
      </c>
      <c r="X194" s="632">
        <v>0</v>
      </c>
    </row>
    <row r="195" spans="1:24" ht="22.5">
      <c r="A195" s="645">
        <v>177</v>
      </c>
      <c r="B195" s="643" t="s">
        <v>1191</v>
      </c>
      <c r="C195" s="645" t="s">
        <v>441</v>
      </c>
      <c r="D195" s="645" t="s">
        <v>1183</v>
      </c>
      <c r="E195" s="645" t="s">
        <v>1125</v>
      </c>
      <c r="F195" s="645" t="s">
        <v>1114</v>
      </c>
      <c r="G195" s="645" t="s">
        <v>777</v>
      </c>
      <c r="H195" s="644">
        <v>778150000</v>
      </c>
      <c r="I195" s="644">
        <v>0</v>
      </c>
      <c r="J195" s="644">
        <v>0</v>
      </c>
      <c r="K195" s="644">
        <v>0</v>
      </c>
      <c r="L195" s="644">
        <v>0</v>
      </c>
      <c r="M195" s="644">
        <v>778150000</v>
      </c>
      <c r="N195" s="644">
        <v>0</v>
      </c>
      <c r="O195" s="644">
        <v>0</v>
      </c>
      <c r="P195" s="644">
        <v>754748264</v>
      </c>
      <c r="Q195" s="644">
        <v>754748264</v>
      </c>
      <c r="R195" s="644">
        <v>0</v>
      </c>
      <c r="S195" s="644">
        <v>0</v>
      </c>
      <c r="T195" s="644">
        <v>0</v>
      </c>
      <c r="U195" s="644">
        <v>0</v>
      </c>
      <c r="V195" s="644">
        <v>0</v>
      </c>
      <c r="W195" s="632">
        <v>0</v>
      </c>
      <c r="X195" s="632">
        <v>0</v>
      </c>
    </row>
    <row r="196" spans="1:24" ht="22.5">
      <c r="A196" s="645">
        <v>178</v>
      </c>
      <c r="B196" s="643" t="s">
        <v>1191</v>
      </c>
      <c r="C196" s="645" t="s">
        <v>441</v>
      </c>
      <c r="D196" s="645" t="s">
        <v>1183</v>
      </c>
      <c r="E196" s="645" t="s">
        <v>1192</v>
      </c>
      <c r="F196" s="645" t="s">
        <v>1114</v>
      </c>
      <c r="G196" s="645" t="s">
        <v>777</v>
      </c>
      <c r="H196" s="644">
        <v>202000000</v>
      </c>
      <c r="I196" s="644">
        <v>202000000</v>
      </c>
      <c r="J196" s="644">
        <v>202000000</v>
      </c>
      <c r="K196" s="644">
        <v>0</v>
      </c>
      <c r="L196" s="644">
        <v>0</v>
      </c>
      <c r="M196" s="644">
        <v>0</v>
      </c>
      <c r="N196" s="644">
        <v>0</v>
      </c>
      <c r="O196" s="644">
        <v>0</v>
      </c>
      <c r="P196" s="644">
        <v>202000000</v>
      </c>
      <c r="Q196" s="644">
        <v>202000000</v>
      </c>
      <c r="R196" s="644">
        <v>0</v>
      </c>
      <c r="S196" s="644">
        <v>0</v>
      </c>
      <c r="T196" s="644">
        <v>0</v>
      </c>
      <c r="U196" s="644">
        <v>0</v>
      </c>
      <c r="V196" s="644">
        <v>0</v>
      </c>
      <c r="W196" s="632">
        <v>0</v>
      </c>
      <c r="X196" s="632">
        <v>0</v>
      </c>
    </row>
    <row r="197" spans="1:24" ht="22.5">
      <c r="A197" s="645">
        <v>179</v>
      </c>
      <c r="B197" s="643" t="s">
        <v>1191</v>
      </c>
      <c r="C197" s="645" t="s">
        <v>441</v>
      </c>
      <c r="D197" s="645" t="s">
        <v>1183</v>
      </c>
      <c r="E197" s="645" t="s">
        <v>1132</v>
      </c>
      <c r="F197" s="645" t="s">
        <v>1114</v>
      </c>
      <c r="G197" s="645" t="s">
        <v>777</v>
      </c>
      <c r="H197" s="644">
        <v>380100000</v>
      </c>
      <c r="I197" s="644">
        <v>0</v>
      </c>
      <c r="J197" s="644">
        <v>0</v>
      </c>
      <c r="K197" s="644">
        <v>0</v>
      </c>
      <c r="L197" s="644">
        <v>0</v>
      </c>
      <c r="M197" s="644">
        <v>380100000</v>
      </c>
      <c r="N197" s="644">
        <v>0</v>
      </c>
      <c r="O197" s="644">
        <v>0</v>
      </c>
      <c r="P197" s="644">
        <v>340086500</v>
      </c>
      <c r="Q197" s="644">
        <v>340086500</v>
      </c>
      <c r="R197" s="644">
        <v>0</v>
      </c>
      <c r="S197" s="644">
        <v>0</v>
      </c>
      <c r="T197" s="644">
        <v>0</v>
      </c>
      <c r="U197" s="644">
        <v>0</v>
      </c>
      <c r="V197" s="644">
        <v>0</v>
      </c>
      <c r="W197" s="632">
        <v>0</v>
      </c>
      <c r="X197" s="632">
        <v>11700000</v>
      </c>
    </row>
    <row r="198" spans="1:24" ht="22.5">
      <c r="A198" s="645">
        <v>180</v>
      </c>
      <c r="B198" s="643" t="s">
        <v>1191</v>
      </c>
      <c r="C198" s="645" t="s">
        <v>441</v>
      </c>
      <c r="D198" s="645" t="s">
        <v>1183</v>
      </c>
      <c r="E198" s="645" t="s">
        <v>904</v>
      </c>
      <c r="F198" s="645" t="s">
        <v>1114</v>
      </c>
      <c r="G198" s="645" t="s">
        <v>777</v>
      </c>
      <c r="H198" s="644">
        <v>1532000000</v>
      </c>
      <c r="I198" s="644">
        <v>0</v>
      </c>
      <c r="J198" s="644">
        <v>0</v>
      </c>
      <c r="K198" s="644">
        <v>0</v>
      </c>
      <c r="L198" s="644">
        <v>0</v>
      </c>
      <c r="M198" s="644">
        <v>1532000000</v>
      </c>
      <c r="N198" s="644">
        <v>0</v>
      </c>
      <c r="O198" s="644">
        <v>0</v>
      </c>
      <c r="P198" s="644">
        <v>1529397490</v>
      </c>
      <c r="Q198" s="644">
        <v>1529397490</v>
      </c>
      <c r="R198" s="644">
        <v>0</v>
      </c>
      <c r="S198" s="644">
        <v>0</v>
      </c>
      <c r="T198" s="644">
        <v>0</v>
      </c>
      <c r="U198" s="644">
        <v>0</v>
      </c>
      <c r="V198" s="644">
        <v>0</v>
      </c>
      <c r="W198" s="632">
        <v>0</v>
      </c>
      <c r="X198" s="632">
        <v>0</v>
      </c>
    </row>
    <row r="199" spans="1:24" ht="22.5">
      <c r="A199" s="645">
        <v>181</v>
      </c>
      <c r="B199" s="643" t="s">
        <v>1191</v>
      </c>
      <c r="C199" s="645" t="s">
        <v>441</v>
      </c>
      <c r="D199" s="645" t="s">
        <v>1183</v>
      </c>
      <c r="E199" s="645" t="s">
        <v>1116</v>
      </c>
      <c r="F199" s="645" t="s">
        <v>1114</v>
      </c>
      <c r="G199" s="645" t="s">
        <v>777</v>
      </c>
      <c r="H199" s="644">
        <v>60000000</v>
      </c>
      <c r="I199" s="644">
        <v>0</v>
      </c>
      <c r="J199" s="644">
        <v>0</v>
      </c>
      <c r="K199" s="644">
        <v>0</v>
      </c>
      <c r="L199" s="644">
        <v>0</v>
      </c>
      <c r="M199" s="644">
        <v>60000000</v>
      </c>
      <c r="N199" s="644">
        <v>0</v>
      </c>
      <c r="O199" s="644">
        <v>0</v>
      </c>
      <c r="P199" s="644">
        <v>60000000</v>
      </c>
      <c r="Q199" s="644">
        <v>60000000</v>
      </c>
      <c r="R199" s="644">
        <v>0</v>
      </c>
      <c r="S199" s="644">
        <v>0</v>
      </c>
      <c r="T199" s="644">
        <v>0</v>
      </c>
      <c r="U199" s="644">
        <v>0</v>
      </c>
      <c r="V199" s="644">
        <v>0</v>
      </c>
      <c r="W199" s="632">
        <v>0</v>
      </c>
      <c r="X199" s="632">
        <v>0</v>
      </c>
    </row>
    <row r="200" spans="1:24" ht="22.5">
      <c r="A200" s="645">
        <v>182</v>
      </c>
      <c r="B200" s="643" t="s">
        <v>1193</v>
      </c>
      <c r="C200" s="645" t="s">
        <v>441</v>
      </c>
      <c r="D200" s="645" t="s">
        <v>1183</v>
      </c>
      <c r="E200" s="645" t="s">
        <v>1194</v>
      </c>
      <c r="F200" s="645" t="s">
        <v>1114</v>
      </c>
      <c r="G200" s="645" t="s">
        <v>777</v>
      </c>
      <c r="H200" s="644">
        <v>1423000000</v>
      </c>
      <c r="I200" s="644">
        <v>0</v>
      </c>
      <c r="J200" s="644">
        <v>0</v>
      </c>
      <c r="K200" s="644">
        <v>0</v>
      </c>
      <c r="L200" s="644">
        <v>0</v>
      </c>
      <c r="M200" s="644">
        <v>1850000000</v>
      </c>
      <c r="N200" s="644">
        <v>-427000000</v>
      </c>
      <c r="O200" s="644">
        <v>0</v>
      </c>
      <c r="P200" s="644">
        <v>1364500000</v>
      </c>
      <c r="Q200" s="644">
        <v>1364500000</v>
      </c>
      <c r="R200" s="644">
        <v>0</v>
      </c>
      <c r="S200" s="644">
        <v>0</v>
      </c>
      <c r="T200" s="644">
        <v>0</v>
      </c>
      <c r="U200" s="644">
        <v>0</v>
      </c>
      <c r="V200" s="644">
        <v>0</v>
      </c>
      <c r="W200" s="632">
        <v>0</v>
      </c>
      <c r="X200" s="632">
        <v>0</v>
      </c>
    </row>
    <row r="201" spans="1:24" ht="22.5">
      <c r="A201" s="645">
        <v>183</v>
      </c>
      <c r="B201" s="643" t="s">
        <v>1195</v>
      </c>
      <c r="C201" s="645" t="s">
        <v>441</v>
      </c>
      <c r="D201" s="645" t="s">
        <v>1183</v>
      </c>
      <c r="E201" s="645" t="s">
        <v>1184</v>
      </c>
      <c r="F201" s="645" t="s">
        <v>1114</v>
      </c>
      <c r="G201" s="645" t="s">
        <v>1190</v>
      </c>
      <c r="H201" s="644">
        <v>83972000</v>
      </c>
      <c r="I201" s="644">
        <v>0</v>
      </c>
      <c r="J201" s="644">
        <v>0</v>
      </c>
      <c r="K201" s="644">
        <v>0</v>
      </c>
      <c r="L201" s="644">
        <v>0</v>
      </c>
      <c r="M201" s="644">
        <v>34010000</v>
      </c>
      <c r="N201" s="644">
        <v>49962000</v>
      </c>
      <c r="O201" s="644">
        <v>0</v>
      </c>
      <c r="P201" s="644">
        <v>83962000</v>
      </c>
      <c r="Q201" s="644">
        <v>83962000</v>
      </c>
      <c r="R201" s="644">
        <v>0</v>
      </c>
      <c r="S201" s="644">
        <v>0</v>
      </c>
      <c r="T201" s="644">
        <v>0</v>
      </c>
      <c r="U201" s="644">
        <v>0</v>
      </c>
      <c r="V201" s="644">
        <v>0</v>
      </c>
      <c r="W201" s="632">
        <v>0</v>
      </c>
      <c r="X201" s="632">
        <v>0</v>
      </c>
    </row>
    <row r="202" spans="1:24" ht="22.5">
      <c r="A202" s="645">
        <v>184</v>
      </c>
      <c r="B202" s="643" t="s">
        <v>1196</v>
      </c>
      <c r="C202" s="645" t="s">
        <v>441</v>
      </c>
      <c r="D202" s="645" t="s">
        <v>1183</v>
      </c>
      <c r="E202" s="645" t="s">
        <v>1184</v>
      </c>
      <c r="F202" s="645" t="s">
        <v>1114</v>
      </c>
      <c r="G202" s="645" t="s">
        <v>1190</v>
      </c>
      <c r="H202" s="644">
        <v>237124000</v>
      </c>
      <c r="I202" s="644">
        <v>0</v>
      </c>
      <c r="J202" s="644">
        <v>0</v>
      </c>
      <c r="K202" s="644">
        <v>0</v>
      </c>
      <c r="L202" s="644">
        <v>0</v>
      </c>
      <c r="M202" s="644">
        <v>200650000</v>
      </c>
      <c r="N202" s="644">
        <v>36474000</v>
      </c>
      <c r="O202" s="644">
        <v>0</v>
      </c>
      <c r="P202" s="644">
        <v>235624000</v>
      </c>
      <c r="Q202" s="644">
        <v>235624000</v>
      </c>
      <c r="R202" s="644">
        <v>0</v>
      </c>
      <c r="S202" s="644">
        <v>0</v>
      </c>
      <c r="T202" s="644">
        <v>0</v>
      </c>
      <c r="U202" s="644">
        <v>0</v>
      </c>
      <c r="V202" s="644">
        <v>0</v>
      </c>
      <c r="W202" s="632">
        <v>0</v>
      </c>
      <c r="X202" s="632">
        <v>0</v>
      </c>
    </row>
    <row r="203" spans="1:24" ht="22.5">
      <c r="A203" s="645">
        <v>185</v>
      </c>
      <c r="B203" s="643" t="s">
        <v>1196</v>
      </c>
      <c r="C203" s="645" t="s">
        <v>441</v>
      </c>
      <c r="D203" s="645" t="s">
        <v>1183</v>
      </c>
      <c r="E203" s="645" t="s">
        <v>1115</v>
      </c>
      <c r="F203" s="645" t="s">
        <v>1114</v>
      </c>
      <c r="G203" s="645" t="s">
        <v>1190</v>
      </c>
      <c r="H203" s="644">
        <v>500000</v>
      </c>
      <c r="I203" s="644">
        <v>0</v>
      </c>
      <c r="J203" s="644">
        <v>0</v>
      </c>
      <c r="K203" s="644">
        <v>0</v>
      </c>
      <c r="L203" s="644">
        <v>0</v>
      </c>
      <c r="M203" s="644">
        <v>500000</v>
      </c>
      <c r="N203" s="644">
        <v>0</v>
      </c>
      <c r="O203" s="644">
        <v>0</v>
      </c>
      <c r="P203" s="644">
        <v>500000</v>
      </c>
      <c r="Q203" s="644">
        <v>500000</v>
      </c>
      <c r="R203" s="644">
        <v>0</v>
      </c>
      <c r="S203" s="644">
        <v>0</v>
      </c>
      <c r="T203" s="644">
        <v>0</v>
      </c>
      <c r="U203" s="644">
        <v>0</v>
      </c>
      <c r="V203" s="644">
        <v>0</v>
      </c>
      <c r="W203" s="632">
        <v>0</v>
      </c>
      <c r="X203" s="632">
        <v>0</v>
      </c>
    </row>
    <row r="204" spans="1:24" ht="22.5">
      <c r="A204" s="645">
        <v>186</v>
      </c>
      <c r="B204" s="643" t="s">
        <v>1197</v>
      </c>
      <c r="C204" s="645" t="s">
        <v>441</v>
      </c>
      <c r="D204" s="645" t="s">
        <v>1183</v>
      </c>
      <c r="E204" s="645" t="s">
        <v>1184</v>
      </c>
      <c r="F204" s="645" t="s">
        <v>1114</v>
      </c>
      <c r="G204" s="645" t="s">
        <v>777</v>
      </c>
      <c r="H204" s="644">
        <v>41499000</v>
      </c>
      <c r="I204" s="644">
        <v>0</v>
      </c>
      <c r="J204" s="644">
        <v>0</v>
      </c>
      <c r="K204" s="644">
        <v>0</v>
      </c>
      <c r="L204" s="644">
        <v>0</v>
      </c>
      <c r="M204" s="644">
        <v>17000000</v>
      </c>
      <c r="N204" s="644">
        <v>24499000</v>
      </c>
      <c r="O204" s="644">
        <v>0</v>
      </c>
      <c r="P204" s="644">
        <v>41498000</v>
      </c>
      <c r="Q204" s="644">
        <v>41498000</v>
      </c>
      <c r="R204" s="644">
        <v>0</v>
      </c>
      <c r="S204" s="644">
        <v>0</v>
      </c>
      <c r="T204" s="644">
        <v>0</v>
      </c>
      <c r="U204" s="644">
        <v>0</v>
      </c>
      <c r="V204" s="644">
        <v>0</v>
      </c>
      <c r="W204" s="632">
        <v>0</v>
      </c>
      <c r="X204" s="632">
        <v>0</v>
      </c>
    </row>
    <row r="205" spans="1:24" ht="22.5">
      <c r="A205" s="645">
        <v>187</v>
      </c>
      <c r="B205" s="643" t="s">
        <v>1197</v>
      </c>
      <c r="C205" s="645" t="s">
        <v>441</v>
      </c>
      <c r="D205" s="645" t="s">
        <v>1183</v>
      </c>
      <c r="E205" s="645" t="s">
        <v>1115</v>
      </c>
      <c r="F205" s="645" t="s">
        <v>1114</v>
      </c>
      <c r="G205" s="645" t="s">
        <v>777</v>
      </c>
      <c r="H205" s="644">
        <v>500000</v>
      </c>
      <c r="I205" s="644">
        <v>0</v>
      </c>
      <c r="J205" s="644">
        <v>0</v>
      </c>
      <c r="K205" s="644">
        <v>0</v>
      </c>
      <c r="L205" s="644">
        <v>0</v>
      </c>
      <c r="M205" s="644">
        <v>500000</v>
      </c>
      <c r="N205" s="644">
        <v>0</v>
      </c>
      <c r="O205" s="644">
        <v>0</v>
      </c>
      <c r="P205" s="644">
        <v>500000</v>
      </c>
      <c r="Q205" s="644">
        <v>500000</v>
      </c>
      <c r="R205" s="644">
        <v>0</v>
      </c>
      <c r="S205" s="644">
        <v>0</v>
      </c>
      <c r="T205" s="644">
        <v>0</v>
      </c>
      <c r="U205" s="644">
        <v>0</v>
      </c>
      <c r="V205" s="644">
        <v>0</v>
      </c>
      <c r="W205" s="632">
        <v>0</v>
      </c>
      <c r="X205" s="632">
        <v>0</v>
      </c>
    </row>
    <row r="206" spans="1:24" ht="22.5">
      <c r="A206" s="645">
        <v>188</v>
      </c>
      <c r="B206" s="643" t="s">
        <v>1198</v>
      </c>
      <c r="C206" s="645" t="s">
        <v>441</v>
      </c>
      <c r="D206" s="645" t="s">
        <v>1183</v>
      </c>
      <c r="E206" s="645" t="s">
        <v>1184</v>
      </c>
      <c r="F206" s="645" t="s">
        <v>1114</v>
      </c>
      <c r="G206" s="645" t="s">
        <v>1199</v>
      </c>
      <c r="H206" s="644">
        <v>28409000</v>
      </c>
      <c r="I206" s="644">
        <v>0</v>
      </c>
      <c r="J206" s="644">
        <v>0</v>
      </c>
      <c r="K206" s="644">
        <v>0</v>
      </c>
      <c r="L206" s="644">
        <v>0</v>
      </c>
      <c r="M206" s="644">
        <v>12500000</v>
      </c>
      <c r="N206" s="644">
        <v>15909000</v>
      </c>
      <c r="O206" s="644">
        <v>0</v>
      </c>
      <c r="P206" s="644">
        <v>27209000</v>
      </c>
      <c r="Q206" s="644">
        <v>27209000</v>
      </c>
      <c r="R206" s="644">
        <v>0</v>
      </c>
      <c r="S206" s="644">
        <v>0</v>
      </c>
      <c r="T206" s="644">
        <v>0</v>
      </c>
      <c r="U206" s="644">
        <v>0</v>
      </c>
      <c r="V206" s="644">
        <v>0</v>
      </c>
      <c r="W206" s="632">
        <v>0</v>
      </c>
      <c r="X206" s="632">
        <v>0</v>
      </c>
    </row>
    <row r="207" spans="1:24" ht="22.5">
      <c r="A207" s="645">
        <v>189</v>
      </c>
      <c r="B207" s="643" t="s">
        <v>1200</v>
      </c>
      <c r="C207" s="645" t="s">
        <v>441</v>
      </c>
      <c r="D207" s="645" t="s">
        <v>1183</v>
      </c>
      <c r="E207" s="645" t="s">
        <v>1184</v>
      </c>
      <c r="F207" s="645" t="s">
        <v>1114</v>
      </c>
      <c r="G207" s="645" t="s">
        <v>1201</v>
      </c>
      <c r="H207" s="644">
        <v>54842000</v>
      </c>
      <c r="I207" s="644">
        <v>0</v>
      </c>
      <c r="J207" s="644">
        <v>0</v>
      </c>
      <c r="K207" s="644">
        <v>0</v>
      </c>
      <c r="L207" s="644">
        <v>0</v>
      </c>
      <c r="M207" s="644">
        <v>26000000</v>
      </c>
      <c r="N207" s="644">
        <v>28842000</v>
      </c>
      <c r="O207" s="644">
        <v>0</v>
      </c>
      <c r="P207" s="644">
        <v>54842000</v>
      </c>
      <c r="Q207" s="644">
        <v>54842000</v>
      </c>
      <c r="R207" s="644">
        <v>0</v>
      </c>
      <c r="S207" s="644">
        <v>0</v>
      </c>
      <c r="T207" s="644">
        <v>0</v>
      </c>
      <c r="U207" s="644">
        <v>0</v>
      </c>
      <c r="V207" s="644">
        <v>0</v>
      </c>
      <c r="W207" s="632">
        <v>0</v>
      </c>
      <c r="X207" s="632">
        <v>0</v>
      </c>
    </row>
    <row r="208" spans="1:24" ht="22.5">
      <c r="A208" s="645">
        <v>190</v>
      </c>
      <c r="B208" s="643" t="s">
        <v>1200</v>
      </c>
      <c r="C208" s="645" t="s">
        <v>441</v>
      </c>
      <c r="D208" s="645" t="s">
        <v>1183</v>
      </c>
      <c r="E208" s="645" t="s">
        <v>1115</v>
      </c>
      <c r="F208" s="645" t="s">
        <v>1114</v>
      </c>
      <c r="G208" s="645" t="s">
        <v>1201</v>
      </c>
      <c r="H208" s="644">
        <v>500000</v>
      </c>
      <c r="I208" s="644">
        <v>0</v>
      </c>
      <c r="J208" s="644">
        <v>0</v>
      </c>
      <c r="K208" s="644">
        <v>0</v>
      </c>
      <c r="L208" s="644">
        <v>0</v>
      </c>
      <c r="M208" s="644">
        <v>500000</v>
      </c>
      <c r="N208" s="644">
        <v>0</v>
      </c>
      <c r="O208" s="644">
        <v>0</v>
      </c>
      <c r="P208" s="644">
        <v>500000</v>
      </c>
      <c r="Q208" s="644">
        <v>500000</v>
      </c>
      <c r="R208" s="644">
        <v>0</v>
      </c>
      <c r="S208" s="644">
        <v>0</v>
      </c>
      <c r="T208" s="644">
        <v>0</v>
      </c>
      <c r="U208" s="644">
        <v>0</v>
      </c>
      <c r="V208" s="644">
        <v>0</v>
      </c>
      <c r="W208" s="632">
        <v>0</v>
      </c>
      <c r="X208" s="632">
        <v>0</v>
      </c>
    </row>
    <row r="209" spans="1:24" ht="22.5">
      <c r="A209" s="645">
        <v>191</v>
      </c>
      <c r="B209" s="643" t="s">
        <v>1202</v>
      </c>
      <c r="C209" s="645" t="s">
        <v>441</v>
      </c>
      <c r="D209" s="645" t="s">
        <v>1183</v>
      </c>
      <c r="E209" s="645" t="s">
        <v>1184</v>
      </c>
      <c r="F209" s="645" t="s">
        <v>1114</v>
      </c>
      <c r="G209" s="645" t="s">
        <v>1203</v>
      </c>
      <c r="H209" s="644">
        <v>58210000</v>
      </c>
      <c r="I209" s="644">
        <v>0</v>
      </c>
      <c r="J209" s="644">
        <v>0</v>
      </c>
      <c r="K209" s="644">
        <v>0</v>
      </c>
      <c r="L209" s="644">
        <v>0</v>
      </c>
      <c r="M209" s="644">
        <v>30700000</v>
      </c>
      <c r="N209" s="644">
        <v>27510000</v>
      </c>
      <c r="O209" s="644">
        <v>0</v>
      </c>
      <c r="P209" s="644">
        <v>46510000</v>
      </c>
      <c r="Q209" s="644">
        <v>46510000</v>
      </c>
      <c r="R209" s="644">
        <v>0</v>
      </c>
      <c r="S209" s="644">
        <v>0</v>
      </c>
      <c r="T209" s="644">
        <v>0</v>
      </c>
      <c r="U209" s="644">
        <v>0</v>
      </c>
      <c r="V209" s="644">
        <v>0</v>
      </c>
      <c r="W209" s="632">
        <v>0</v>
      </c>
      <c r="X209" s="632">
        <v>0</v>
      </c>
    </row>
    <row r="210" spans="1:24" ht="22.5">
      <c r="A210" s="645">
        <v>192</v>
      </c>
      <c r="B210" s="643" t="s">
        <v>1204</v>
      </c>
      <c r="C210" s="645" t="s">
        <v>441</v>
      </c>
      <c r="D210" s="645" t="s">
        <v>1183</v>
      </c>
      <c r="E210" s="645" t="s">
        <v>1184</v>
      </c>
      <c r="F210" s="645" t="s">
        <v>1114</v>
      </c>
      <c r="G210" s="645" t="s">
        <v>1205</v>
      </c>
      <c r="H210" s="644">
        <v>21884000</v>
      </c>
      <c r="I210" s="644">
        <v>0</v>
      </c>
      <c r="J210" s="644">
        <v>0</v>
      </c>
      <c r="K210" s="644">
        <v>0</v>
      </c>
      <c r="L210" s="644">
        <v>0</v>
      </c>
      <c r="M210" s="644">
        <v>7500000</v>
      </c>
      <c r="N210" s="644">
        <v>14384000</v>
      </c>
      <c r="O210" s="644">
        <v>0</v>
      </c>
      <c r="P210" s="644">
        <v>21884000</v>
      </c>
      <c r="Q210" s="644">
        <v>21884000</v>
      </c>
      <c r="R210" s="644">
        <v>0</v>
      </c>
      <c r="S210" s="644">
        <v>0</v>
      </c>
      <c r="T210" s="644">
        <v>0</v>
      </c>
      <c r="U210" s="644">
        <v>0</v>
      </c>
      <c r="V210" s="644">
        <v>0</v>
      </c>
      <c r="W210" s="632">
        <v>0</v>
      </c>
      <c r="X210" s="632">
        <v>56160000</v>
      </c>
    </row>
    <row r="211" spans="1:24" ht="22.5">
      <c r="A211" s="645">
        <v>193</v>
      </c>
      <c r="B211" s="643" t="s">
        <v>1206</v>
      </c>
      <c r="C211" s="645" t="s">
        <v>441</v>
      </c>
      <c r="D211" s="645" t="s">
        <v>1183</v>
      </c>
      <c r="E211" s="645" t="s">
        <v>1184</v>
      </c>
      <c r="F211" s="645" t="s">
        <v>1114</v>
      </c>
      <c r="G211" s="645" t="s">
        <v>1205</v>
      </c>
      <c r="H211" s="644">
        <v>26908000</v>
      </c>
      <c r="I211" s="644">
        <v>0</v>
      </c>
      <c r="J211" s="644">
        <v>0</v>
      </c>
      <c r="K211" s="644">
        <v>0</v>
      </c>
      <c r="L211" s="644">
        <v>0</v>
      </c>
      <c r="M211" s="644">
        <v>5500000</v>
      </c>
      <c r="N211" s="644">
        <v>21408000</v>
      </c>
      <c r="O211" s="644">
        <v>0</v>
      </c>
      <c r="P211" s="644">
        <v>26908000</v>
      </c>
      <c r="Q211" s="644">
        <v>26908000</v>
      </c>
      <c r="R211" s="644">
        <v>0</v>
      </c>
      <c r="S211" s="644">
        <v>0</v>
      </c>
      <c r="T211" s="644">
        <v>0</v>
      </c>
      <c r="U211" s="644">
        <v>0</v>
      </c>
      <c r="V211" s="644">
        <v>0</v>
      </c>
      <c r="W211" s="632">
        <v>0</v>
      </c>
      <c r="X211" s="632">
        <v>0</v>
      </c>
    </row>
    <row r="212" spans="1:24" ht="22.5">
      <c r="A212" s="645">
        <v>194</v>
      </c>
      <c r="B212" s="643" t="s">
        <v>1206</v>
      </c>
      <c r="C212" s="645" t="s">
        <v>441</v>
      </c>
      <c r="D212" s="645" t="s">
        <v>1183</v>
      </c>
      <c r="E212" s="645" t="s">
        <v>1115</v>
      </c>
      <c r="F212" s="645" t="s">
        <v>1114</v>
      </c>
      <c r="G212" s="645" t="s">
        <v>1205</v>
      </c>
      <c r="H212" s="644">
        <v>500000</v>
      </c>
      <c r="I212" s="644">
        <v>0</v>
      </c>
      <c r="J212" s="644">
        <v>0</v>
      </c>
      <c r="K212" s="644">
        <v>0</v>
      </c>
      <c r="L212" s="644">
        <v>0</v>
      </c>
      <c r="M212" s="644">
        <v>500000</v>
      </c>
      <c r="N212" s="644">
        <v>0</v>
      </c>
      <c r="O212" s="644">
        <v>0</v>
      </c>
      <c r="P212" s="644">
        <v>500000</v>
      </c>
      <c r="Q212" s="644">
        <v>500000</v>
      </c>
      <c r="R212" s="644">
        <v>0</v>
      </c>
      <c r="S212" s="644">
        <v>0</v>
      </c>
      <c r="T212" s="644">
        <v>0</v>
      </c>
      <c r="U212" s="644">
        <v>0</v>
      </c>
      <c r="V212" s="644">
        <v>0</v>
      </c>
      <c r="W212" s="632">
        <v>0</v>
      </c>
      <c r="X212" s="632">
        <v>0</v>
      </c>
    </row>
    <row r="213" spans="1:24" ht="22.5">
      <c r="A213" s="645">
        <v>195</v>
      </c>
      <c r="B213" s="643" t="s">
        <v>1207</v>
      </c>
      <c r="C213" s="645" t="s">
        <v>441</v>
      </c>
      <c r="D213" s="645" t="s">
        <v>1183</v>
      </c>
      <c r="E213" s="645" t="s">
        <v>1184</v>
      </c>
      <c r="F213" s="645" t="s">
        <v>1114</v>
      </c>
      <c r="G213" s="645" t="s">
        <v>1208</v>
      </c>
      <c r="H213" s="644">
        <v>16825000</v>
      </c>
      <c r="I213" s="644">
        <v>0</v>
      </c>
      <c r="J213" s="644">
        <v>0</v>
      </c>
      <c r="K213" s="644">
        <v>0</v>
      </c>
      <c r="L213" s="644">
        <v>0</v>
      </c>
      <c r="M213" s="644">
        <v>7500000</v>
      </c>
      <c r="N213" s="644">
        <v>9325000</v>
      </c>
      <c r="O213" s="644">
        <v>0</v>
      </c>
      <c r="P213" s="644">
        <v>16825000</v>
      </c>
      <c r="Q213" s="644">
        <v>16825000</v>
      </c>
      <c r="R213" s="644">
        <v>0</v>
      </c>
      <c r="S213" s="644">
        <v>0</v>
      </c>
      <c r="T213" s="644">
        <v>0</v>
      </c>
      <c r="U213" s="644">
        <v>0</v>
      </c>
      <c r="V213" s="644">
        <v>0</v>
      </c>
      <c r="W213" s="632">
        <v>0</v>
      </c>
      <c r="X213" s="632">
        <v>7700000</v>
      </c>
    </row>
    <row r="214" spans="1:24" ht="22.5">
      <c r="A214" s="645">
        <v>196</v>
      </c>
      <c r="B214" s="643" t="s">
        <v>1207</v>
      </c>
      <c r="C214" s="645" t="s">
        <v>441</v>
      </c>
      <c r="D214" s="645" t="s">
        <v>1183</v>
      </c>
      <c r="E214" s="645" t="s">
        <v>1115</v>
      </c>
      <c r="F214" s="645" t="s">
        <v>1114</v>
      </c>
      <c r="G214" s="645" t="s">
        <v>1208</v>
      </c>
      <c r="H214" s="644">
        <v>500000</v>
      </c>
      <c r="I214" s="644">
        <v>0</v>
      </c>
      <c r="J214" s="644">
        <v>0</v>
      </c>
      <c r="K214" s="644">
        <v>0</v>
      </c>
      <c r="L214" s="644">
        <v>0</v>
      </c>
      <c r="M214" s="644">
        <v>500000</v>
      </c>
      <c r="N214" s="644">
        <v>0</v>
      </c>
      <c r="O214" s="644">
        <v>0</v>
      </c>
      <c r="P214" s="644">
        <v>500000</v>
      </c>
      <c r="Q214" s="644">
        <v>500000</v>
      </c>
      <c r="R214" s="644">
        <v>0</v>
      </c>
      <c r="S214" s="644">
        <v>0</v>
      </c>
      <c r="T214" s="644">
        <v>0</v>
      </c>
      <c r="U214" s="644">
        <v>0</v>
      </c>
      <c r="V214" s="644">
        <v>0</v>
      </c>
      <c r="W214" s="632">
        <v>0</v>
      </c>
      <c r="X214" s="632">
        <v>0</v>
      </c>
    </row>
    <row r="215" spans="1:24" ht="22.5">
      <c r="A215" s="645">
        <v>197</v>
      </c>
      <c r="B215" s="643" t="s">
        <v>1209</v>
      </c>
      <c r="C215" s="645" t="s">
        <v>441</v>
      </c>
      <c r="D215" s="645" t="s">
        <v>1183</v>
      </c>
      <c r="E215" s="645" t="s">
        <v>1184</v>
      </c>
      <c r="F215" s="645" t="s">
        <v>1114</v>
      </c>
      <c r="G215" s="645" t="s">
        <v>1205</v>
      </c>
      <c r="H215" s="644">
        <v>686447000</v>
      </c>
      <c r="I215" s="644">
        <v>0</v>
      </c>
      <c r="J215" s="644">
        <v>0</v>
      </c>
      <c r="K215" s="644">
        <v>0</v>
      </c>
      <c r="L215" s="644">
        <v>0</v>
      </c>
      <c r="M215" s="644">
        <v>650440000</v>
      </c>
      <c r="N215" s="644">
        <v>36007000</v>
      </c>
      <c r="O215" s="644">
        <v>0</v>
      </c>
      <c r="P215" s="644">
        <v>630287000</v>
      </c>
      <c r="Q215" s="644">
        <v>630287000</v>
      </c>
      <c r="R215" s="644">
        <v>0</v>
      </c>
      <c r="S215" s="644">
        <v>0</v>
      </c>
      <c r="T215" s="644">
        <v>0</v>
      </c>
      <c r="U215" s="644">
        <v>0</v>
      </c>
      <c r="V215" s="644">
        <v>0</v>
      </c>
      <c r="W215" s="632">
        <v>0</v>
      </c>
      <c r="X215" s="632">
        <v>0</v>
      </c>
    </row>
    <row r="216" spans="1:24" ht="22.5">
      <c r="A216" s="645">
        <v>198</v>
      </c>
      <c r="B216" s="643" t="s">
        <v>1209</v>
      </c>
      <c r="C216" s="645" t="s">
        <v>441</v>
      </c>
      <c r="D216" s="645" t="s">
        <v>1183</v>
      </c>
      <c r="E216" s="645" t="s">
        <v>1115</v>
      </c>
      <c r="F216" s="645" t="s">
        <v>1114</v>
      </c>
      <c r="G216" s="645" t="s">
        <v>1205</v>
      </c>
      <c r="H216" s="644">
        <v>500000</v>
      </c>
      <c r="I216" s="644">
        <v>0</v>
      </c>
      <c r="J216" s="644">
        <v>0</v>
      </c>
      <c r="K216" s="644">
        <v>0</v>
      </c>
      <c r="L216" s="644">
        <v>0</v>
      </c>
      <c r="M216" s="644">
        <v>500000</v>
      </c>
      <c r="N216" s="644">
        <v>0</v>
      </c>
      <c r="O216" s="644">
        <v>0</v>
      </c>
      <c r="P216" s="644">
        <v>500000</v>
      </c>
      <c r="Q216" s="644">
        <v>500000</v>
      </c>
      <c r="R216" s="644">
        <v>0</v>
      </c>
      <c r="S216" s="644">
        <v>0</v>
      </c>
      <c r="T216" s="644">
        <v>0</v>
      </c>
      <c r="U216" s="644">
        <v>0</v>
      </c>
      <c r="V216" s="644">
        <v>0</v>
      </c>
      <c r="W216" s="632">
        <v>0</v>
      </c>
      <c r="X216" s="632">
        <v>0</v>
      </c>
    </row>
    <row r="217" spans="1:24" ht="22.5">
      <c r="A217" s="645">
        <v>199</v>
      </c>
      <c r="B217" s="643" t="s">
        <v>1210</v>
      </c>
      <c r="C217" s="645" t="s">
        <v>441</v>
      </c>
      <c r="D217" s="645" t="s">
        <v>1183</v>
      </c>
      <c r="E217" s="645" t="s">
        <v>1184</v>
      </c>
      <c r="F217" s="645" t="s">
        <v>1114</v>
      </c>
      <c r="G217" s="645" t="s">
        <v>1208</v>
      </c>
      <c r="H217" s="644">
        <v>20779000</v>
      </c>
      <c r="I217" s="644">
        <v>0</v>
      </c>
      <c r="J217" s="644">
        <v>0</v>
      </c>
      <c r="K217" s="644">
        <v>0</v>
      </c>
      <c r="L217" s="644">
        <v>0</v>
      </c>
      <c r="M217" s="644">
        <v>9000000</v>
      </c>
      <c r="N217" s="644">
        <v>11779000</v>
      </c>
      <c r="O217" s="644">
        <v>0</v>
      </c>
      <c r="P217" s="644">
        <v>13079000</v>
      </c>
      <c r="Q217" s="644">
        <v>13079000</v>
      </c>
      <c r="R217" s="644">
        <v>0</v>
      </c>
      <c r="S217" s="644">
        <v>0</v>
      </c>
      <c r="T217" s="644">
        <v>0</v>
      </c>
      <c r="U217" s="644">
        <v>0</v>
      </c>
      <c r="V217" s="644">
        <v>0</v>
      </c>
      <c r="W217" s="632">
        <v>0</v>
      </c>
      <c r="X217" s="632">
        <v>0</v>
      </c>
    </row>
    <row r="218" spans="1:24" ht="22.5">
      <c r="A218" s="645">
        <v>200</v>
      </c>
      <c r="B218" s="643" t="s">
        <v>1211</v>
      </c>
      <c r="C218" s="645" t="s">
        <v>441</v>
      </c>
      <c r="D218" s="645" t="s">
        <v>1183</v>
      </c>
      <c r="E218" s="645" t="s">
        <v>1184</v>
      </c>
      <c r="F218" s="645" t="s">
        <v>1114</v>
      </c>
      <c r="G218" s="645" t="s">
        <v>1188</v>
      </c>
      <c r="H218" s="644">
        <v>38579000</v>
      </c>
      <c r="I218" s="644">
        <v>0</v>
      </c>
      <c r="J218" s="644">
        <v>0</v>
      </c>
      <c r="K218" s="644">
        <v>0</v>
      </c>
      <c r="L218" s="644">
        <v>0</v>
      </c>
      <c r="M218" s="644">
        <v>16000000</v>
      </c>
      <c r="N218" s="644">
        <v>22579000</v>
      </c>
      <c r="O218" s="644">
        <v>0</v>
      </c>
      <c r="P218" s="644">
        <v>38579000</v>
      </c>
      <c r="Q218" s="644">
        <v>38579000</v>
      </c>
      <c r="R218" s="644">
        <v>0</v>
      </c>
      <c r="S218" s="644">
        <v>0</v>
      </c>
      <c r="T218" s="644">
        <v>0</v>
      </c>
      <c r="U218" s="644">
        <v>0</v>
      </c>
      <c r="V218" s="644">
        <v>0</v>
      </c>
      <c r="W218" s="632">
        <v>0</v>
      </c>
      <c r="X218" s="632">
        <v>0</v>
      </c>
    </row>
    <row r="219" spans="1:24" ht="22.5">
      <c r="A219" s="645">
        <v>201</v>
      </c>
      <c r="B219" s="643" t="s">
        <v>1211</v>
      </c>
      <c r="C219" s="645" t="s">
        <v>441</v>
      </c>
      <c r="D219" s="645" t="s">
        <v>1183</v>
      </c>
      <c r="E219" s="645" t="s">
        <v>1115</v>
      </c>
      <c r="F219" s="645" t="s">
        <v>1114</v>
      </c>
      <c r="G219" s="645" t="s">
        <v>1188</v>
      </c>
      <c r="H219" s="644">
        <v>500000</v>
      </c>
      <c r="I219" s="644">
        <v>0</v>
      </c>
      <c r="J219" s="644">
        <v>0</v>
      </c>
      <c r="K219" s="644">
        <v>0</v>
      </c>
      <c r="L219" s="644">
        <v>0</v>
      </c>
      <c r="M219" s="644">
        <v>500000</v>
      </c>
      <c r="N219" s="644">
        <v>0</v>
      </c>
      <c r="O219" s="644">
        <v>0</v>
      </c>
      <c r="P219" s="644">
        <v>500000</v>
      </c>
      <c r="Q219" s="644">
        <v>500000</v>
      </c>
      <c r="R219" s="644">
        <v>0</v>
      </c>
      <c r="S219" s="644">
        <v>0</v>
      </c>
      <c r="T219" s="644">
        <v>0</v>
      </c>
      <c r="U219" s="644">
        <v>0</v>
      </c>
      <c r="V219" s="644">
        <v>0</v>
      </c>
      <c r="W219" s="632">
        <v>0</v>
      </c>
      <c r="X219" s="632">
        <v>62000</v>
      </c>
    </row>
    <row r="220" spans="1:24" ht="22.5">
      <c r="A220" s="645">
        <v>202</v>
      </c>
      <c r="B220" s="643" t="s">
        <v>1212</v>
      </c>
      <c r="C220" s="645" t="s">
        <v>441</v>
      </c>
      <c r="D220" s="645" t="s">
        <v>1183</v>
      </c>
      <c r="E220" s="645" t="s">
        <v>1184</v>
      </c>
      <c r="F220" s="645" t="s">
        <v>1114</v>
      </c>
      <c r="G220" s="645" t="s">
        <v>777</v>
      </c>
      <c r="H220" s="644">
        <v>16102000</v>
      </c>
      <c r="I220" s="644">
        <v>0</v>
      </c>
      <c r="J220" s="644">
        <v>0</v>
      </c>
      <c r="K220" s="644">
        <v>0</v>
      </c>
      <c r="L220" s="644">
        <v>0</v>
      </c>
      <c r="M220" s="644">
        <v>0</v>
      </c>
      <c r="N220" s="644">
        <v>16102000</v>
      </c>
      <c r="O220" s="644">
        <v>0</v>
      </c>
      <c r="P220" s="644">
        <v>16040000</v>
      </c>
      <c r="Q220" s="644">
        <v>16040000</v>
      </c>
      <c r="R220" s="644">
        <v>0</v>
      </c>
      <c r="S220" s="644">
        <v>0</v>
      </c>
      <c r="T220" s="644">
        <v>0</v>
      </c>
      <c r="U220" s="644">
        <v>0</v>
      </c>
      <c r="V220" s="644">
        <v>0</v>
      </c>
      <c r="W220" s="632">
        <v>0</v>
      </c>
      <c r="X220" s="632">
        <v>0</v>
      </c>
    </row>
    <row r="221" spans="1:24" ht="22.5">
      <c r="A221" s="645">
        <v>203</v>
      </c>
      <c r="B221" s="643" t="s">
        <v>1213</v>
      </c>
      <c r="C221" s="645" t="s">
        <v>441</v>
      </c>
      <c r="D221" s="645" t="s">
        <v>1183</v>
      </c>
      <c r="E221" s="645" t="s">
        <v>1184</v>
      </c>
      <c r="F221" s="645" t="s">
        <v>1114</v>
      </c>
      <c r="G221" s="645" t="s">
        <v>777</v>
      </c>
      <c r="H221" s="644">
        <v>1906697000</v>
      </c>
      <c r="I221" s="644">
        <v>0</v>
      </c>
      <c r="J221" s="644">
        <v>0</v>
      </c>
      <c r="K221" s="644">
        <v>0</v>
      </c>
      <c r="L221" s="644">
        <v>0</v>
      </c>
      <c r="M221" s="644">
        <v>1901500000</v>
      </c>
      <c r="N221" s="644">
        <v>5197000</v>
      </c>
      <c r="O221" s="644">
        <v>0</v>
      </c>
      <c r="P221" s="644">
        <v>1809035318</v>
      </c>
      <c r="Q221" s="644">
        <v>1809035318</v>
      </c>
      <c r="R221" s="644">
        <v>0</v>
      </c>
      <c r="S221" s="644">
        <v>0</v>
      </c>
      <c r="T221" s="644">
        <v>0</v>
      </c>
      <c r="U221" s="644">
        <v>0</v>
      </c>
      <c r="V221" s="644">
        <v>0</v>
      </c>
      <c r="W221" s="632">
        <v>0</v>
      </c>
      <c r="X221" s="632">
        <v>0</v>
      </c>
    </row>
    <row r="222" spans="1:24" ht="22.5">
      <c r="A222" s="645">
        <v>204</v>
      </c>
      <c r="B222" s="643" t="s">
        <v>1214</v>
      </c>
      <c r="C222" s="645" t="s">
        <v>441</v>
      </c>
      <c r="D222" s="645" t="s">
        <v>1183</v>
      </c>
      <c r="E222" s="645" t="s">
        <v>1184</v>
      </c>
      <c r="F222" s="645" t="s">
        <v>1114</v>
      </c>
      <c r="G222" s="645" t="s">
        <v>777</v>
      </c>
      <c r="H222" s="644">
        <v>31190000</v>
      </c>
      <c r="I222" s="644">
        <v>0</v>
      </c>
      <c r="J222" s="644">
        <v>0</v>
      </c>
      <c r="K222" s="644">
        <v>0</v>
      </c>
      <c r="L222" s="644">
        <v>0</v>
      </c>
      <c r="M222" s="644">
        <v>11500000</v>
      </c>
      <c r="N222" s="644">
        <v>19690000</v>
      </c>
      <c r="O222" s="644">
        <v>0</v>
      </c>
      <c r="P222" s="644">
        <v>31190000</v>
      </c>
      <c r="Q222" s="644">
        <v>31190000</v>
      </c>
      <c r="R222" s="644">
        <v>0</v>
      </c>
      <c r="S222" s="644">
        <v>0</v>
      </c>
      <c r="T222" s="644">
        <v>0</v>
      </c>
      <c r="U222" s="644">
        <v>0</v>
      </c>
      <c r="V222" s="644">
        <v>0</v>
      </c>
      <c r="W222" s="632">
        <v>0</v>
      </c>
      <c r="X222" s="632">
        <v>97661682</v>
      </c>
    </row>
    <row r="223" spans="1:24" ht="22.5">
      <c r="A223" s="645">
        <v>205</v>
      </c>
      <c r="B223" s="643" t="s">
        <v>1214</v>
      </c>
      <c r="C223" s="645" t="s">
        <v>441</v>
      </c>
      <c r="D223" s="645" t="s">
        <v>1183</v>
      </c>
      <c r="E223" s="645" t="s">
        <v>1115</v>
      </c>
      <c r="F223" s="645" t="s">
        <v>1114</v>
      </c>
      <c r="G223" s="645" t="s">
        <v>777</v>
      </c>
      <c r="H223" s="644">
        <v>500000</v>
      </c>
      <c r="I223" s="644">
        <v>0</v>
      </c>
      <c r="J223" s="644">
        <v>0</v>
      </c>
      <c r="K223" s="644">
        <v>0</v>
      </c>
      <c r="L223" s="644">
        <v>0</v>
      </c>
      <c r="M223" s="644">
        <v>500000</v>
      </c>
      <c r="N223" s="644">
        <v>0</v>
      </c>
      <c r="O223" s="644">
        <v>0</v>
      </c>
      <c r="P223" s="644">
        <v>500000</v>
      </c>
      <c r="Q223" s="644">
        <v>500000</v>
      </c>
      <c r="R223" s="644">
        <v>0</v>
      </c>
      <c r="S223" s="644">
        <v>0</v>
      </c>
      <c r="T223" s="644">
        <v>0</v>
      </c>
      <c r="U223" s="644">
        <v>0</v>
      </c>
      <c r="V223" s="644">
        <v>0</v>
      </c>
      <c r="W223" s="632">
        <v>0</v>
      </c>
      <c r="X223" s="632">
        <v>0</v>
      </c>
    </row>
    <row r="224" spans="1:24" ht="22.5">
      <c r="A224" s="645">
        <v>206</v>
      </c>
      <c r="B224" s="643" t="s">
        <v>1215</v>
      </c>
      <c r="C224" s="645" t="s">
        <v>441</v>
      </c>
      <c r="D224" s="645" t="s">
        <v>1183</v>
      </c>
      <c r="E224" s="645" t="s">
        <v>1184</v>
      </c>
      <c r="F224" s="645" t="s">
        <v>1114</v>
      </c>
      <c r="G224" s="645" t="s">
        <v>777</v>
      </c>
      <c r="H224" s="644">
        <v>5335000</v>
      </c>
      <c r="I224" s="644">
        <v>0</v>
      </c>
      <c r="J224" s="644">
        <v>0</v>
      </c>
      <c r="K224" s="644">
        <v>0</v>
      </c>
      <c r="L224" s="644">
        <v>0</v>
      </c>
      <c r="M224" s="644">
        <v>1500000</v>
      </c>
      <c r="N224" s="644">
        <v>3835000</v>
      </c>
      <c r="O224" s="644">
        <v>0</v>
      </c>
      <c r="P224" s="644">
        <v>5335000</v>
      </c>
      <c r="Q224" s="644">
        <v>5335000</v>
      </c>
      <c r="R224" s="644">
        <v>0</v>
      </c>
      <c r="S224" s="644">
        <v>0</v>
      </c>
      <c r="T224" s="644">
        <v>0</v>
      </c>
      <c r="U224" s="644">
        <v>0</v>
      </c>
      <c r="V224" s="644">
        <v>0</v>
      </c>
      <c r="W224" s="632">
        <v>0</v>
      </c>
      <c r="X224" s="632">
        <v>0</v>
      </c>
    </row>
    <row r="225" spans="1:24" ht="22.5">
      <c r="A225" s="645">
        <v>207</v>
      </c>
      <c r="B225" s="643" t="s">
        <v>1216</v>
      </c>
      <c r="C225" s="645" t="s">
        <v>441</v>
      </c>
      <c r="D225" s="645" t="s">
        <v>1183</v>
      </c>
      <c r="E225" s="645" t="s">
        <v>1194</v>
      </c>
      <c r="F225" s="645" t="s">
        <v>1114</v>
      </c>
      <c r="G225" s="645" t="s">
        <v>777</v>
      </c>
      <c r="H225" s="644">
        <v>0</v>
      </c>
      <c r="I225" s="644">
        <v>13063272500</v>
      </c>
      <c r="J225" s="644">
        <v>10192506500</v>
      </c>
      <c r="K225" s="644">
        <v>0</v>
      </c>
      <c r="L225" s="644">
        <v>2870766000</v>
      </c>
      <c r="M225" s="644">
        <v>-13063272500</v>
      </c>
      <c r="N225" s="644">
        <v>0</v>
      </c>
      <c r="O225" s="644">
        <v>0</v>
      </c>
      <c r="P225" s="644">
        <v>0</v>
      </c>
      <c r="Q225" s="644">
        <v>0</v>
      </c>
      <c r="R225" s="644">
        <v>0</v>
      </c>
      <c r="S225" s="644">
        <v>0</v>
      </c>
      <c r="T225" s="644">
        <v>0</v>
      </c>
      <c r="U225" s="644">
        <v>0</v>
      </c>
      <c r="V225" s="644">
        <v>0</v>
      </c>
      <c r="W225" s="632">
        <v>0</v>
      </c>
      <c r="X225" s="632">
        <v>0</v>
      </c>
    </row>
    <row r="226" spans="1:24" ht="22.5">
      <c r="A226" s="645">
        <v>208</v>
      </c>
      <c r="B226" s="643" t="s">
        <v>1216</v>
      </c>
      <c r="C226" s="645" t="s">
        <v>441</v>
      </c>
      <c r="D226" s="645" t="s">
        <v>1183</v>
      </c>
      <c r="E226" s="645" t="s">
        <v>1132</v>
      </c>
      <c r="F226" s="645" t="s">
        <v>1114</v>
      </c>
      <c r="G226" s="645" t="s">
        <v>777</v>
      </c>
      <c r="H226" s="644">
        <v>38063272000</v>
      </c>
      <c r="I226" s="644">
        <v>0</v>
      </c>
      <c r="J226" s="644">
        <v>0</v>
      </c>
      <c r="K226" s="644">
        <v>0</v>
      </c>
      <c r="L226" s="644">
        <v>0</v>
      </c>
      <c r="M226" s="644">
        <v>38063272000</v>
      </c>
      <c r="N226" s="644">
        <v>0</v>
      </c>
      <c r="O226" s="644">
        <v>0</v>
      </c>
      <c r="P226" s="644">
        <v>35648382370</v>
      </c>
      <c r="Q226" s="644">
        <v>35648382370</v>
      </c>
      <c r="R226" s="644">
        <v>0</v>
      </c>
      <c r="S226" s="644">
        <v>1513332000</v>
      </c>
      <c r="T226" s="644">
        <f>704332000+U226</f>
        <v>1513332000</v>
      </c>
      <c r="U226" s="644">
        <v>809000000</v>
      </c>
      <c r="V226" s="644">
        <v>0</v>
      </c>
      <c r="W226" s="632">
        <v>0</v>
      </c>
      <c r="X226" s="632">
        <v>0</v>
      </c>
    </row>
    <row r="227" spans="1:24" ht="22.5">
      <c r="A227" s="645">
        <v>209</v>
      </c>
      <c r="B227" s="643" t="s">
        <v>1216</v>
      </c>
      <c r="C227" s="645" t="s">
        <v>441</v>
      </c>
      <c r="D227" s="645" t="s">
        <v>1183</v>
      </c>
      <c r="E227" s="645" t="s">
        <v>905</v>
      </c>
      <c r="F227" s="645" t="s">
        <v>1114</v>
      </c>
      <c r="G227" s="645" t="s">
        <v>777</v>
      </c>
      <c r="H227" s="644">
        <v>418400000</v>
      </c>
      <c r="I227" s="644">
        <v>0</v>
      </c>
      <c r="J227" s="644">
        <v>0</v>
      </c>
      <c r="K227" s="644">
        <v>0</v>
      </c>
      <c r="L227" s="644">
        <v>0</v>
      </c>
      <c r="M227" s="644">
        <v>418400000</v>
      </c>
      <c r="N227" s="644">
        <v>0</v>
      </c>
      <c r="O227" s="644">
        <v>0</v>
      </c>
      <c r="P227" s="644">
        <v>263732500</v>
      </c>
      <c r="Q227" s="644">
        <v>263732500</v>
      </c>
      <c r="R227" s="644">
        <v>0</v>
      </c>
      <c r="S227" s="644">
        <v>13000000</v>
      </c>
      <c r="T227" s="644">
        <v>13000000</v>
      </c>
      <c r="U227" s="644">
        <v>0</v>
      </c>
      <c r="V227" s="644">
        <v>0</v>
      </c>
      <c r="W227" s="632">
        <v>0</v>
      </c>
      <c r="X227" s="632">
        <v>0</v>
      </c>
    </row>
    <row r="228" spans="1:24" ht="22.5">
      <c r="A228" s="645">
        <v>210</v>
      </c>
      <c r="B228" s="643" t="s">
        <v>1216</v>
      </c>
      <c r="C228" s="645" t="s">
        <v>441</v>
      </c>
      <c r="D228" s="645" t="s">
        <v>1183</v>
      </c>
      <c r="E228" s="645" t="s">
        <v>1115</v>
      </c>
      <c r="F228" s="645" t="s">
        <v>1114</v>
      </c>
      <c r="G228" s="645" t="s">
        <v>777</v>
      </c>
      <c r="H228" s="644">
        <v>500000</v>
      </c>
      <c r="I228" s="644">
        <v>0</v>
      </c>
      <c r="J228" s="644">
        <v>0</v>
      </c>
      <c r="K228" s="644">
        <v>0</v>
      </c>
      <c r="L228" s="644">
        <v>0</v>
      </c>
      <c r="M228" s="644">
        <v>500000</v>
      </c>
      <c r="N228" s="644">
        <v>0</v>
      </c>
      <c r="O228" s="644">
        <v>0</v>
      </c>
      <c r="P228" s="644">
        <v>500000</v>
      </c>
      <c r="Q228" s="644">
        <v>500000</v>
      </c>
      <c r="R228" s="644">
        <v>0</v>
      </c>
      <c r="S228" s="644">
        <v>0</v>
      </c>
      <c r="T228" s="644">
        <v>0</v>
      </c>
      <c r="U228" s="644">
        <v>0</v>
      </c>
      <c r="V228" s="644">
        <v>0</v>
      </c>
      <c r="W228" s="632">
        <v>0</v>
      </c>
      <c r="X228" s="632">
        <v>0</v>
      </c>
    </row>
    <row r="229" spans="1:24" ht="22.5">
      <c r="A229" s="645">
        <v>211</v>
      </c>
      <c r="B229" s="643" t="s">
        <v>1216</v>
      </c>
      <c r="C229" s="645" t="s">
        <v>441</v>
      </c>
      <c r="D229" s="645" t="s">
        <v>1183</v>
      </c>
      <c r="E229" s="645" t="s">
        <v>1116</v>
      </c>
      <c r="F229" s="645" t="s">
        <v>1114</v>
      </c>
      <c r="G229" s="645" t="s">
        <v>777</v>
      </c>
      <c r="H229" s="644">
        <v>150000000</v>
      </c>
      <c r="I229" s="644">
        <v>0</v>
      </c>
      <c r="J229" s="644">
        <v>0</v>
      </c>
      <c r="K229" s="644">
        <v>0</v>
      </c>
      <c r="L229" s="644">
        <v>0</v>
      </c>
      <c r="M229" s="644">
        <v>0</v>
      </c>
      <c r="N229" s="644">
        <v>150000000</v>
      </c>
      <c r="O229" s="644">
        <v>0</v>
      </c>
      <c r="P229" s="644">
        <v>150000000</v>
      </c>
      <c r="Q229" s="644">
        <v>150000000</v>
      </c>
      <c r="R229" s="644">
        <v>0</v>
      </c>
      <c r="S229" s="644">
        <v>0</v>
      </c>
      <c r="T229" s="644">
        <v>0</v>
      </c>
      <c r="U229" s="644">
        <v>0</v>
      </c>
      <c r="V229" s="644">
        <v>0</v>
      </c>
      <c r="W229" s="632">
        <v>0</v>
      </c>
      <c r="X229" s="632">
        <v>0</v>
      </c>
    </row>
    <row r="230" spans="1:24">
      <c r="A230" s="645">
        <v>212</v>
      </c>
      <c r="B230" s="643" t="s">
        <v>1217</v>
      </c>
      <c r="C230" s="645" t="s">
        <v>441</v>
      </c>
      <c r="D230" s="645" t="s">
        <v>1183</v>
      </c>
      <c r="E230" s="645" t="s">
        <v>1192</v>
      </c>
      <c r="F230" s="645" t="s">
        <v>1114</v>
      </c>
      <c r="G230" s="645" t="s">
        <v>777</v>
      </c>
      <c r="H230" s="644">
        <v>141648000</v>
      </c>
      <c r="I230" s="644">
        <v>0</v>
      </c>
      <c r="J230" s="644">
        <v>0</v>
      </c>
      <c r="K230" s="644">
        <v>0</v>
      </c>
      <c r="L230" s="644">
        <v>0</v>
      </c>
      <c r="M230" s="644">
        <v>65796000</v>
      </c>
      <c r="N230" s="644">
        <v>75852000</v>
      </c>
      <c r="O230" s="644">
        <v>0</v>
      </c>
      <c r="P230" s="644">
        <v>141648000</v>
      </c>
      <c r="Q230" s="644">
        <v>141648000</v>
      </c>
      <c r="R230" s="644">
        <v>0</v>
      </c>
      <c r="S230" s="644">
        <v>0</v>
      </c>
      <c r="T230" s="644">
        <v>0</v>
      </c>
      <c r="U230" s="644">
        <v>0</v>
      </c>
      <c r="V230" s="644">
        <v>0</v>
      </c>
      <c r="W230" s="632">
        <v>0</v>
      </c>
      <c r="X230" s="632">
        <v>0</v>
      </c>
    </row>
    <row r="231" spans="1:24">
      <c r="A231" s="645">
        <v>213</v>
      </c>
      <c r="B231" s="643" t="s">
        <v>1217</v>
      </c>
      <c r="C231" s="645" t="s">
        <v>441</v>
      </c>
      <c r="D231" s="645" t="s">
        <v>1183</v>
      </c>
      <c r="E231" s="645" t="s">
        <v>904</v>
      </c>
      <c r="F231" s="645" t="s">
        <v>1114</v>
      </c>
      <c r="G231" s="645" t="s">
        <v>777</v>
      </c>
      <c r="H231" s="644">
        <v>1029000000</v>
      </c>
      <c r="I231" s="644">
        <v>0</v>
      </c>
      <c r="J231" s="644">
        <v>0</v>
      </c>
      <c r="K231" s="644">
        <v>0</v>
      </c>
      <c r="L231" s="644">
        <v>0</v>
      </c>
      <c r="M231" s="644">
        <v>1029000000</v>
      </c>
      <c r="N231" s="644">
        <v>0</v>
      </c>
      <c r="O231" s="644">
        <v>0</v>
      </c>
      <c r="P231" s="644">
        <v>945412000</v>
      </c>
      <c r="Q231" s="644">
        <v>945412000</v>
      </c>
      <c r="R231" s="644">
        <v>0</v>
      </c>
      <c r="S231" s="644">
        <v>0</v>
      </c>
      <c r="T231" s="644">
        <v>0</v>
      </c>
      <c r="U231" s="644">
        <v>0</v>
      </c>
      <c r="V231" s="644">
        <v>0</v>
      </c>
      <c r="W231" s="632">
        <v>0</v>
      </c>
      <c r="X231" s="632">
        <v>0</v>
      </c>
    </row>
    <row r="232" spans="1:24">
      <c r="A232" s="645">
        <v>214</v>
      </c>
      <c r="B232" s="643" t="s">
        <v>1217</v>
      </c>
      <c r="C232" s="645" t="s">
        <v>441</v>
      </c>
      <c r="D232" s="645" t="s">
        <v>1183</v>
      </c>
      <c r="E232" s="645" t="s">
        <v>1115</v>
      </c>
      <c r="F232" s="645" t="s">
        <v>1114</v>
      </c>
      <c r="G232" s="645" t="s">
        <v>777</v>
      </c>
      <c r="H232" s="644">
        <v>1000000</v>
      </c>
      <c r="I232" s="644">
        <v>0</v>
      </c>
      <c r="J232" s="644">
        <v>0</v>
      </c>
      <c r="K232" s="644">
        <v>0</v>
      </c>
      <c r="L232" s="644">
        <v>0</v>
      </c>
      <c r="M232" s="644">
        <v>1000000</v>
      </c>
      <c r="N232" s="644">
        <v>0</v>
      </c>
      <c r="O232" s="644">
        <v>0</v>
      </c>
      <c r="P232" s="644">
        <v>1000000</v>
      </c>
      <c r="Q232" s="644">
        <v>1000000</v>
      </c>
      <c r="R232" s="644">
        <v>0</v>
      </c>
      <c r="S232" s="644">
        <v>0</v>
      </c>
      <c r="T232" s="644">
        <v>0</v>
      </c>
      <c r="U232" s="644">
        <v>0</v>
      </c>
      <c r="V232" s="644">
        <v>0</v>
      </c>
      <c r="W232" s="632">
        <v>0</v>
      </c>
      <c r="X232" s="632">
        <v>0</v>
      </c>
    </row>
    <row r="233" spans="1:24" ht="22.5">
      <c r="A233" s="645">
        <v>215</v>
      </c>
      <c r="B233" s="643" t="s">
        <v>1218</v>
      </c>
      <c r="C233" s="645" t="s">
        <v>441</v>
      </c>
      <c r="D233" s="645" t="s">
        <v>1183</v>
      </c>
      <c r="E233" s="645" t="s">
        <v>1184</v>
      </c>
      <c r="F233" s="645" t="s">
        <v>1114</v>
      </c>
      <c r="G233" s="645" t="s">
        <v>1199</v>
      </c>
      <c r="H233" s="644">
        <v>12919000</v>
      </c>
      <c r="I233" s="644">
        <v>0</v>
      </c>
      <c r="J233" s="644">
        <v>0</v>
      </c>
      <c r="K233" s="644">
        <v>0</v>
      </c>
      <c r="L233" s="644">
        <v>0</v>
      </c>
      <c r="M233" s="644">
        <v>5500000</v>
      </c>
      <c r="N233" s="644">
        <v>7419000</v>
      </c>
      <c r="O233" s="644">
        <v>0</v>
      </c>
      <c r="P233" s="644">
        <v>12919000</v>
      </c>
      <c r="Q233" s="644">
        <v>12919000</v>
      </c>
      <c r="R233" s="644">
        <v>0</v>
      </c>
      <c r="S233" s="644">
        <v>0</v>
      </c>
      <c r="T233" s="644">
        <v>0</v>
      </c>
      <c r="U233" s="644">
        <v>0</v>
      </c>
      <c r="V233" s="644">
        <v>0</v>
      </c>
      <c r="W233" s="632">
        <v>0</v>
      </c>
      <c r="X233" s="632">
        <v>0</v>
      </c>
    </row>
    <row r="234" spans="1:24" ht="22.5">
      <c r="A234" s="645">
        <v>216</v>
      </c>
      <c r="B234" s="643" t="s">
        <v>1218</v>
      </c>
      <c r="C234" s="645" t="s">
        <v>441</v>
      </c>
      <c r="D234" s="645" t="s">
        <v>1183</v>
      </c>
      <c r="E234" s="645" t="s">
        <v>1115</v>
      </c>
      <c r="F234" s="645" t="s">
        <v>1114</v>
      </c>
      <c r="G234" s="645" t="s">
        <v>1199</v>
      </c>
      <c r="H234" s="644">
        <v>500000</v>
      </c>
      <c r="I234" s="644">
        <v>0</v>
      </c>
      <c r="J234" s="644">
        <v>0</v>
      </c>
      <c r="K234" s="644">
        <v>0</v>
      </c>
      <c r="L234" s="644">
        <v>0</v>
      </c>
      <c r="M234" s="644">
        <v>500000</v>
      </c>
      <c r="N234" s="644">
        <v>0</v>
      </c>
      <c r="O234" s="644">
        <v>0</v>
      </c>
      <c r="P234" s="644">
        <v>500000</v>
      </c>
      <c r="Q234" s="644">
        <v>500000</v>
      </c>
      <c r="R234" s="644">
        <v>0</v>
      </c>
      <c r="S234" s="644">
        <v>0</v>
      </c>
      <c r="T234" s="644">
        <v>0</v>
      </c>
      <c r="U234" s="644">
        <v>0</v>
      </c>
      <c r="V234" s="644">
        <v>0</v>
      </c>
      <c r="W234" s="632">
        <v>0</v>
      </c>
      <c r="X234" s="632">
        <v>0</v>
      </c>
    </row>
    <row r="235" spans="1:24" ht="22.5">
      <c r="A235" s="645">
        <v>217</v>
      </c>
      <c r="B235" s="643" t="s">
        <v>1219</v>
      </c>
      <c r="C235" s="645" t="s">
        <v>441</v>
      </c>
      <c r="D235" s="645" t="s">
        <v>1183</v>
      </c>
      <c r="E235" s="645" t="s">
        <v>1184</v>
      </c>
      <c r="F235" s="645" t="s">
        <v>1114</v>
      </c>
      <c r="G235" s="645" t="s">
        <v>1205</v>
      </c>
      <c r="H235" s="644">
        <v>28539000</v>
      </c>
      <c r="I235" s="644">
        <v>0</v>
      </c>
      <c r="J235" s="644">
        <v>0</v>
      </c>
      <c r="K235" s="644">
        <v>0</v>
      </c>
      <c r="L235" s="644">
        <v>0</v>
      </c>
      <c r="M235" s="644">
        <v>9000000</v>
      </c>
      <c r="N235" s="644">
        <v>19539000</v>
      </c>
      <c r="O235" s="644">
        <v>0</v>
      </c>
      <c r="P235" s="644">
        <v>28539000</v>
      </c>
      <c r="Q235" s="644">
        <v>28539000</v>
      </c>
      <c r="R235" s="644">
        <v>0</v>
      </c>
      <c r="S235" s="644">
        <v>0</v>
      </c>
      <c r="T235" s="644">
        <v>0</v>
      </c>
      <c r="U235" s="644">
        <v>0</v>
      </c>
      <c r="V235" s="644">
        <v>0</v>
      </c>
      <c r="W235" s="632">
        <v>0</v>
      </c>
      <c r="X235" s="632">
        <v>0</v>
      </c>
    </row>
    <row r="236" spans="1:24" ht="22.5">
      <c r="A236" s="645">
        <v>218</v>
      </c>
      <c r="B236" s="643" t="s">
        <v>1219</v>
      </c>
      <c r="C236" s="645" t="s">
        <v>441</v>
      </c>
      <c r="D236" s="645" t="s">
        <v>1183</v>
      </c>
      <c r="E236" s="645" t="s">
        <v>1115</v>
      </c>
      <c r="F236" s="645" t="s">
        <v>1114</v>
      </c>
      <c r="G236" s="645" t="s">
        <v>1205</v>
      </c>
      <c r="H236" s="644">
        <v>500000</v>
      </c>
      <c r="I236" s="644">
        <v>0</v>
      </c>
      <c r="J236" s="644">
        <v>0</v>
      </c>
      <c r="K236" s="644">
        <v>0</v>
      </c>
      <c r="L236" s="644">
        <v>0</v>
      </c>
      <c r="M236" s="644">
        <v>500000</v>
      </c>
      <c r="N236" s="644">
        <v>0</v>
      </c>
      <c r="O236" s="644">
        <v>0</v>
      </c>
      <c r="P236" s="644">
        <v>500000</v>
      </c>
      <c r="Q236" s="644">
        <v>500000</v>
      </c>
      <c r="R236" s="644">
        <v>0</v>
      </c>
      <c r="S236" s="644">
        <v>0</v>
      </c>
      <c r="T236" s="644">
        <v>0</v>
      </c>
      <c r="U236" s="644">
        <v>0</v>
      </c>
      <c r="V236" s="644">
        <v>0</v>
      </c>
      <c r="W236" s="632">
        <v>0</v>
      </c>
      <c r="X236" s="632">
        <v>901557630</v>
      </c>
    </row>
    <row r="237" spans="1:24" ht="22.5">
      <c r="A237" s="645">
        <v>219</v>
      </c>
      <c r="B237" s="643" t="s">
        <v>1220</v>
      </c>
      <c r="C237" s="645" t="s">
        <v>441</v>
      </c>
      <c r="D237" s="645" t="s">
        <v>1183</v>
      </c>
      <c r="E237" s="645" t="s">
        <v>1184</v>
      </c>
      <c r="F237" s="645" t="s">
        <v>1114</v>
      </c>
      <c r="G237" s="645" t="s">
        <v>1208</v>
      </c>
      <c r="H237" s="644">
        <v>27964000</v>
      </c>
      <c r="I237" s="644">
        <v>0</v>
      </c>
      <c r="J237" s="644">
        <v>0</v>
      </c>
      <c r="K237" s="644">
        <v>0</v>
      </c>
      <c r="L237" s="644">
        <v>0</v>
      </c>
      <c r="M237" s="644">
        <v>15500000</v>
      </c>
      <c r="N237" s="644">
        <v>12464000</v>
      </c>
      <c r="O237" s="644">
        <v>0</v>
      </c>
      <c r="P237" s="644">
        <v>27964000</v>
      </c>
      <c r="Q237" s="644">
        <v>27964000</v>
      </c>
      <c r="R237" s="644">
        <v>0</v>
      </c>
      <c r="S237" s="644">
        <v>0</v>
      </c>
      <c r="T237" s="644">
        <v>0</v>
      </c>
      <c r="U237" s="644">
        <v>0</v>
      </c>
      <c r="V237" s="644">
        <v>0</v>
      </c>
      <c r="W237" s="632">
        <v>0</v>
      </c>
      <c r="X237" s="632">
        <v>141667500</v>
      </c>
    </row>
    <row r="238" spans="1:24" ht="22.5">
      <c r="A238" s="645">
        <v>220</v>
      </c>
      <c r="B238" s="643" t="s">
        <v>1221</v>
      </c>
      <c r="C238" s="645" t="s">
        <v>441</v>
      </c>
      <c r="D238" s="645" t="s">
        <v>1183</v>
      </c>
      <c r="E238" s="645" t="s">
        <v>1184</v>
      </c>
      <c r="F238" s="645" t="s">
        <v>1114</v>
      </c>
      <c r="G238" s="645" t="s">
        <v>1201</v>
      </c>
      <c r="H238" s="644">
        <v>325080000</v>
      </c>
      <c r="I238" s="644">
        <v>0</v>
      </c>
      <c r="J238" s="644">
        <v>0</v>
      </c>
      <c r="K238" s="644">
        <v>0</v>
      </c>
      <c r="L238" s="644">
        <v>0</v>
      </c>
      <c r="M238" s="644">
        <v>285800000</v>
      </c>
      <c r="N238" s="644">
        <v>39280000</v>
      </c>
      <c r="O238" s="644">
        <v>0</v>
      </c>
      <c r="P238" s="644">
        <v>325080000</v>
      </c>
      <c r="Q238" s="644">
        <v>325080000</v>
      </c>
      <c r="R238" s="644">
        <v>0</v>
      </c>
      <c r="S238" s="644">
        <v>0</v>
      </c>
      <c r="T238" s="644">
        <v>0</v>
      </c>
      <c r="U238" s="644">
        <v>0</v>
      </c>
      <c r="V238" s="644">
        <v>0</v>
      </c>
      <c r="W238" s="632">
        <v>0</v>
      </c>
      <c r="X238" s="632">
        <v>0</v>
      </c>
    </row>
    <row r="239" spans="1:24" ht="22.5">
      <c r="A239" s="645">
        <v>221</v>
      </c>
      <c r="B239" s="643" t="s">
        <v>1221</v>
      </c>
      <c r="C239" s="645" t="s">
        <v>441</v>
      </c>
      <c r="D239" s="645" t="s">
        <v>1183</v>
      </c>
      <c r="E239" s="645" t="s">
        <v>1115</v>
      </c>
      <c r="F239" s="645" t="s">
        <v>1114</v>
      </c>
      <c r="G239" s="645" t="s">
        <v>1201</v>
      </c>
      <c r="H239" s="644">
        <v>500000</v>
      </c>
      <c r="I239" s="644">
        <v>0</v>
      </c>
      <c r="J239" s="644">
        <v>0</v>
      </c>
      <c r="K239" s="644">
        <v>0</v>
      </c>
      <c r="L239" s="644">
        <v>0</v>
      </c>
      <c r="M239" s="644">
        <v>500000</v>
      </c>
      <c r="N239" s="644">
        <v>0</v>
      </c>
      <c r="O239" s="644">
        <v>0</v>
      </c>
      <c r="P239" s="644">
        <v>500000</v>
      </c>
      <c r="Q239" s="644">
        <v>500000</v>
      </c>
      <c r="R239" s="644">
        <v>0</v>
      </c>
      <c r="S239" s="644">
        <v>0</v>
      </c>
      <c r="T239" s="644">
        <v>0</v>
      </c>
      <c r="U239" s="644">
        <v>0</v>
      </c>
      <c r="V239" s="644">
        <v>0</v>
      </c>
      <c r="W239" s="632">
        <v>0</v>
      </c>
      <c r="X239" s="632">
        <v>0</v>
      </c>
    </row>
    <row r="240" spans="1:24" ht="22.5">
      <c r="A240" s="645">
        <v>222</v>
      </c>
      <c r="B240" s="643" t="s">
        <v>1222</v>
      </c>
      <c r="C240" s="645" t="s">
        <v>441</v>
      </c>
      <c r="D240" s="645" t="s">
        <v>1183</v>
      </c>
      <c r="E240" s="645" t="s">
        <v>1223</v>
      </c>
      <c r="F240" s="645" t="s">
        <v>1114</v>
      </c>
      <c r="G240" s="645" t="s">
        <v>777</v>
      </c>
      <c r="H240" s="644">
        <v>2458260000</v>
      </c>
      <c r="I240" s="644">
        <v>0</v>
      </c>
      <c r="J240" s="644">
        <v>0</v>
      </c>
      <c r="K240" s="644">
        <v>0</v>
      </c>
      <c r="L240" s="644">
        <v>0</v>
      </c>
      <c r="M240" s="644">
        <v>2458260000</v>
      </c>
      <c r="N240" s="644">
        <v>0</v>
      </c>
      <c r="O240" s="644">
        <v>0</v>
      </c>
      <c r="P240" s="644">
        <v>2458260000</v>
      </c>
      <c r="Q240" s="644">
        <v>2458260000</v>
      </c>
      <c r="R240" s="644">
        <v>0</v>
      </c>
      <c r="S240" s="644">
        <v>0</v>
      </c>
      <c r="T240" s="644">
        <v>0</v>
      </c>
      <c r="U240" s="644">
        <v>0</v>
      </c>
      <c r="V240" s="644">
        <v>0</v>
      </c>
      <c r="W240" s="632">
        <v>0</v>
      </c>
      <c r="X240" s="632">
        <v>0</v>
      </c>
    </row>
    <row r="241" spans="1:24" ht="22.5">
      <c r="A241" s="645">
        <v>223</v>
      </c>
      <c r="B241" s="643" t="s">
        <v>1222</v>
      </c>
      <c r="C241" s="645" t="s">
        <v>441</v>
      </c>
      <c r="D241" s="645" t="s">
        <v>1183</v>
      </c>
      <c r="E241" s="645" t="s">
        <v>1115</v>
      </c>
      <c r="F241" s="645" t="s">
        <v>1114</v>
      </c>
      <c r="G241" s="645" t="s">
        <v>777</v>
      </c>
      <c r="H241" s="644">
        <v>2500000</v>
      </c>
      <c r="I241" s="644">
        <v>0</v>
      </c>
      <c r="J241" s="644">
        <v>0</v>
      </c>
      <c r="K241" s="644">
        <v>0</v>
      </c>
      <c r="L241" s="644">
        <v>0</v>
      </c>
      <c r="M241" s="644">
        <v>2500000</v>
      </c>
      <c r="N241" s="644">
        <v>0</v>
      </c>
      <c r="O241" s="644">
        <v>0</v>
      </c>
      <c r="P241" s="644">
        <v>2500000</v>
      </c>
      <c r="Q241" s="644">
        <v>2500000</v>
      </c>
      <c r="R241" s="644">
        <v>0</v>
      </c>
      <c r="S241" s="644">
        <v>0</v>
      </c>
      <c r="T241" s="644">
        <v>0</v>
      </c>
      <c r="U241" s="644">
        <v>0</v>
      </c>
      <c r="V241" s="644">
        <v>0</v>
      </c>
      <c r="W241" s="632">
        <v>0</v>
      </c>
      <c r="X241" s="632">
        <v>0</v>
      </c>
    </row>
    <row r="242" spans="1:24" ht="22.5">
      <c r="A242" s="645">
        <v>224</v>
      </c>
      <c r="B242" s="643" t="s">
        <v>1224</v>
      </c>
      <c r="C242" s="645" t="s">
        <v>441</v>
      </c>
      <c r="D242" s="645" t="s">
        <v>1183</v>
      </c>
      <c r="E242" s="645" t="s">
        <v>1184</v>
      </c>
      <c r="F242" s="645" t="s">
        <v>1114</v>
      </c>
      <c r="G242" s="645" t="s">
        <v>1186</v>
      </c>
      <c r="H242" s="644">
        <v>5938000</v>
      </c>
      <c r="I242" s="644">
        <v>0</v>
      </c>
      <c r="J242" s="644">
        <v>0</v>
      </c>
      <c r="K242" s="644">
        <v>0</v>
      </c>
      <c r="L242" s="644">
        <v>0</v>
      </c>
      <c r="M242" s="644">
        <v>3000000</v>
      </c>
      <c r="N242" s="644">
        <v>2938000</v>
      </c>
      <c r="O242" s="644">
        <v>0</v>
      </c>
      <c r="P242" s="644">
        <v>5938000</v>
      </c>
      <c r="Q242" s="644">
        <v>5938000</v>
      </c>
      <c r="R242" s="644">
        <v>0</v>
      </c>
      <c r="S242" s="644">
        <v>0</v>
      </c>
      <c r="T242" s="644">
        <v>0</v>
      </c>
      <c r="U242" s="644">
        <v>0</v>
      </c>
      <c r="V242" s="644">
        <v>0</v>
      </c>
      <c r="W242" s="632">
        <v>0</v>
      </c>
      <c r="X242" s="632">
        <v>0</v>
      </c>
    </row>
    <row r="243" spans="1:24" ht="22.5">
      <c r="A243" s="645">
        <v>225</v>
      </c>
      <c r="B243" s="643" t="s">
        <v>1225</v>
      </c>
      <c r="C243" s="645" t="s">
        <v>441</v>
      </c>
      <c r="D243" s="645" t="s">
        <v>1183</v>
      </c>
      <c r="E243" s="645" t="s">
        <v>1184</v>
      </c>
      <c r="F243" s="645" t="s">
        <v>1114</v>
      </c>
      <c r="G243" s="645" t="s">
        <v>1201</v>
      </c>
      <c r="H243" s="644">
        <v>14919000</v>
      </c>
      <c r="I243" s="644">
        <v>0</v>
      </c>
      <c r="J243" s="644">
        <v>0</v>
      </c>
      <c r="K243" s="644">
        <v>0</v>
      </c>
      <c r="L243" s="644">
        <v>0</v>
      </c>
      <c r="M243" s="644">
        <v>5500000</v>
      </c>
      <c r="N243" s="644">
        <v>9419000</v>
      </c>
      <c r="O243" s="644">
        <v>0</v>
      </c>
      <c r="P243" s="644">
        <v>14919000</v>
      </c>
      <c r="Q243" s="644">
        <v>14919000</v>
      </c>
      <c r="R243" s="644">
        <v>0</v>
      </c>
      <c r="S243" s="644">
        <v>0</v>
      </c>
      <c r="T243" s="644">
        <v>0</v>
      </c>
      <c r="U243" s="644">
        <v>0</v>
      </c>
      <c r="V243" s="644">
        <v>0</v>
      </c>
      <c r="W243" s="632">
        <v>0</v>
      </c>
      <c r="X243" s="632">
        <v>0</v>
      </c>
    </row>
    <row r="244" spans="1:24" ht="22.5">
      <c r="A244" s="645">
        <v>226</v>
      </c>
      <c r="B244" s="643" t="s">
        <v>1225</v>
      </c>
      <c r="C244" s="645" t="s">
        <v>441</v>
      </c>
      <c r="D244" s="645" t="s">
        <v>1183</v>
      </c>
      <c r="E244" s="645" t="s">
        <v>1115</v>
      </c>
      <c r="F244" s="645" t="s">
        <v>1114</v>
      </c>
      <c r="G244" s="645" t="s">
        <v>1201</v>
      </c>
      <c r="H244" s="644">
        <v>500000</v>
      </c>
      <c r="I244" s="644">
        <v>0</v>
      </c>
      <c r="J244" s="644">
        <v>0</v>
      </c>
      <c r="K244" s="644">
        <v>0</v>
      </c>
      <c r="L244" s="644">
        <v>0</v>
      </c>
      <c r="M244" s="644">
        <v>500000</v>
      </c>
      <c r="N244" s="644">
        <v>0</v>
      </c>
      <c r="O244" s="644">
        <v>0</v>
      </c>
      <c r="P244" s="644">
        <v>500000</v>
      </c>
      <c r="Q244" s="644">
        <v>500000</v>
      </c>
      <c r="R244" s="644">
        <v>0</v>
      </c>
      <c r="S244" s="644">
        <v>0</v>
      </c>
      <c r="T244" s="644">
        <v>0</v>
      </c>
      <c r="U244" s="644">
        <v>0</v>
      </c>
      <c r="V244" s="644">
        <v>0</v>
      </c>
      <c r="W244" s="632">
        <v>0</v>
      </c>
      <c r="X244" s="632">
        <v>0</v>
      </c>
    </row>
    <row r="245" spans="1:24" ht="22.5">
      <c r="A245" s="645">
        <v>227</v>
      </c>
      <c r="B245" s="643" t="s">
        <v>1226</v>
      </c>
      <c r="C245" s="645" t="s">
        <v>441</v>
      </c>
      <c r="D245" s="645" t="s">
        <v>1183</v>
      </c>
      <c r="E245" s="645" t="s">
        <v>1184</v>
      </c>
      <c r="F245" s="645" t="s">
        <v>1114</v>
      </c>
      <c r="G245" s="645" t="s">
        <v>1205</v>
      </c>
      <c r="H245" s="644">
        <v>31742000</v>
      </c>
      <c r="I245" s="644">
        <v>0</v>
      </c>
      <c r="J245" s="644">
        <v>0</v>
      </c>
      <c r="K245" s="644">
        <v>0</v>
      </c>
      <c r="L245" s="644">
        <v>0</v>
      </c>
      <c r="M245" s="644">
        <v>12000000</v>
      </c>
      <c r="N245" s="644">
        <v>19742000</v>
      </c>
      <c r="O245" s="644">
        <v>0</v>
      </c>
      <c r="P245" s="644">
        <v>31742000</v>
      </c>
      <c r="Q245" s="644">
        <v>31742000</v>
      </c>
      <c r="R245" s="644">
        <v>0</v>
      </c>
      <c r="S245" s="644">
        <v>0</v>
      </c>
      <c r="T245" s="644">
        <v>0</v>
      </c>
      <c r="U245" s="644">
        <v>0</v>
      </c>
      <c r="V245" s="644">
        <v>0</v>
      </c>
      <c r="W245" s="632">
        <v>0</v>
      </c>
      <c r="X245" s="632">
        <v>0</v>
      </c>
    </row>
    <row r="246" spans="1:24" ht="22.5">
      <c r="A246" s="645">
        <v>228</v>
      </c>
      <c r="B246" s="643" t="s">
        <v>1226</v>
      </c>
      <c r="C246" s="645" t="s">
        <v>441</v>
      </c>
      <c r="D246" s="645" t="s">
        <v>1183</v>
      </c>
      <c r="E246" s="645" t="s">
        <v>1115</v>
      </c>
      <c r="F246" s="645" t="s">
        <v>1114</v>
      </c>
      <c r="G246" s="645" t="s">
        <v>1205</v>
      </c>
      <c r="H246" s="644">
        <v>500000</v>
      </c>
      <c r="I246" s="644">
        <v>0</v>
      </c>
      <c r="J246" s="644">
        <v>0</v>
      </c>
      <c r="K246" s="644">
        <v>0</v>
      </c>
      <c r="L246" s="644">
        <v>0</v>
      </c>
      <c r="M246" s="644">
        <v>500000</v>
      </c>
      <c r="N246" s="644">
        <v>0</v>
      </c>
      <c r="O246" s="644">
        <v>0</v>
      </c>
      <c r="P246" s="644">
        <v>500000</v>
      </c>
      <c r="Q246" s="644">
        <v>500000</v>
      </c>
      <c r="R246" s="644">
        <v>0</v>
      </c>
      <c r="S246" s="644">
        <v>0</v>
      </c>
      <c r="T246" s="644">
        <v>0</v>
      </c>
      <c r="U246" s="644">
        <v>0</v>
      </c>
      <c r="V246" s="644">
        <v>0</v>
      </c>
      <c r="W246" s="632">
        <v>0</v>
      </c>
      <c r="X246" s="632">
        <v>0</v>
      </c>
    </row>
    <row r="247" spans="1:24" ht="22.5">
      <c r="A247" s="645">
        <v>229</v>
      </c>
      <c r="B247" s="643" t="s">
        <v>1227</v>
      </c>
      <c r="C247" s="645" t="s">
        <v>441</v>
      </c>
      <c r="D247" s="645" t="s">
        <v>1183</v>
      </c>
      <c r="E247" s="645" t="s">
        <v>1184</v>
      </c>
      <c r="F247" s="645" t="s">
        <v>1114</v>
      </c>
      <c r="G247" s="645" t="s">
        <v>777</v>
      </c>
      <c r="H247" s="644">
        <v>30761000</v>
      </c>
      <c r="I247" s="644">
        <v>0</v>
      </c>
      <c r="J247" s="644">
        <v>0</v>
      </c>
      <c r="K247" s="644">
        <v>0</v>
      </c>
      <c r="L247" s="644">
        <v>0</v>
      </c>
      <c r="M247" s="644">
        <v>12500000</v>
      </c>
      <c r="N247" s="644">
        <v>18261000</v>
      </c>
      <c r="O247" s="644">
        <v>0</v>
      </c>
      <c r="P247" s="644">
        <v>30736000</v>
      </c>
      <c r="Q247" s="644">
        <v>30736000</v>
      </c>
      <c r="R247" s="644">
        <v>0</v>
      </c>
      <c r="S247" s="644">
        <v>0</v>
      </c>
      <c r="T247" s="644">
        <v>0</v>
      </c>
      <c r="U247" s="644">
        <v>0</v>
      </c>
      <c r="V247" s="644">
        <v>0</v>
      </c>
      <c r="W247" s="632">
        <v>0</v>
      </c>
      <c r="X247" s="632">
        <v>0</v>
      </c>
    </row>
    <row r="248" spans="1:24" ht="22.5">
      <c r="A248" s="645">
        <v>230</v>
      </c>
      <c r="B248" s="643" t="s">
        <v>1227</v>
      </c>
      <c r="C248" s="645" t="s">
        <v>441</v>
      </c>
      <c r="D248" s="645" t="s">
        <v>1183</v>
      </c>
      <c r="E248" s="645" t="s">
        <v>1115</v>
      </c>
      <c r="F248" s="645" t="s">
        <v>1114</v>
      </c>
      <c r="G248" s="645" t="s">
        <v>777</v>
      </c>
      <c r="H248" s="644">
        <v>2500000</v>
      </c>
      <c r="I248" s="644">
        <v>0</v>
      </c>
      <c r="J248" s="644">
        <v>0</v>
      </c>
      <c r="K248" s="644">
        <v>0</v>
      </c>
      <c r="L248" s="644">
        <v>0</v>
      </c>
      <c r="M248" s="644">
        <v>2500000</v>
      </c>
      <c r="N248" s="644">
        <v>0</v>
      </c>
      <c r="O248" s="644">
        <v>0</v>
      </c>
      <c r="P248" s="644">
        <v>2500000</v>
      </c>
      <c r="Q248" s="644">
        <v>2500000</v>
      </c>
      <c r="R248" s="644">
        <v>0</v>
      </c>
      <c r="S248" s="644">
        <v>0</v>
      </c>
      <c r="T248" s="644">
        <v>0</v>
      </c>
      <c r="U248" s="644">
        <v>0</v>
      </c>
      <c r="V248" s="644">
        <v>0</v>
      </c>
      <c r="W248" s="632">
        <v>0</v>
      </c>
      <c r="X248" s="632">
        <v>0</v>
      </c>
    </row>
    <row r="249" spans="1:24" ht="22.5">
      <c r="A249" s="645">
        <v>231</v>
      </c>
      <c r="B249" s="643" t="s">
        <v>1228</v>
      </c>
      <c r="C249" s="645" t="s">
        <v>441</v>
      </c>
      <c r="D249" s="645" t="s">
        <v>1183</v>
      </c>
      <c r="E249" s="645" t="s">
        <v>1184</v>
      </c>
      <c r="F249" s="645" t="s">
        <v>1114</v>
      </c>
      <c r="G249" s="645" t="s">
        <v>1205</v>
      </c>
      <c r="H249" s="644">
        <v>3550787000</v>
      </c>
      <c r="I249" s="644">
        <v>0</v>
      </c>
      <c r="J249" s="644">
        <v>0</v>
      </c>
      <c r="K249" s="644">
        <v>0</v>
      </c>
      <c r="L249" s="644">
        <v>0</v>
      </c>
      <c r="M249" s="644">
        <v>3550787000</v>
      </c>
      <c r="N249" s="644">
        <v>0</v>
      </c>
      <c r="O249" s="644">
        <v>0</v>
      </c>
      <c r="P249" s="644">
        <v>2992809884</v>
      </c>
      <c r="Q249" s="644">
        <v>2992809884</v>
      </c>
      <c r="R249" s="644">
        <v>0</v>
      </c>
      <c r="S249" s="644">
        <v>0</v>
      </c>
      <c r="T249" s="644">
        <v>0</v>
      </c>
      <c r="U249" s="644">
        <v>0</v>
      </c>
      <c r="V249" s="644">
        <v>0</v>
      </c>
      <c r="W249" s="632">
        <v>0</v>
      </c>
      <c r="X249" s="632">
        <v>0</v>
      </c>
    </row>
    <row r="250" spans="1:24" ht="22.5">
      <c r="A250" s="645">
        <v>232</v>
      </c>
      <c r="B250" s="643" t="s">
        <v>1228</v>
      </c>
      <c r="C250" s="645" t="s">
        <v>441</v>
      </c>
      <c r="D250" s="645" t="s">
        <v>1183</v>
      </c>
      <c r="E250" s="645" t="s">
        <v>1115</v>
      </c>
      <c r="F250" s="645" t="s">
        <v>1114</v>
      </c>
      <c r="G250" s="645" t="s">
        <v>1205</v>
      </c>
      <c r="H250" s="644">
        <v>500000</v>
      </c>
      <c r="I250" s="644">
        <v>0</v>
      </c>
      <c r="J250" s="644">
        <v>0</v>
      </c>
      <c r="K250" s="644">
        <v>0</v>
      </c>
      <c r="L250" s="644">
        <v>0</v>
      </c>
      <c r="M250" s="644">
        <v>500000</v>
      </c>
      <c r="N250" s="644">
        <v>0</v>
      </c>
      <c r="O250" s="644">
        <v>0</v>
      </c>
      <c r="P250" s="644">
        <v>500000</v>
      </c>
      <c r="Q250" s="644">
        <v>500000</v>
      </c>
      <c r="R250" s="644">
        <v>0</v>
      </c>
      <c r="S250" s="644">
        <v>0</v>
      </c>
      <c r="T250" s="644">
        <v>0</v>
      </c>
      <c r="U250" s="644">
        <v>0</v>
      </c>
      <c r="V250" s="644">
        <v>0</v>
      </c>
      <c r="W250" s="632">
        <v>0</v>
      </c>
      <c r="X250" s="632">
        <v>0</v>
      </c>
    </row>
    <row r="251" spans="1:24" ht="22.5">
      <c r="A251" s="645">
        <v>233</v>
      </c>
      <c r="B251" s="643" t="s">
        <v>1229</v>
      </c>
      <c r="C251" s="645" t="s">
        <v>441</v>
      </c>
      <c r="D251" s="645" t="s">
        <v>1183</v>
      </c>
      <c r="E251" s="645" t="s">
        <v>1184</v>
      </c>
      <c r="F251" s="645" t="s">
        <v>1114</v>
      </c>
      <c r="G251" s="645" t="s">
        <v>1190</v>
      </c>
      <c r="H251" s="644">
        <v>90290000</v>
      </c>
      <c r="I251" s="644">
        <v>0</v>
      </c>
      <c r="J251" s="644">
        <v>0</v>
      </c>
      <c r="K251" s="644">
        <v>0</v>
      </c>
      <c r="L251" s="644">
        <v>0</v>
      </c>
      <c r="M251" s="644">
        <v>70650000</v>
      </c>
      <c r="N251" s="644">
        <v>19640000</v>
      </c>
      <c r="O251" s="644">
        <v>0</v>
      </c>
      <c r="P251" s="644">
        <v>89790000</v>
      </c>
      <c r="Q251" s="644">
        <v>89790000</v>
      </c>
      <c r="R251" s="644">
        <v>0</v>
      </c>
      <c r="S251" s="644">
        <v>0</v>
      </c>
      <c r="T251" s="644">
        <v>0</v>
      </c>
      <c r="U251" s="644">
        <v>0</v>
      </c>
      <c r="V251" s="644">
        <v>0</v>
      </c>
      <c r="W251" s="632">
        <v>0</v>
      </c>
      <c r="X251" s="632">
        <v>10224600</v>
      </c>
    </row>
    <row r="252" spans="1:24" ht="22.5">
      <c r="A252" s="645">
        <v>234</v>
      </c>
      <c r="B252" s="643" t="s">
        <v>1229</v>
      </c>
      <c r="C252" s="645" t="s">
        <v>441</v>
      </c>
      <c r="D252" s="645" t="s">
        <v>1183</v>
      </c>
      <c r="E252" s="645" t="s">
        <v>1115</v>
      </c>
      <c r="F252" s="645" t="s">
        <v>1114</v>
      </c>
      <c r="G252" s="645" t="s">
        <v>1190</v>
      </c>
      <c r="H252" s="644">
        <v>500000</v>
      </c>
      <c r="I252" s="644">
        <v>0</v>
      </c>
      <c r="J252" s="644">
        <v>0</v>
      </c>
      <c r="K252" s="644">
        <v>0</v>
      </c>
      <c r="L252" s="644">
        <v>0</v>
      </c>
      <c r="M252" s="644">
        <v>500000</v>
      </c>
      <c r="N252" s="644">
        <v>0</v>
      </c>
      <c r="O252" s="644">
        <v>0</v>
      </c>
      <c r="P252" s="644">
        <v>500000</v>
      </c>
      <c r="Q252" s="644">
        <v>500000</v>
      </c>
      <c r="R252" s="644">
        <v>0</v>
      </c>
      <c r="S252" s="644">
        <v>0</v>
      </c>
      <c r="T252" s="644">
        <v>0</v>
      </c>
      <c r="U252" s="644">
        <v>0</v>
      </c>
      <c r="V252" s="644">
        <v>0</v>
      </c>
      <c r="W252" s="632">
        <v>0</v>
      </c>
      <c r="X252" s="632">
        <v>5858300</v>
      </c>
    </row>
    <row r="253" spans="1:24" ht="22.5">
      <c r="A253" s="645">
        <v>235</v>
      </c>
      <c r="B253" s="643" t="s">
        <v>1230</v>
      </c>
      <c r="C253" s="645" t="s">
        <v>441</v>
      </c>
      <c r="D253" s="645" t="s">
        <v>1183</v>
      </c>
      <c r="E253" s="645" t="s">
        <v>1184</v>
      </c>
      <c r="F253" s="645" t="s">
        <v>1114</v>
      </c>
      <c r="G253" s="645" t="s">
        <v>1188</v>
      </c>
      <c r="H253" s="644">
        <v>24479000</v>
      </c>
      <c r="I253" s="644">
        <v>0</v>
      </c>
      <c r="J253" s="644">
        <v>0</v>
      </c>
      <c r="K253" s="644">
        <v>0</v>
      </c>
      <c r="L253" s="644">
        <v>0</v>
      </c>
      <c r="M253" s="644">
        <v>10000000</v>
      </c>
      <c r="N253" s="644">
        <v>14479000</v>
      </c>
      <c r="O253" s="644">
        <v>0</v>
      </c>
      <c r="P253" s="644">
        <v>24400000</v>
      </c>
      <c r="Q253" s="644">
        <v>24400000</v>
      </c>
      <c r="R253" s="644">
        <v>0</v>
      </c>
      <c r="S253" s="644">
        <v>0</v>
      </c>
      <c r="T253" s="644">
        <v>0</v>
      </c>
      <c r="U253" s="644">
        <v>0</v>
      </c>
      <c r="V253" s="644">
        <v>0</v>
      </c>
      <c r="W253" s="632">
        <v>0</v>
      </c>
      <c r="X253" s="632">
        <v>0</v>
      </c>
    </row>
    <row r="254" spans="1:24" ht="22.5">
      <c r="A254" s="645">
        <v>236</v>
      </c>
      <c r="B254" s="643" t="s">
        <v>1230</v>
      </c>
      <c r="C254" s="645" t="s">
        <v>441</v>
      </c>
      <c r="D254" s="645" t="s">
        <v>1183</v>
      </c>
      <c r="E254" s="645" t="s">
        <v>1115</v>
      </c>
      <c r="F254" s="645" t="s">
        <v>1114</v>
      </c>
      <c r="G254" s="645" t="s">
        <v>1188</v>
      </c>
      <c r="H254" s="644">
        <v>500000</v>
      </c>
      <c r="I254" s="644">
        <v>0</v>
      </c>
      <c r="J254" s="644">
        <v>0</v>
      </c>
      <c r="K254" s="644">
        <v>0</v>
      </c>
      <c r="L254" s="644">
        <v>0</v>
      </c>
      <c r="M254" s="644">
        <v>500000</v>
      </c>
      <c r="N254" s="644">
        <v>0</v>
      </c>
      <c r="O254" s="644">
        <v>0</v>
      </c>
      <c r="P254" s="644">
        <v>500000</v>
      </c>
      <c r="Q254" s="644">
        <v>500000</v>
      </c>
      <c r="R254" s="644">
        <v>0</v>
      </c>
      <c r="S254" s="644">
        <v>0</v>
      </c>
      <c r="T254" s="644">
        <v>0</v>
      </c>
      <c r="U254" s="644">
        <v>0</v>
      </c>
      <c r="V254" s="644">
        <v>0</v>
      </c>
      <c r="W254" s="632">
        <v>0</v>
      </c>
      <c r="X254" s="632">
        <v>0</v>
      </c>
    </row>
    <row r="255" spans="1:24" ht="22.5">
      <c r="A255" s="645">
        <v>237</v>
      </c>
      <c r="B255" s="643" t="s">
        <v>1231</v>
      </c>
      <c r="C255" s="645" t="s">
        <v>441</v>
      </c>
      <c r="D255" s="645" t="s">
        <v>1183</v>
      </c>
      <c r="E255" s="645" t="s">
        <v>1184</v>
      </c>
      <c r="F255" s="645" t="s">
        <v>1114</v>
      </c>
      <c r="G255" s="645" t="s">
        <v>1199</v>
      </c>
      <c r="H255" s="644">
        <v>7800000</v>
      </c>
      <c r="I255" s="644">
        <v>0</v>
      </c>
      <c r="J255" s="644">
        <v>0</v>
      </c>
      <c r="K255" s="644">
        <v>0</v>
      </c>
      <c r="L255" s="644">
        <v>0</v>
      </c>
      <c r="M255" s="644">
        <v>3000000</v>
      </c>
      <c r="N255" s="644">
        <v>4800000</v>
      </c>
      <c r="O255" s="644">
        <v>0</v>
      </c>
      <c r="P255" s="644">
        <v>7800000</v>
      </c>
      <c r="Q255" s="644">
        <v>7800000</v>
      </c>
      <c r="R255" s="644">
        <v>0</v>
      </c>
      <c r="S255" s="644">
        <v>0</v>
      </c>
      <c r="T255" s="644">
        <v>0</v>
      </c>
      <c r="U255" s="644">
        <v>0</v>
      </c>
      <c r="V255" s="644">
        <v>0</v>
      </c>
      <c r="W255" s="632">
        <v>0</v>
      </c>
      <c r="X255" s="632">
        <v>0</v>
      </c>
    </row>
    <row r="256" spans="1:24" ht="22.5">
      <c r="A256" s="645">
        <v>238</v>
      </c>
      <c r="B256" s="643" t="s">
        <v>1231</v>
      </c>
      <c r="C256" s="645" t="s">
        <v>441</v>
      </c>
      <c r="D256" s="645" t="s">
        <v>1183</v>
      </c>
      <c r="E256" s="645" t="s">
        <v>1115</v>
      </c>
      <c r="F256" s="645" t="s">
        <v>1114</v>
      </c>
      <c r="G256" s="645" t="s">
        <v>1199</v>
      </c>
      <c r="H256" s="644">
        <v>500000</v>
      </c>
      <c r="I256" s="644">
        <v>0</v>
      </c>
      <c r="J256" s="644">
        <v>0</v>
      </c>
      <c r="K256" s="644">
        <v>0</v>
      </c>
      <c r="L256" s="644">
        <v>0</v>
      </c>
      <c r="M256" s="644">
        <v>500000</v>
      </c>
      <c r="N256" s="644">
        <v>0</v>
      </c>
      <c r="O256" s="644">
        <v>0</v>
      </c>
      <c r="P256" s="644">
        <v>500000</v>
      </c>
      <c r="Q256" s="644">
        <v>500000</v>
      </c>
      <c r="R256" s="644">
        <v>0</v>
      </c>
      <c r="S256" s="644">
        <v>0</v>
      </c>
      <c r="T256" s="644">
        <v>0</v>
      </c>
      <c r="U256" s="644">
        <v>0</v>
      </c>
      <c r="V256" s="644">
        <v>0</v>
      </c>
      <c r="W256" s="632">
        <v>0</v>
      </c>
      <c r="X256" s="632">
        <v>0</v>
      </c>
    </row>
    <row r="257" spans="1:24">
      <c r="A257" s="645">
        <v>239</v>
      </c>
      <c r="B257" s="643" t="s">
        <v>1232</v>
      </c>
      <c r="C257" s="645" t="s">
        <v>441</v>
      </c>
      <c r="D257" s="645" t="s">
        <v>1233</v>
      </c>
      <c r="E257" s="645" t="s">
        <v>670</v>
      </c>
      <c r="F257" s="645" t="s">
        <v>1114</v>
      </c>
      <c r="G257" s="645" t="s">
        <v>777</v>
      </c>
      <c r="H257" s="644">
        <v>2023000000</v>
      </c>
      <c r="I257" s="644">
        <v>0</v>
      </c>
      <c r="J257" s="644">
        <v>0</v>
      </c>
      <c r="K257" s="644">
        <v>0</v>
      </c>
      <c r="L257" s="644">
        <v>0</v>
      </c>
      <c r="M257" s="644">
        <v>2023000000</v>
      </c>
      <c r="N257" s="644">
        <v>0</v>
      </c>
      <c r="O257" s="644">
        <v>0</v>
      </c>
      <c r="P257" s="644">
        <v>1250663460</v>
      </c>
      <c r="Q257" s="644">
        <v>1250663460</v>
      </c>
      <c r="R257" s="644">
        <v>0</v>
      </c>
      <c r="S257" s="644">
        <v>0</v>
      </c>
      <c r="T257" s="644">
        <v>0</v>
      </c>
      <c r="U257" s="644">
        <v>0</v>
      </c>
      <c r="V257" s="644">
        <v>0</v>
      </c>
      <c r="W257" s="632">
        <v>0</v>
      </c>
      <c r="X257" s="632">
        <v>83588000</v>
      </c>
    </row>
    <row r="258" spans="1:24">
      <c r="A258" s="645">
        <v>240</v>
      </c>
      <c r="B258" s="643" t="s">
        <v>1232</v>
      </c>
      <c r="C258" s="645" t="s">
        <v>441</v>
      </c>
      <c r="D258" s="645" t="s">
        <v>1233</v>
      </c>
      <c r="E258" s="645" t="s">
        <v>904</v>
      </c>
      <c r="F258" s="645" t="s">
        <v>1114</v>
      </c>
      <c r="G258" s="645" t="s">
        <v>777</v>
      </c>
      <c r="H258" s="644">
        <v>51150000</v>
      </c>
      <c r="I258" s="644">
        <v>0</v>
      </c>
      <c r="J258" s="644">
        <v>0</v>
      </c>
      <c r="K258" s="644">
        <v>0</v>
      </c>
      <c r="L258" s="644">
        <v>0</v>
      </c>
      <c r="M258" s="644">
        <v>51150000</v>
      </c>
      <c r="N258" s="644">
        <v>0</v>
      </c>
      <c r="O258" s="644">
        <v>0</v>
      </c>
      <c r="P258" s="644">
        <v>51051000</v>
      </c>
      <c r="Q258" s="644">
        <v>51051000</v>
      </c>
      <c r="R258" s="644">
        <v>0</v>
      </c>
      <c r="S258" s="644">
        <v>0</v>
      </c>
      <c r="T258" s="644">
        <v>0</v>
      </c>
      <c r="U258" s="644">
        <v>0</v>
      </c>
      <c r="V258" s="644">
        <v>0</v>
      </c>
      <c r="W258" s="632">
        <v>0</v>
      </c>
      <c r="X258" s="632">
        <v>0</v>
      </c>
    </row>
    <row r="259" spans="1:24">
      <c r="A259" s="645">
        <v>241</v>
      </c>
      <c r="B259" s="643" t="s">
        <v>1232</v>
      </c>
      <c r="C259" s="645" t="s">
        <v>441</v>
      </c>
      <c r="D259" s="645" t="s">
        <v>1233</v>
      </c>
      <c r="E259" s="645" t="s">
        <v>1115</v>
      </c>
      <c r="F259" s="645" t="s">
        <v>1114</v>
      </c>
      <c r="G259" s="645" t="s">
        <v>777</v>
      </c>
      <c r="H259" s="644">
        <v>2000000</v>
      </c>
      <c r="I259" s="644">
        <v>0</v>
      </c>
      <c r="J259" s="644">
        <v>0</v>
      </c>
      <c r="K259" s="644">
        <v>0</v>
      </c>
      <c r="L259" s="644">
        <v>0</v>
      </c>
      <c r="M259" s="644">
        <v>2000000</v>
      </c>
      <c r="N259" s="644">
        <v>0</v>
      </c>
      <c r="O259" s="644">
        <v>0</v>
      </c>
      <c r="P259" s="644">
        <v>2000000</v>
      </c>
      <c r="Q259" s="644">
        <v>2000000</v>
      </c>
      <c r="R259" s="644">
        <v>0</v>
      </c>
      <c r="S259" s="644">
        <v>0</v>
      </c>
      <c r="T259" s="644">
        <v>0</v>
      </c>
      <c r="U259" s="644">
        <v>0</v>
      </c>
      <c r="V259" s="644">
        <v>0</v>
      </c>
      <c r="W259" s="632">
        <v>0</v>
      </c>
      <c r="X259" s="632">
        <v>0</v>
      </c>
    </row>
    <row r="260" spans="1:24">
      <c r="A260" s="645">
        <v>242</v>
      </c>
      <c r="B260" s="643" t="s">
        <v>1232</v>
      </c>
      <c r="C260" s="645" t="s">
        <v>441</v>
      </c>
      <c r="D260" s="645" t="s">
        <v>1233</v>
      </c>
      <c r="E260" s="645" t="s">
        <v>670</v>
      </c>
      <c r="F260" s="645" t="s">
        <v>1134</v>
      </c>
      <c r="G260" s="645" t="s">
        <v>777</v>
      </c>
      <c r="H260" s="644">
        <v>1323562000</v>
      </c>
      <c r="I260" s="644">
        <v>0</v>
      </c>
      <c r="J260" s="644">
        <v>0</v>
      </c>
      <c r="K260" s="644">
        <v>0</v>
      </c>
      <c r="L260" s="644">
        <v>0</v>
      </c>
      <c r="M260" s="644">
        <v>1323562000</v>
      </c>
      <c r="N260" s="644">
        <v>0</v>
      </c>
      <c r="O260" s="644">
        <v>0</v>
      </c>
      <c r="P260" s="644">
        <v>629428000</v>
      </c>
      <c r="Q260" s="644">
        <v>629428000</v>
      </c>
      <c r="R260" s="644">
        <v>0</v>
      </c>
      <c r="S260" s="644">
        <v>694134000</v>
      </c>
      <c r="T260" s="644">
        <v>694134000</v>
      </c>
      <c r="U260" s="644">
        <v>0</v>
      </c>
      <c r="V260" s="644">
        <v>0</v>
      </c>
      <c r="W260" s="632">
        <v>0</v>
      </c>
      <c r="X260" s="632">
        <v>0</v>
      </c>
    </row>
    <row r="261" spans="1:24" ht="22.5">
      <c r="A261" s="645">
        <v>243</v>
      </c>
      <c r="B261" s="643" t="s">
        <v>1234</v>
      </c>
      <c r="C261" s="645" t="s">
        <v>441</v>
      </c>
      <c r="D261" s="645" t="s">
        <v>1233</v>
      </c>
      <c r="E261" s="645" t="s">
        <v>904</v>
      </c>
      <c r="F261" s="645" t="s">
        <v>1114</v>
      </c>
      <c r="G261" s="645" t="s">
        <v>1208</v>
      </c>
      <c r="H261" s="644">
        <v>30000000</v>
      </c>
      <c r="I261" s="644">
        <v>0</v>
      </c>
      <c r="J261" s="644">
        <v>0</v>
      </c>
      <c r="K261" s="644">
        <v>0</v>
      </c>
      <c r="L261" s="644">
        <v>0</v>
      </c>
      <c r="M261" s="644">
        <v>30000000</v>
      </c>
      <c r="N261" s="644">
        <v>0</v>
      </c>
      <c r="O261" s="644">
        <v>0</v>
      </c>
      <c r="P261" s="644">
        <v>30000000</v>
      </c>
      <c r="Q261" s="644">
        <v>30000000</v>
      </c>
      <c r="R261" s="644">
        <v>0</v>
      </c>
      <c r="S261" s="644">
        <v>0</v>
      </c>
      <c r="T261" s="644">
        <v>0</v>
      </c>
      <c r="U261" s="644">
        <v>0</v>
      </c>
      <c r="V261" s="644">
        <v>0</v>
      </c>
      <c r="W261" s="632">
        <v>0</v>
      </c>
      <c r="X261" s="632">
        <v>0</v>
      </c>
    </row>
    <row r="262" spans="1:24" ht="22.5">
      <c r="A262" s="645">
        <v>244</v>
      </c>
      <c r="B262" s="643" t="s">
        <v>1234</v>
      </c>
      <c r="C262" s="645" t="s">
        <v>441</v>
      </c>
      <c r="D262" s="645" t="s">
        <v>1233</v>
      </c>
      <c r="E262" s="645" t="s">
        <v>1115</v>
      </c>
      <c r="F262" s="645" t="s">
        <v>1114</v>
      </c>
      <c r="G262" s="645" t="s">
        <v>1208</v>
      </c>
      <c r="H262" s="644">
        <v>42000000</v>
      </c>
      <c r="I262" s="644">
        <v>0</v>
      </c>
      <c r="J262" s="644">
        <v>0</v>
      </c>
      <c r="K262" s="644">
        <v>0</v>
      </c>
      <c r="L262" s="644">
        <v>0</v>
      </c>
      <c r="M262" s="644">
        <v>42000000</v>
      </c>
      <c r="N262" s="644">
        <v>0</v>
      </c>
      <c r="O262" s="644">
        <v>0</v>
      </c>
      <c r="P262" s="644">
        <v>42000000</v>
      </c>
      <c r="Q262" s="644">
        <v>42000000</v>
      </c>
      <c r="R262" s="644">
        <v>0</v>
      </c>
      <c r="S262" s="644">
        <v>0</v>
      </c>
      <c r="T262" s="644">
        <v>0</v>
      </c>
      <c r="U262" s="644">
        <v>0</v>
      </c>
      <c r="V262" s="644">
        <v>0</v>
      </c>
      <c r="W262" s="632">
        <v>0</v>
      </c>
      <c r="X262" s="632">
        <v>251904980</v>
      </c>
    </row>
    <row r="263" spans="1:24" ht="22.5">
      <c r="A263" s="645">
        <v>245</v>
      </c>
      <c r="B263" s="643" t="s">
        <v>1234</v>
      </c>
      <c r="C263" s="645" t="s">
        <v>441</v>
      </c>
      <c r="D263" s="645" t="s">
        <v>1233</v>
      </c>
      <c r="E263" s="645" t="s">
        <v>1116</v>
      </c>
      <c r="F263" s="645" t="s">
        <v>1114</v>
      </c>
      <c r="G263" s="645" t="s">
        <v>1208</v>
      </c>
      <c r="H263" s="644">
        <v>154466000</v>
      </c>
      <c r="I263" s="644">
        <v>0</v>
      </c>
      <c r="J263" s="644">
        <v>0</v>
      </c>
      <c r="K263" s="644">
        <v>0</v>
      </c>
      <c r="L263" s="644">
        <v>0</v>
      </c>
      <c r="M263" s="644">
        <v>0</v>
      </c>
      <c r="N263" s="644">
        <v>154466000</v>
      </c>
      <c r="O263" s="644">
        <v>0</v>
      </c>
      <c r="P263" s="644">
        <v>154466000</v>
      </c>
      <c r="Q263" s="644">
        <v>154466000</v>
      </c>
      <c r="R263" s="644">
        <v>0</v>
      </c>
      <c r="S263" s="644">
        <v>0</v>
      </c>
      <c r="T263" s="644">
        <v>0</v>
      </c>
      <c r="U263" s="644">
        <v>0</v>
      </c>
      <c r="V263" s="644">
        <v>0</v>
      </c>
      <c r="W263" s="632">
        <v>0</v>
      </c>
      <c r="X263" s="632">
        <v>7000000</v>
      </c>
    </row>
    <row r="264" spans="1:24">
      <c r="A264" s="645">
        <v>246</v>
      </c>
      <c r="B264" s="643" t="s">
        <v>1235</v>
      </c>
      <c r="C264" s="645" t="s">
        <v>441</v>
      </c>
      <c r="D264" s="645" t="s">
        <v>1233</v>
      </c>
      <c r="E264" s="645" t="s">
        <v>1115</v>
      </c>
      <c r="F264" s="645" t="s">
        <v>1114</v>
      </c>
      <c r="G264" s="645" t="s">
        <v>777</v>
      </c>
      <c r="H264" s="644">
        <v>2500000</v>
      </c>
      <c r="I264" s="644">
        <v>0</v>
      </c>
      <c r="J264" s="644">
        <v>0</v>
      </c>
      <c r="K264" s="644">
        <v>0</v>
      </c>
      <c r="L264" s="644">
        <v>0</v>
      </c>
      <c r="M264" s="644">
        <v>2500000</v>
      </c>
      <c r="N264" s="644">
        <v>0</v>
      </c>
      <c r="O264" s="644">
        <v>0</v>
      </c>
      <c r="P264" s="644">
        <v>2500000</v>
      </c>
      <c r="Q264" s="644">
        <v>2500000</v>
      </c>
      <c r="R264" s="644">
        <v>0</v>
      </c>
      <c r="S264" s="644">
        <v>0</v>
      </c>
      <c r="T264" s="644">
        <v>0</v>
      </c>
      <c r="U264" s="644">
        <v>0</v>
      </c>
      <c r="V264" s="644">
        <v>0</v>
      </c>
      <c r="W264" s="632">
        <v>0</v>
      </c>
      <c r="X264" s="632">
        <v>5696600</v>
      </c>
    </row>
    <row r="265" spans="1:24" ht="22.5">
      <c r="A265" s="645">
        <v>247</v>
      </c>
      <c r="B265" s="643" t="s">
        <v>1236</v>
      </c>
      <c r="C265" s="645" t="s">
        <v>441</v>
      </c>
      <c r="D265" s="645" t="s">
        <v>1233</v>
      </c>
      <c r="E265" s="645" t="s">
        <v>678</v>
      </c>
      <c r="F265" s="645" t="s">
        <v>1114</v>
      </c>
      <c r="G265" s="645" t="s">
        <v>777</v>
      </c>
      <c r="H265" s="644">
        <v>196000000</v>
      </c>
      <c r="I265" s="644">
        <v>11000000</v>
      </c>
      <c r="J265" s="644">
        <v>11000000</v>
      </c>
      <c r="K265" s="644">
        <v>0</v>
      </c>
      <c r="L265" s="644">
        <v>0</v>
      </c>
      <c r="M265" s="644">
        <v>185000000</v>
      </c>
      <c r="N265" s="644">
        <v>0</v>
      </c>
      <c r="O265" s="644">
        <v>0</v>
      </c>
      <c r="P265" s="644">
        <v>185775400</v>
      </c>
      <c r="Q265" s="644">
        <v>185775400</v>
      </c>
      <c r="R265" s="644">
        <v>0</v>
      </c>
      <c r="S265" s="644">
        <v>0</v>
      </c>
      <c r="T265" s="644">
        <v>0</v>
      </c>
      <c r="U265" s="644">
        <v>0</v>
      </c>
      <c r="V265" s="644">
        <v>0</v>
      </c>
      <c r="W265" s="632">
        <v>0</v>
      </c>
      <c r="X265" s="632">
        <v>0</v>
      </c>
    </row>
    <row r="266" spans="1:24" ht="22.5">
      <c r="A266" s="645">
        <v>248</v>
      </c>
      <c r="B266" s="643" t="s">
        <v>1236</v>
      </c>
      <c r="C266" s="645" t="s">
        <v>441</v>
      </c>
      <c r="D266" s="645" t="s">
        <v>1233</v>
      </c>
      <c r="E266" s="645" t="s">
        <v>904</v>
      </c>
      <c r="F266" s="645" t="s">
        <v>1114</v>
      </c>
      <c r="G266" s="645" t="s">
        <v>777</v>
      </c>
      <c r="H266" s="644">
        <v>115500000</v>
      </c>
      <c r="I266" s="644">
        <v>0</v>
      </c>
      <c r="J266" s="644">
        <v>0</v>
      </c>
      <c r="K266" s="644">
        <v>0</v>
      </c>
      <c r="L266" s="644">
        <v>0</v>
      </c>
      <c r="M266" s="644">
        <v>115500000</v>
      </c>
      <c r="N266" s="644">
        <v>0</v>
      </c>
      <c r="O266" s="644">
        <v>0</v>
      </c>
      <c r="P266" s="644">
        <v>109641700</v>
      </c>
      <c r="Q266" s="644">
        <v>109641700</v>
      </c>
      <c r="R266" s="644">
        <v>0</v>
      </c>
      <c r="S266" s="644">
        <v>0</v>
      </c>
      <c r="T266" s="644">
        <v>0</v>
      </c>
      <c r="U266" s="644">
        <v>0</v>
      </c>
      <c r="V266" s="644">
        <v>0</v>
      </c>
      <c r="W266" s="632">
        <v>0</v>
      </c>
      <c r="X266" s="632">
        <v>0</v>
      </c>
    </row>
    <row r="267" spans="1:24" ht="22.5">
      <c r="A267" s="645">
        <v>249</v>
      </c>
      <c r="B267" s="643" t="s">
        <v>1236</v>
      </c>
      <c r="C267" s="645" t="s">
        <v>441</v>
      </c>
      <c r="D267" s="645" t="s">
        <v>1233</v>
      </c>
      <c r="E267" s="645" t="s">
        <v>1115</v>
      </c>
      <c r="F267" s="645" t="s">
        <v>1114</v>
      </c>
      <c r="G267" s="645" t="s">
        <v>777</v>
      </c>
      <c r="H267" s="644">
        <v>2000000</v>
      </c>
      <c r="I267" s="644">
        <v>0</v>
      </c>
      <c r="J267" s="644">
        <v>0</v>
      </c>
      <c r="K267" s="644">
        <v>0</v>
      </c>
      <c r="L267" s="644">
        <v>0</v>
      </c>
      <c r="M267" s="644">
        <v>2000000</v>
      </c>
      <c r="N267" s="644">
        <v>0</v>
      </c>
      <c r="O267" s="644">
        <v>0</v>
      </c>
      <c r="P267" s="644">
        <v>2000000</v>
      </c>
      <c r="Q267" s="644">
        <v>2000000</v>
      </c>
      <c r="R267" s="644">
        <v>0</v>
      </c>
      <c r="S267" s="644">
        <v>0</v>
      </c>
      <c r="T267" s="644">
        <v>0</v>
      </c>
      <c r="U267" s="644">
        <v>0</v>
      </c>
      <c r="V267" s="644">
        <v>0</v>
      </c>
      <c r="W267" s="632">
        <v>0</v>
      </c>
      <c r="X267" s="632">
        <v>0</v>
      </c>
    </row>
    <row r="268" spans="1:24" ht="22.5">
      <c r="A268" s="645">
        <v>250</v>
      </c>
      <c r="B268" s="643" t="s">
        <v>1237</v>
      </c>
      <c r="C268" s="645" t="s">
        <v>441</v>
      </c>
      <c r="D268" s="645" t="s">
        <v>1233</v>
      </c>
      <c r="E268" s="645" t="s">
        <v>670</v>
      </c>
      <c r="F268" s="645" t="s">
        <v>1114</v>
      </c>
      <c r="G268" s="645" t="s">
        <v>777</v>
      </c>
      <c r="H268" s="644">
        <v>1746000000</v>
      </c>
      <c r="I268" s="644">
        <v>0</v>
      </c>
      <c r="J268" s="644">
        <v>0</v>
      </c>
      <c r="K268" s="644">
        <v>0</v>
      </c>
      <c r="L268" s="644">
        <v>0</v>
      </c>
      <c r="M268" s="644">
        <v>2300000000</v>
      </c>
      <c r="N268" s="644">
        <v>-554000000</v>
      </c>
      <c r="O268" s="644">
        <v>0</v>
      </c>
      <c r="P268" s="644">
        <v>1494095020</v>
      </c>
      <c r="Q268" s="644">
        <v>1494095020</v>
      </c>
      <c r="R268" s="644">
        <v>0</v>
      </c>
      <c r="S268" s="644">
        <v>0</v>
      </c>
      <c r="T268" s="644">
        <v>0</v>
      </c>
      <c r="U268" s="644">
        <v>0</v>
      </c>
      <c r="V268" s="644">
        <v>0</v>
      </c>
      <c r="W268" s="632">
        <v>0</v>
      </c>
      <c r="X268" s="632">
        <v>0</v>
      </c>
    </row>
    <row r="269" spans="1:24" ht="22.5">
      <c r="A269" s="645">
        <v>251</v>
      </c>
      <c r="B269" s="643" t="s">
        <v>1237</v>
      </c>
      <c r="C269" s="645" t="s">
        <v>441</v>
      </c>
      <c r="D269" s="645" t="s">
        <v>1233</v>
      </c>
      <c r="E269" s="645" t="s">
        <v>678</v>
      </c>
      <c r="F269" s="645" t="s">
        <v>1114</v>
      </c>
      <c r="G269" s="645" t="s">
        <v>777</v>
      </c>
      <c r="H269" s="644">
        <v>22000000</v>
      </c>
      <c r="I269" s="644">
        <v>22000000</v>
      </c>
      <c r="J269" s="644">
        <v>22000000</v>
      </c>
      <c r="K269" s="644">
        <v>0</v>
      </c>
      <c r="L269" s="644">
        <v>0</v>
      </c>
      <c r="M269" s="644">
        <v>0</v>
      </c>
      <c r="N269" s="644">
        <v>0</v>
      </c>
      <c r="O269" s="644">
        <v>0</v>
      </c>
      <c r="P269" s="644">
        <v>15000000</v>
      </c>
      <c r="Q269" s="644">
        <v>15000000</v>
      </c>
      <c r="R269" s="644">
        <v>0</v>
      </c>
      <c r="S269" s="644">
        <v>0</v>
      </c>
      <c r="T269" s="644">
        <v>0</v>
      </c>
      <c r="U269" s="644">
        <v>0</v>
      </c>
      <c r="V269" s="644">
        <v>0</v>
      </c>
      <c r="W269" s="632">
        <v>0</v>
      </c>
      <c r="X269" s="632">
        <v>314677400</v>
      </c>
    </row>
    <row r="270" spans="1:24" ht="22.5">
      <c r="A270" s="645">
        <v>252</v>
      </c>
      <c r="B270" s="643" t="s">
        <v>1237</v>
      </c>
      <c r="C270" s="645" t="s">
        <v>441</v>
      </c>
      <c r="D270" s="645" t="s">
        <v>1233</v>
      </c>
      <c r="E270" s="645" t="s">
        <v>904</v>
      </c>
      <c r="F270" s="645" t="s">
        <v>1114</v>
      </c>
      <c r="G270" s="645" t="s">
        <v>777</v>
      </c>
      <c r="H270" s="644">
        <v>125500000</v>
      </c>
      <c r="I270" s="644">
        <v>0</v>
      </c>
      <c r="J270" s="644">
        <v>0</v>
      </c>
      <c r="K270" s="644">
        <v>0</v>
      </c>
      <c r="L270" s="644">
        <v>0</v>
      </c>
      <c r="M270" s="644">
        <v>125500000</v>
      </c>
      <c r="N270" s="644">
        <v>0</v>
      </c>
      <c r="O270" s="644">
        <v>0</v>
      </c>
      <c r="P270" s="644">
        <v>106803400</v>
      </c>
      <c r="Q270" s="644">
        <v>106803400</v>
      </c>
      <c r="R270" s="644">
        <v>0</v>
      </c>
      <c r="S270" s="644">
        <v>13000000</v>
      </c>
      <c r="T270" s="644">
        <v>13000000</v>
      </c>
      <c r="U270" s="644">
        <v>0</v>
      </c>
      <c r="V270" s="644">
        <v>0</v>
      </c>
      <c r="W270" s="632">
        <v>0</v>
      </c>
      <c r="X270" s="632">
        <v>1713303000</v>
      </c>
    </row>
    <row r="271" spans="1:24" ht="22.5">
      <c r="A271" s="645">
        <v>253</v>
      </c>
      <c r="B271" s="643" t="s">
        <v>1237</v>
      </c>
      <c r="C271" s="645" t="s">
        <v>441</v>
      </c>
      <c r="D271" s="645" t="s">
        <v>1233</v>
      </c>
      <c r="E271" s="645" t="s">
        <v>670</v>
      </c>
      <c r="F271" s="645" t="s">
        <v>1134</v>
      </c>
      <c r="G271" s="645" t="s">
        <v>777</v>
      </c>
      <c r="H271" s="644">
        <v>647200000</v>
      </c>
      <c r="I271" s="644">
        <v>0</v>
      </c>
      <c r="J271" s="644">
        <v>0</v>
      </c>
      <c r="K271" s="644">
        <v>0</v>
      </c>
      <c r="L271" s="644">
        <v>0</v>
      </c>
      <c r="M271" s="644">
        <v>647200000</v>
      </c>
      <c r="N271" s="644">
        <v>0</v>
      </c>
      <c r="O271" s="644">
        <v>0</v>
      </c>
      <c r="P271" s="644">
        <v>605695200</v>
      </c>
      <c r="Q271" s="644">
        <v>605695200</v>
      </c>
      <c r="R271" s="644">
        <v>0</v>
      </c>
      <c r="S271" s="644">
        <v>41504800</v>
      </c>
      <c r="T271" s="644">
        <v>0</v>
      </c>
      <c r="U271" s="644">
        <v>0</v>
      </c>
      <c r="V271" s="644">
        <v>0</v>
      </c>
      <c r="W271" s="632">
        <v>41504800</v>
      </c>
      <c r="X271" s="632">
        <v>69491600</v>
      </c>
    </row>
    <row r="272" spans="1:24">
      <c r="A272" s="645">
        <v>254</v>
      </c>
      <c r="B272" s="643" t="s">
        <v>1238</v>
      </c>
      <c r="C272" s="645" t="s">
        <v>441</v>
      </c>
      <c r="D272" s="645" t="s">
        <v>1233</v>
      </c>
      <c r="E272" s="645" t="s">
        <v>641</v>
      </c>
      <c r="F272" s="645" t="s">
        <v>1114</v>
      </c>
      <c r="G272" s="645" t="s">
        <v>777</v>
      </c>
      <c r="H272" s="644">
        <v>200000000</v>
      </c>
      <c r="I272" s="644">
        <v>200000000</v>
      </c>
      <c r="J272" s="644">
        <v>179000000</v>
      </c>
      <c r="K272" s="644">
        <v>0</v>
      </c>
      <c r="L272" s="644">
        <v>21000000</v>
      </c>
      <c r="M272" s="644">
        <v>0</v>
      </c>
      <c r="N272" s="644">
        <v>0</v>
      </c>
      <c r="O272" s="644">
        <v>0</v>
      </c>
      <c r="P272" s="644">
        <v>110878492</v>
      </c>
      <c r="Q272" s="644">
        <v>110878492</v>
      </c>
      <c r="R272" s="644">
        <v>0</v>
      </c>
      <c r="S272" s="644">
        <v>89121508</v>
      </c>
      <c r="T272" s="644">
        <v>0</v>
      </c>
      <c r="U272" s="644">
        <v>0</v>
      </c>
      <c r="V272" s="644">
        <v>0</v>
      </c>
      <c r="W272" s="632">
        <v>89121508</v>
      </c>
      <c r="X272" s="632">
        <v>0</v>
      </c>
    </row>
    <row r="273" spans="1:24">
      <c r="A273" s="645">
        <v>255</v>
      </c>
      <c r="B273" s="643" t="s">
        <v>1238</v>
      </c>
      <c r="C273" s="645" t="s">
        <v>441</v>
      </c>
      <c r="D273" s="645" t="s">
        <v>1233</v>
      </c>
      <c r="E273" s="645" t="s">
        <v>678</v>
      </c>
      <c r="F273" s="645" t="s">
        <v>1114</v>
      </c>
      <c r="G273" s="645" t="s">
        <v>777</v>
      </c>
      <c r="H273" s="644">
        <v>1879000000</v>
      </c>
      <c r="I273" s="644">
        <v>0</v>
      </c>
      <c r="J273" s="644">
        <v>0</v>
      </c>
      <c r="K273" s="644">
        <v>0</v>
      </c>
      <c r="L273" s="644">
        <v>0</v>
      </c>
      <c r="M273" s="644">
        <v>1879000000</v>
      </c>
      <c r="N273" s="644">
        <v>0</v>
      </c>
      <c r="O273" s="644">
        <v>0</v>
      </c>
      <c r="P273" s="644">
        <v>1134080035</v>
      </c>
      <c r="Q273" s="644">
        <v>1134080035</v>
      </c>
      <c r="R273" s="644">
        <v>0</v>
      </c>
      <c r="S273" s="644">
        <v>0</v>
      </c>
      <c r="T273" s="644">
        <v>0</v>
      </c>
      <c r="U273" s="644">
        <v>0</v>
      </c>
      <c r="V273" s="644">
        <v>0</v>
      </c>
      <c r="W273" s="632">
        <v>0</v>
      </c>
      <c r="X273" s="632">
        <v>6820000</v>
      </c>
    </row>
    <row r="274" spans="1:24">
      <c r="A274" s="645">
        <v>256</v>
      </c>
      <c r="B274" s="643" t="s">
        <v>1238</v>
      </c>
      <c r="C274" s="645" t="s">
        <v>441</v>
      </c>
      <c r="D274" s="645" t="s">
        <v>1233</v>
      </c>
      <c r="E274" s="645" t="s">
        <v>900</v>
      </c>
      <c r="F274" s="645" t="s">
        <v>1114</v>
      </c>
      <c r="G274" s="645" t="s">
        <v>777</v>
      </c>
      <c r="H274" s="644">
        <v>200000000</v>
      </c>
      <c r="I274" s="644">
        <v>200000000</v>
      </c>
      <c r="J274" s="644">
        <v>200000000</v>
      </c>
      <c r="K274" s="644">
        <v>0</v>
      </c>
      <c r="L274" s="644">
        <v>0</v>
      </c>
      <c r="M274" s="644">
        <v>0</v>
      </c>
      <c r="N274" s="644">
        <v>0</v>
      </c>
      <c r="O274" s="644">
        <v>0</v>
      </c>
      <c r="P274" s="644">
        <v>0</v>
      </c>
      <c r="Q274" s="644">
        <v>0</v>
      </c>
      <c r="R274" s="644">
        <v>0</v>
      </c>
      <c r="S274" s="644">
        <v>200000000</v>
      </c>
      <c r="T274" s="644">
        <v>200000000</v>
      </c>
      <c r="U274" s="644">
        <v>0</v>
      </c>
      <c r="V274" s="644">
        <v>0</v>
      </c>
      <c r="W274" s="632">
        <v>0</v>
      </c>
      <c r="X274" s="632">
        <v>0</v>
      </c>
    </row>
    <row r="275" spans="1:24">
      <c r="A275" s="645">
        <v>257</v>
      </c>
      <c r="B275" s="643" t="s">
        <v>1238</v>
      </c>
      <c r="C275" s="645" t="s">
        <v>441</v>
      </c>
      <c r="D275" s="645" t="s">
        <v>1233</v>
      </c>
      <c r="E275" s="645" t="s">
        <v>903</v>
      </c>
      <c r="F275" s="645" t="s">
        <v>1114</v>
      </c>
      <c r="G275" s="645" t="s">
        <v>777</v>
      </c>
      <c r="H275" s="644">
        <v>854500654</v>
      </c>
      <c r="I275" s="644">
        <v>120500654</v>
      </c>
      <c r="J275" s="644">
        <v>120500654</v>
      </c>
      <c r="K275" s="644">
        <v>0</v>
      </c>
      <c r="L275" s="644">
        <v>0</v>
      </c>
      <c r="M275" s="644">
        <v>734000000</v>
      </c>
      <c r="N275" s="644">
        <v>0</v>
      </c>
      <c r="O275" s="644">
        <v>0</v>
      </c>
      <c r="P275" s="644">
        <v>783280491</v>
      </c>
      <c r="Q275" s="644">
        <v>783280491</v>
      </c>
      <c r="R275" s="644">
        <v>0</v>
      </c>
      <c r="S275" s="644">
        <v>0</v>
      </c>
      <c r="T275" s="644">
        <v>0</v>
      </c>
      <c r="U275" s="644">
        <v>0</v>
      </c>
      <c r="V275" s="644">
        <v>0</v>
      </c>
      <c r="W275" s="632">
        <v>0</v>
      </c>
      <c r="X275" s="632">
        <v>0</v>
      </c>
    </row>
    <row r="276" spans="1:24">
      <c r="A276" s="645">
        <v>258</v>
      </c>
      <c r="B276" s="643" t="s">
        <v>1238</v>
      </c>
      <c r="C276" s="645" t="s">
        <v>441</v>
      </c>
      <c r="D276" s="645" t="s">
        <v>1233</v>
      </c>
      <c r="E276" s="645" t="s">
        <v>905</v>
      </c>
      <c r="F276" s="645" t="s">
        <v>1114</v>
      </c>
      <c r="G276" s="645" t="s">
        <v>777</v>
      </c>
      <c r="H276" s="644">
        <v>1283360000</v>
      </c>
      <c r="I276" s="644">
        <v>108000000</v>
      </c>
      <c r="J276" s="644">
        <v>108000000</v>
      </c>
      <c r="K276" s="644">
        <v>0</v>
      </c>
      <c r="L276" s="644">
        <v>0</v>
      </c>
      <c r="M276" s="644">
        <v>1175360000</v>
      </c>
      <c r="N276" s="644">
        <v>0</v>
      </c>
      <c r="O276" s="644">
        <v>0</v>
      </c>
      <c r="P276" s="644">
        <v>1047048900</v>
      </c>
      <c r="Q276" s="644">
        <v>1047048900</v>
      </c>
      <c r="R276" s="644">
        <v>0</v>
      </c>
      <c r="S276" s="644">
        <v>12000000</v>
      </c>
      <c r="T276" s="644">
        <v>12000000</v>
      </c>
      <c r="U276" s="644">
        <v>0</v>
      </c>
      <c r="V276" s="644">
        <v>0</v>
      </c>
      <c r="W276" s="632">
        <v>0</v>
      </c>
      <c r="X276" s="632">
        <v>0</v>
      </c>
    </row>
    <row r="277" spans="1:24">
      <c r="A277" s="645">
        <v>259</v>
      </c>
      <c r="B277" s="643" t="s">
        <v>1238</v>
      </c>
      <c r="C277" s="645" t="s">
        <v>441</v>
      </c>
      <c r="D277" s="645" t="s">
        <v>1233</v>
      </c>
      <c r="E277" s="645" t="s">
        <v>1116</v>
      </c>
      <c r="F277" s="645" t="s">
        <v>1114</v>
      </c>
      <c r="G277" s="645" t="s">
        <v>777</v>
      </c>
      <c r="H277" s="644">
        <v>382305000</v>
      </c>
      <c r="I277" s="644">
        <v>0</v>
      </c>
      <c r="J277" s="644">
        <v>0</v>
      </c>
      <c r="K277" s="644">
        <v>0</v>
      </c>
      <c r="L277" s="644">
        <v>0</v>
      </c>
      <c r="M277" s="644">
        <v>0</v>
      </c>
      <c r="N277" s="644">
        <v>382305000</v>
      </c>
      <c r="O277" s="644">
        <v>0</v>
      </c>
      <c r="P277" s="644">
        <v>333556000</v>
      </c>
      <c r="Q277" s="644">
        <v>333556000</v>
      </c>
      <c r="R277" s="644">
        <v>0</v>
      </c>
      <c r="S277" s="644">
        <v>0</v>
      </c>
      <c r="T277" s="644">
        <v>0</v>
      </c>
      <c r="U277" s="644">
        <v>0</v>
      </c>
      <c r="V277" s="644">
        <v>0</v>
      </c>
      <c r="W277" s="632">
        <v>0</v>
      </c>
      <c r="X277" s="632">
        <v>0</v>
      </c>
    </row>
    <row r="278" spans="1:24">
      <c r="A278" s="645">
        <v>260</v>
      </c>
      <c r="B278" s="643" t="s">
        <v>1238</v>
      </c>
      <c r="C278" s="645" t="s">
        <v>441</v>
      </c>
      <c r="D278" s="645" t="s">
        <v>1233</v>
      </c>
      <c r="E278" s="645" t="s">
        <v>678</v>
      </c>
      <c r="F278" s="645" t="s">
        <v>1134</v>
      </c>
      <c r="G278" s="645" t="s">
        <v>777</v>
      </c>
      <c r="H278" s="644">
        <v>20000000</v>
      </c>
      <c r="I278" s="644">
        <v>0</v>
      </c>
      <c r="J278" s="644">
        <v>0</v>
      </c>
      <c r="K278" s="644">
        <v>0</v>
      </c>
      <c r="L278" s="644">
        <v>0</v>
      </c>
      <c r="M278" s="644">
        <v>20000000</v>
      </c>
      <c r="N278" s="644">
        <v>0</v>
      </c>
      <c r="O278" s="644">
        <v>0</v>
      </c>
      <c r="P278" s="644">
        <v>18056387</v>
      </c>
      <c r="Q278" s="644">
        <v>18056387</v>
      </c>
      <c r="R278" s="644">
        <v>0</v>
      </c>
      <c r="S278" s="644">
        <v>1943613</v>
      </c>
      <c r="T278" s="644">
        <v>1943613</v>
      </c>
      <c r="U278" s="644">
        <v>0</v>
      </c>
      <c r="V278" s="644">
        <v>0</v>
      </c>
      <c r="W278" s="632">
        <v>0</v>
      </c>
      <c r="X278" s="632">
        <v>0</v>
      </c>
    </row>
    <row r="279" spans="1:24" ht="22.5">
      <c r="A279" s="645">
        <v>261</v>
      </c>
      <c r="B279" s="643" t="s">
        <v>1239</v>
      </c>
      <c r="C279" s="645" t="s">
        <v>441</v>
      </c>
      <c r="D279" s="645" t="s">
        <v>1233</v>
      </c>
      <c r="E279" s="645" t="s">
        <v>670</v>
      </c>
      <c r="F279" s="645" t="s">
        <v>1114</v>
      </c>
      <c r="G279" s="645" t="s">
        <v>777</v>
      </c>
      <c r="H279" s="644">
        <v>267315700</v>
      </c>
      <c r="I279" s="644">
        <v>33000000</v>
      </c>
      <c r="J279" s="644">
        <v>33000000</v>
      </c>
      <c r="K279" s="644">
        <v>0</v>
      </c>
      <c r="L279" s="644">
        <v>0</v>
      </c>
      <c r="M279" s="644">
        <v>234315700</v>
      </c>
      <c r="N279" s="644">
        <v>0</v>
      </c>
      <c r="O279" s="644">
        <v>0</v>
      </c>
      <c r="P279" s="644">
        <v>261915700</v>
      </c>
      <c r="Q279" s="644">
        <v>261915700</v>
      </c>
      <c r="R279" s="644">
        <v>0</v>
      </c>
      <c r="S279" s="644">
        <v>0</v>
      </c>
      <c r="T279" s="644">
        <v>0</v>
      </c>
      <c r="U279" s="644">
        <v>0</v>
      </c>
      <c r="V279" s="644">
        <v>0</v>
      </c>
      <c r="W279" s="632">
        <v>0</v>
      </c>
      <c r="X279" s="632">
        <v>0</v>
      </c>
    </row>
    <row r="280" spans="1:24" ht="22.5">
      <c r="A280" s="645">
        <v>262</v>
      </c>
      <c r="B280" s="643" t="s">
        <v>1239</v>
      </c>
      <c r="C280" s="645" t="s">
        <v>441</v>
      </c>
      <c r="D280" s="645" t="s">
        <v>1233</v>
      </c>
      <c r="E280" s="645" t="s">
        <v>904</v>
      </c>
      <c r="F280" s="645" t="s">
        <v>1114</v>
      </c>
      <c r="G280" s="645" t="s">
        <v>777</v>
      </c>
      <c r="H280" s="644">
        <v>80000000</v>
      </c>
      <c r="I280" s="644">
        <v>0</v>
      </c>
      <c r="J280" s="644">
        <v>0</v>
      </c>
      <c r="K280" s="644">
        <v>0</v>
      </c>
      <c r="L280" s="644">
        <v>0</v>
      </c>
      <c r="M280" s="644">
        <v>80000000</v>
      </c>
      <c r="N280" s="644">
        <v>0</v>
      </c>
      <c r="O280" s="644">
        <v>0</v>
      </c>
      <c r="P280" s="644">
        <v>80000000</v>
      </c>
      <c r="Q280" s="644">
        <v>80000000</v>
      </c>
      <c r="R280" s="644">
        <v>0</v>
      </c>
      <c r="S280" s="644">
        <v>0</v>
      </c>
      <c r="T280" s="644">
        <v>0</v>
      </c>
      <c r="U280" s="644">
        <v>0</v>
      </c>
      <c r="V280" s="644">
        <v>0</v>
      </c>
      <c r="W280" s="632">
        <v>0</v>
      </c>
      <c r="X280" s="632">
        <v>0</v>
      </c>
    </row>
    <row r="281" spans="1:24" ht="22.5">
      <c r="A281" s="645">
        <v>263</v>
      </c>
      <c r="B281" s="643" t="s">
        <v>1239</v>
      </c>
      <c r="C281" s="645" t="s">
        <v>441</v>
      </c>
      <c r="D281" s="645" t="s">
        <v>1233</v>
      </c>
      <c r="E281" s="645" t="s">
        <v>1115</v>
      </c>
      <c r="F281" s="645" t="s">
        <v>1114</v>
      </c>
      <c r="G281" s="645" t="s">
        <v>777</v>
      </c>
      <c r="H281" s="644">
        <v>2500000</v>
      </c>
      <c r="I281" s="644">
        <v>0</v>
      </c>
      <c r="J281" s="644">
        <v>0</v>
      </c>
      <c r="K281" s="644">
        <v>0</v>
      </c>
      <c r="L281" s="644">
        <v>0</v>
      </c>
      <c r="M281" s="644">
        <v>2500000</v>
      </c>
      <c r="N281" s="644">
        <v>0</v>
      </c>
      <c r="O281" s="644">
        <v>0</v>
      </c>
      <c r="P281" s="644">
        <v>2500000</v>
      </c>
      <c r="Q281" s="644">
        <v>2500000</v>
      </c>
      <c r="R281" s="644">
        <v>0</v>
      </c>
      <c r="S281" s="644">
        <v>0</v>
      </c>
      <c r="T281" s="644">
        <v>0</v>
      </c>
      <c r="U281" s="644">
        <v>0</v>
      </c>
      <c r="V281" s="644">
        <v>0</v>
      </c>
      <c r="W281" s="632">
        <v>0</v>
      </c>
      <c r="X281" s="632">
        <v>23981600</v>
      </c>
    </row>
    <row r="282" spans="1:24" ht="22.5">
      <c r="A282" s="645">
        <v>264</v>
      </c>
      <c r="B282" s="643" t="s">
        <v>1239</v>
      </c>
      <c r="C282" s="645" t="s">
        <v>441</v>
      </c>
      <c r="D282" s="645" t="s">
        <v>1233</v>
      </c>
      <c r="E282" s="645" t="s">
        <v>670</v>
      </c>
      <c r="F282" s="645" t="s">
        <v>1134</v>
      </c>
      <c r="G282" s="645" t="s">
        <v>777</v>
      </c>
      <c r="H282" s="644">
        <v>42100000</v>
      </c>
      <c r="I282" s="644">
        <v>0</v>
      </c>
      <c r="J282" s="644">
        <v>0</v>
      </c>
      <c r="K282" s="644">
        <v>0</v>
      </c>
      <c r="L282" s="644">
        <v>0</v>
      </c>
      <c r="M282" s="644">
        <v>42100000</v>
      </c>
      <c r="N282" s="644">
        <v>0</v>
      </c>
      <c r="O282" s="644">
        <v>0</v>
      </c>
      <c r="P282" s="644">
        <v>42100000</v>
      </c>
      <c r="Q282" s="644">
        <v>42100000</v>
      </c>
      <c r="R282" s="644">
        <v>0</v>
      </c>
      <c r="S282" s="644">
        <v>0</v>
      </c>
      <c r="T282" s="644">
        <v>0</v>
      </c>
      <c r="U282" s="644">
        <v>0</v>
      </c>
      <c r="V282" s="644">
        <v>0</v>
      </c>
      <c r="W282" s="632">
        <v>0</v>
      </c>
      <c r="X282" s="632">
        <v>0</v>
      </c>
    </row>
    <row r="283" spans="1:24" ht="22.5">
      <c r="A283" s="645">
        <v>265</v>
      </c>
      <c r="B283" s="643" t="s">
        <v>1240</v>
      </c>
      <c r="C283" s="645" t="s">
        <v>441</v>
      </c>
      <c r="D283" s="645" t="s">
        <v>1233</v>
      </c>
      <c r="E283" s="645" t="s">
        <v>670</v>
      </c>
      <c r="F283" s="645" t="s">
        <v>1114</v>
      </c>
      <c r="G283" s="645" t="s">
        <v>777</v>
      </c>
      <c r="H283" s="644">
        <v>947300000</v>
      </c>
      <c r="I283" s="644">
        <v>0</v>
      </c>
      <c r="J283" s="644">
        <v>0</v>
      </c>
      <c r="K283" s="644">
        <v>0</v>
      </c>
      <c r="L283" s="644">
        <v>0</v>
      </c>
      <c r="M283" s="644">
        <v>947300000</v>
      </c>
      <c r="N283" s="644">
        <v>0</v>
      </c>
      <c r="O283" s="644">
        <v>0</v>
      </c>
      <c r="P283" s="644">
        <v>814700494</v>
      </c>
      <c r="Q283" s="644">
        <v>814700494</v>
      </c>
      <c r="R283" s="644">
        <v>0</v>
      </c>
      <c r="S283" s="644">
        <v>0</v>
      </c>
      <c r="T283" s="644">
        <v>0</v>
      </c>
      <c r="U283" s="644">
        <v>0</v>
      </c>
      <c r="V283" s="644">
        <v>0</v>
      </c>
      <c r="W283" s="632">
        <v>0</v>
      </c>
      <c r="X283" s="632">
        <v>0</v>
      </c>
    </row>
    <row r="284" spans="1:24" ht="22.5">
      <c r="A284" s="645">
        <v>266</v>
      </c>
      <c r="B284" s="643" t="s">
        <v>1240</v>
      </c>
      <c r="C284" s="645" t="s">
        <v>441</v>
      </c>
      <c r="D284" s="645" t="s">
        <v>1233</v>
      </c>
      <c r="E284" s="645" t="s">
        <v>904</v>
      </c>
      <c r="F284" s="645" t="s">
        <v>1114</v>
      </c>
      <c r="G284" s="645" t="s">
        <v>777</v>
      </c>
      <c r="H284" s="644">
        <v>123200000</v>
      </c>
      <c r="I284" s="644">
        <v>0</v>
      </c>
      <c r="J284" s="644">
        <v>0</v>
      </c>
      <c r="K284" s="644">
        <v>0</v>
      </c>
      <c r="L284" s="644">
        <v>0</v>
      </c>
      <c r="M284" s="644">
        <v>123200000</v>
      </c>
      <c r="N284" s="644">
        <v>0</v>
      </c>
      <c r="O284" s="644">
        <v>0</v>
      </c>
      <c r="P284" s="644">
        <v>104717000</v>
      </c>
      <c r="Q284" s="644">
        <v>104717000</v>
      </c>
      <c r="R284" s="644">
        <v>0</v>
      </c>
      <c r="S284" s="644">
        <v>0</v>
      </c>
      <c r="T284" s="644">
        <v>0</v>
      </c>
      <c r="U284" s="644">
        <v>0</v>
      </c>
      <c r="V284" s="644">
        <v>0</v>
      </c>
      <c r="W284" s="632">
        <v>0</v>
      </c>
      <c r="X284" s="632">
        <v>0</v>
      </c>
    </row>
    <row r="285" spans="1:24" ht="22.5">
      <c r="A285" s="645">
        <v>267</v>
      </c>
      <c r="B285" s="643" t="s">
        <v>1240</v>
      </c>
      <c r="C285" s="645" t="s">
        <v>441</v>
      </c>
      <c r="D285" s="645" t="s">
        <v>1233</v>
      </c>
      <c r="E285" s="645" t="s">
        <v>1115</v>
      </c>
      <c r="F285" s="645" t="s">
        <v>1114</v>
      </c>
      <c r="G285" s="645" t="s">
        <v>777</v>
      </c>
      <c r="H285" s="644">
        <v>2000000</v>
      </c>
      <c r="I285" s="644">
        <v>0</v>
      </c>
      <c r="J285" s="644">
        <v>0</v>
      </c>
      <c r="K285" s="644">
        <v>0</v>
      </c>
      <c r="L285" s="644">
        <v>0</v>
      </c>
      <c r="M285" s="644">
        <v>2000000</v>
      </c>
      <c r="N285" s="644">
        <v>0</v>
      </c>
      <c r="O285" s="644">
        <v>0</v>
      </c>
      <c r="P285" s="644">
        <v>2000000</v>
      </c>
      <c r="Q285" s="644">
        <v>2000000</v>
      </c>
      <c r="R285" s="644">
        <v>0</v>
      </c>
      <c r="S285" s="644">
        <v>0</v>
      </c>
      <c r="T285" s="644">
        <v>0</v>
      </c>
      <c r="U285" s="644">
        <v>0</v>
      </c>
      <c r="V285" s="644">
        <v>0</v>
      </c>
      <c r="W285" s="632">
        <v>0</v>
      </c>
      <c r="X285" s="632">
        <v>3196600</v>
      </c>
    </row>
    <row r="286" spans="1:24" ht="22.5">
      <c r="A286" s="645">
        <v>268</v>
      </c>
      <c r="B286" s="643" t="s">
        <v>1240</v>
      </c>
      <c r="C286" s="645" t="s">
        <v>441</v>
      </c>
      <c r="D286" s="645" t="s">
        <v>1233</v>
      </c>
      <c r="E286" s="645" t="s">
        <v>670</v>
      </c>
      <c r="F286" s="645" t="s">
        <v>1134</v>
      </c>
      <c r="G286" s="645" t="s">
        <v>777</v>
      </c>
      <c r="H286" s="644">
        <v>1290162000</v>
      </c>
      <c r="I286" s="644">
        <v>0</v>
      </c>
      <c r="J286" s="644">
        <v>0</v>
      </c>
      <c r="K286" s="644">
        <v>0</v>
      </c>
      <c r="L286" s="644">
        <v>0</v>
      </c>
      <c r="M286" s="644">
        <v>1290162000</v>
      </c>
      <c r="N286" s="644">
        <v>0</v>
      </c>
      <c r="O286" s="644">
        <v>0</v>
      </c>
      <c r="P286" s="644">
        <v>1271475958</v>
      </c>
      <c r="Q286" s="644">
        <v>1271475958</v>
      </c>
      <c r="R286" s="644">
        <v>0</v>
      </c>
      <c r="S286" s="644">
        <v>18686042</v>
      </c>
      <c r="T286" s="644">
        <v>0</v>
      </c>
      <c r="U286" s="644">
        <v>0</v>
      </c>
      <c r="V286" s="644">
        <v>0</v>
      </c>
      <c r="W286" s="632">
        <v>18686042</v>
      </c>
      <c r="X286" s="632">
        <v>0</v>
      </c>
    </row>
    <row r="287" spans="1:24" ht="22.5">
      <c r="A287" s="645">
        <v>269</v>
      </c>
      <c r="B287" s="643" t="s">
        <v>1241</v>
      </c>
      <c r="C287" s="645" t="s">
        <v>441</v>
      </c>
      <c r="D287" s="645" t="s">
        <v>1233</v>
      </c>
      <c r="E287" s="645" t="s">
        <v>670</v>
      </c>
      <c r="F287" s="645" t="s">
        <v>1114</v>
      </c>
      <c r="G287" s="645" t="s">
        <v>777</v>
      </c>
      <c r="H287" s="644">
        <v>3349120100</v>
      </c>
      <c r="I287" s="644">
        <v>0</v>
      </c>
      <c r="J287" s="644">
        <v>0</v>
      </c>
      <c r="K287" s="644">
        <v>0</v>
      </c>
      <c r="L287" s="644">
        <v>0</v>
      </c>
      <c r="M287" s="644">
        <v>3349120100</v>
      </c>
      <c r="N287" s="644">
        <v>0</v>
      </c>
      <c r="O287" s="644">
        <v>0</v>
      </c>
      <c r="P287" s="644">
        <v>2914827000</v>
      </c>
      <c r="Q287" s="644">
        <v>2914827000</v>
      </c>
      <c r="R287" s="644">
        <v>0</v>
      </c>
      <c r="S287" s="644">
        <v>0</v>
      </c>
      <c r="T287" s="644">
        <v>0</v>
      </c>
      <c r="U287" s="644">
        <v>0</v>
      </c>
      <c r="V287" s="644">
        <v>0</v>
      </c>
      <c r="W287" s="632">
        <v>0</v>
      </c>
      <c r="X287" s="632">
        <v>0</v>
      </c>
    </row>
    <row r="288" spans="1:24" ht="22.5">
      <c r="A288" s="645">
        <v>270</v>
      </c>
      <c r="B288" s="643" t="s">
        <v>1241</v>
      </c>
      <c r="C288" s="645" t="s">
        <v>441</v>
      </c>
      <c r="D288" s="645" t="s">
        <v>1233</v>
      </c>
      <c r="E288" s="645" t="s">
        <v>904</v>
      </c>
      <c r="F288" s="645" t="s">
        <v>1114</v>
      </c>
      <c r="G288" s="645" t="s">
        <v>777</v>
      </c>
      <c r="H288" s="644">
        <v>790000000</v>
      </c>
      <c r="I288" s="644">
        <v>0</v>
      </c>
      <c r="J288" s="644">
        <v>0</v>
      </c>
      <c r="K288" s="644">
        <v>0</v>
      </c>
      <c r="L288" s="644">
        <v>0</v>
      </c>
      <c r="M288" s="644">
        <v>790000000</v>
      </c>
      <c r="N288" s="644">
        <v>0</v>
      </c>
      <c r="O288" s="644">
        <v>0</v>
      </c>
      <c r="P288" s="644">
        <v>774321800</v>
      </c>
      <c r="Q288" s="644">
        <v>774321800</v>
      </c>
      <c r="R288" s="644">
        <v>0</v>
      </c>
      <c r="S288" s="644">
        <v>0</v>
      </c>
      <c r="T288" s="644">
        <v>0</v>
      </c>
      <c r="U288" s="644">
        <v>0</v>
      </c>
      <c r="V288" s="644">
        <v>0</v>
      </c>
      <c r="W288" s="632">
        <v>0</v>
      </c>
      <c r="X288" s="632">
        <v>0</v>
      </c>
    </row>
    <row r="289" spans="1:24" ht="22.5">
      <c r="A289" s="645">
        <v>271</v>
      </c>
      <c r="B289" s="643" t="s">
        <v>1241</v>
      </c>
      <c r="C289" s="645" t="s">
        <v>441</v>
      </c>
      <c r="D289" s="645" t="s">
        <v>1233</v>
      </c>
      <c r="E289" s="645" t="s">
        <v>1115</v>
      </c>
      <c r="F289" s="645" t="s">
        <v>1114</v>
      </c>
      <c r="G289" s="645" t="s">
        <v>777</v>
      </c>
      <c r="H289" s="644">
        <v>4500000</v>
      </c>
      <c r="I289" s="644">
        <v>0</v>
      </c>
      <c r="J289" s="644">
        <v>0</v>
      </c>
      <c r="K289" s="644">
        <v>0</v>
      </c>
      <c r="L289" s="644">
        <v>0</v>
      </c>
      <c r="M289" s="644">
        <v>4500000</v>
      </c>
      <c r="N289" s="644">
        <v>0</v>
      </c>
      <c r="O289" s="644">
        <v>0</v>
      </c>
      <c r="P289" s="644">
        <v>4500000</v>
      </c>
      <c r="Q289" s="644">
        <v>4500000</v>
      </c>
      <c r="R289" s="644">
        <v>0</v>
      </c>
      <c r="S289" s="644">
        <v>0</v>
      </c>
      <c r="T289" s="644">
        <v>0</v>
      </c>
      <c r="U289" s="644">
        <v>0</v>
      </c>
      <c r="V289" s="644">
        <v>0</v>
      </c>
      <c r="W289" s="632">
        <v>0</v>
      </c>
      <c r="X289" s="632">
        <v>0</v>
      </c>
    </row>
    <row r="290" spans="1:24" ht="22.5">
      <c r="A290" s="645">
        <v>272</v>
      </c>
      <c r="B290" s="643" t="s">
        <v>1241</v>
      </c>
      <c r="C290" s="645" t="s">
        <v>441</v>
      </c>
      <c r="D290" s="645" t="s">
        <v>1233</v>
      </c>
      <c r="E290" s="645" t="s">
        <v>670</v>
      </c>
      <c r="F290" s="645" t="s">
        <v>1134</v>
      </c>
      <c r="G290" s="645" t="s">
        <v>777</v>
      </c>
      <c r="H290" s="644">
        <v>1215800000</v>
      </c>
      <c r="I290" s="644">
        <v>0</v>
      </c>
      <c r="J290" s="644">
        <v>0</v>
      </c>
      <c r="K290" s="644">
        <v>0</v>
      </c>
      <c r="L290" s="644">
        <v>0</v>
      </c>
      <c r="M290" s="644">
        <v>1215800000</v>
      </c>
      <c r="N290" s="644">
        <v>0</v>
      </c>
      <c r="O290" s="644">
        <v>0</v>
      </c>
      <c r="P290" s="644">
        <v>776170000</v>
      </c>
      <c r="Q290" s="644">
        <v>776170000</v>
      </c>
      <c r="R290" s="644">
        <v>0</v>
      </c>
      <c r="S290" s="644">
        <v>439630000</v>
      </c>
      <c r="T290" s="644">
        <v>439630000</v>
      </c>
      <c r="U290" s="644">
        <v>0</v>
      </c>
      <c r="V290" s="644">
        <v>0</v>
      </c>
      <c r="W290" s="632">
        <v>0</v>
      </c>
      <c r="X290" s="632">
        <v>0</v>
      </c>
    </row>
    <row r="291" spans="1:24">
      <c r="A291" s="645">
        <v>273</v>
      </c>
      <c r="B291" s="643" t="s">
        <v>1242</v>
      </c>
      <c r="C291" s="645" t="s">
        <v>441</v>
      </c>
      <c r="D291" s="645" t="s">
        <v>1233</v>
      </c>
      <c r="E291" s="645" t="s">
        <v>671</v>
      </c>
      <c r="F291" s="645" t="s">
        <v>1114</v>
      </c>
      <c r="G291" s="645" t="s">
        <v>777</v>
      </c>
      <c r="H291" s="644">
        <v>22588000000</v>
      </c>
      <c r="I291" s="644">
        <v>1000000000</v>
      </c>
      <c r="J291" s="644">
        <v>590314150</v>
      </c>
      <c r="K291" s="644">
        <v>0</v>
      </c>
      <c r="L291" s="644">
        <v>409685850</v>
      </c>
      <c r="M291" s="644">
        <v>21588000000</v>
      </c>
      <c r="N291" s="644">
        <v>0</v>
      </c>
      <c r="O291" s="644">
        <v>0</v>
      </c>
      <c r="P291" s="644">
        <v>1230331099</v>
      </c>
      <c r="Q291" s="644">
        <v>1230331099</v>
      </c>
      <c r="R291" s="644">
        <v>0</v>
      </c>
      <c r="S291" s="644">
        <v>19854603901</v>
      </c>
      <c r="T291" s="644">
        <f>71578901+U291</f>
        <v>19854603901</v>
      </c>
      <c r="U291" s="644">
        <v>19783025000</v>
      </c>
      <c r="V291" s="644">
        <v>0</v>
      </c>
      <c r="W291" s="632">
        <v>0</v>
      </c>
      <c r="X291" s="632">
        <v>122351000</v>
      </c>
    </row>
    <row r="292" spans="1:24">
      <c r="A292" s="645">
        <v>274</v>
      </c>
      <c r="B292" s="643" t="s">
        <v>1242</v>
      </c>
      <c r="C292" s="645" t="s">
        <v>441</v>
      </c>
      <c r="D292" s="645" t="s">
        <v>1233</v>
      </c>
      <c r="E292" s="645" t="s">
        <v>904</v>
      </c>
      <c r="F292" s="645" t="s">
        <v>1114</v>
      </c>
      <c r="G292" s="645" t="s">
        <v>777</v>
      </c>
      <c r="H292" s="644">
        <v>178000000</v>
      </c>
      <c r="I292" s="644">
        <v>0</v>
      </c>
      <c r="J292" s="644">
        <v>0</v>
      </c>
      <c r="K292" s="644">
        <v>0</v>
      </c>
      <c r="L292" s="644">
        <v>0</v>
      </c>
      <c r="M292" s="644">
        <v>178000000</v>
      </c>
      <c r="N292" s="644">
        <v>0</v>
      </c>
      <c r="O292" s="644">
        <v>0</v>
      </c>
      <c r="P292" s="644">
        <v>157500000</v>
      </c>
      <c r="Q292" s="644">
        <v>157500000</v>
      </c>
      <c r="R292" s="644">
        <v>0</v>
      </c>
      <c r="S292" s="644">
        <v>0</v>
      </c>
      <c r="T292" s="644">
        <v>0</v>
      </c>
      <c r="U292" s="644">
        <v>0</v>
      </c>
      <c r="V292" s="644">
        <v>0</v>
      </c>
      <c r="W292" s="632">
        <v>0</v>
      </c>
      <c r="X292" s="632">
        <v>25601565</v>
      </c>
    </row>
    <row r="293" spans="1:24">
      <c r="A293" s="645">
        <v>275</v>
      </c>
      <c r="B293" s="643" t="s">
        <v>1242</v>
      </c>
      <c r="C293" s="645" t="s">
        <v>441</v>
      </c>
      <c r="D293" s="645" t="s">
        <v>1233</v>
      </c>
      <c r="E293" s="645" t="s">
        <v>1115</v>
      </c>
      <c r="F293" s="645" t="s">
        <v>1114</v>
      </c>
      <c r="G293" s="645" t="s">
        <v>777</v>
      </c>
      <c r="H293" s="644">
        <v>34000000</v>
      </c>
      <c r="I293" s="644">
        <v>0</v>
      </c>
      <c r="J293" s="644">
        <v>0</v>
      </c>
      <c r="K293" s="644">
        <v>0</v>
      </c>
      <c r="L293" s="644">
        <v>0</v>
      </c>
      <c r="M293" s="644">
        <v>34000000</v>
      </c>
      <c r="N293" s="644">
        <v>0</v>
      </c>
      <c r="O293" s="644">
        <v>0</v>
      </c>
      <c r="P293" s="644">
        <v>34000000</v>
      </c>
      <c r="Q293" s="644">
        <v>34000000</v>
      </c>
      <c r="R293" s="644">
        <v>0</v>
      </c>
      <c r="S293" s="644">
        <v>0</v>
      </c>
      <c r="T293" s="644">
        <v>0</v>
      </c>
      <c r="U293" s="644">
        <v>0</v>
      </c>
      <c r="V293" s="644">
        <v>0</v>
      </c>
      <c r="W293" s="632">
        <v>0</v>
      </c>
      <c r="X293" s="632">
        <v>0</v>
      </c>
    </row>
    <row r="294" spans="1:24">
      <c r="A294" s="645">
        <v>276</v>
      </c>
      <c r="B294" s="643" t="s">
        <v>1242</v>
      </c>
      <c r="C294" s="645" t="s">
        <v>441</v>
      </c>
      <c r="D294" s="645" t="s">
        <v>1233</v>
      </c>
      <c r="E294" s="645" t="s">
        <v>1116</v>
      </c>
      <c r="F294" s="645" t="s">
        <v>1114</v>
      </c>
      <c r="G294" s="645" t="s">
        <v>777</v>
      </c>
      <c r="H294" s="644">
        <v>506353000</v>
      </c>
      <c r="I294" s="644">
        <v>0</v>
      </c>
      <c r="J294" s="644">
        <v>0</v>
      </c>
      <c r="K294" s="644">
        <v>0</v>
      </c>
      <c r="L294" s="644">
        <v>0</v>
      </c>
      <c r="M294" s="644">
        <v>0</v>
      </c>
      <c r="N294" s="644">
        <v>506353000</v>
      </c>
      <c r="O294" s="644">
        <v>0</v>
      </c>
      <c r="P294" s="644">
        <v>506353000</v>
      </c>
      <c r="Q294" s="644">
        <v>506353000</v>
      </c>
      <c r="R294" s="644">
        <v>0</v>
      </c>
      <c r="S294" s="644">
        <v>0</v>
      </c>
      <c r="T294" s="644">
        <v>0</v>
      </c>
      <c r="U294" s="644">
        <v>0</v>
      </c>
      <c r="V294" s="644">
        <v>0</v>
      </c>
      <c r="W294" s="632">
        <v>0</v>
      </c>
      <c r="X294" s="632">
        <v>0</v>
      </c>
    </row>
    <row r="295" spans="1:24">
      <c r="A295" s="645">
        <v>277</v>
      </c>
      <c r="B295" s="643" t="s">
        <v>1242</v>
      </c>
      <c r="C295" s="645" t="s">
        <v>441</v>
      </c>
      <c r="D295" s="645" t="s">
        <v>1233</v>
      </c>
      <c r="E295" s="645" t="s">
        <v>671</v>
      </c>
      <c r="F295" s="645" t="s">
        <v>1134</v>
      </c>
      <c r="G295" s="645" t="s">
        <v>777</v>
      </c>
      <c r="H295" s="644">
        <v>404000000</v>
      </c>
      <c r="I295" s="644">
        <v>0</v>
      </c>
      <c r="J295" s="644">
        <v>0</v>
      </c>
      <c r="K295" s="644">
        <v>0</v>
      </c>
      <c r="L295" s="644">
        <v>0</v>
      </c>
      <c r="M295" s="644">
        <v>404000000</v>
      </c>
      <c r="N295" s="644">
        <v>0</v>
      </c>
      <c r="O295" s="644">
        <v>0</v>
      </c>
      <c r="P295" s="644">
        <v>24900000</v>
      </c>
      <c r="Q295" s="644">
        <v>24900000</v>
      </c>
      <c r="R295" s="644">
        <v>0</v>
      </c>
      <c r="S295" s="644">
        <v>379100000</v>
      </c>
      <c r="T295" s="644">
        <v>379100000</v>
      </c>
      <c r="U295" s="644">
        <v>0</v>
      </c>
      <c r="V295" s="644">
        <v>0</v>
      </c>
      <c r="W295" s="632">
        <v>0</v>
      </c>
      <c r="X295" s="632">
        <v>0</v>
      </c>
    </row>
    <row r="296" spans="1:24">
      <c r="A296" s="645">
        <v>278</v>
      </c>
      <c r="B296" s="643" t="s">
        <v>1243</v>
      </c>
      <c r="C296" s="645" t="s">
        <v>441</v>
      </c>
      <c r="D296" s="645" t="s">
        <v>1233</v>
      </c>
      <c r="E296" s="645" t="s">
        <v>904</v>
      </c>
      <c r="F296" s="645" t="s">
        <v>1114</v>
      </c>
      <c r="G296" s="645" t="s">
        <v>1190</v>
      </c>
      <c r="H296" s="644">
        <v>400000000</v>
      </c>
      <c r="I296" s="644">
        <v>0</v>
      </c>
      <c r="J296" s="644">
        <v>0</v>
      </c>
      <c r="K296" s="644">
        <v>0</v>
      </c>
      <c r="L296" s="644">
        <v>0</v>
      </c>
      <c r="M296" s="644">
        <v>400000000</v>
      </c>
      <c r="N296" s="644">
        <v>0</v>
      </c>
      <c r="O296" s="644">
        <v>0</v>
      </c>
      <c r="P296" s="644">
        <v>371403548</v>
      </c>
      <c r="Q296" s="644">
        <v>371403548</v>
      </c>
      <c r="R296" s="644">
        <v>0</v>
      </c>
      <c r="S296" s="644">
        <v>0</v>
      </c>
      <c r="T296" s="644">
        <v>0</v>
      </c>
      <c r="U296" s="644">
        <v>0</v>
      </c>
      <c r="V296" s="644">
        <v>0</v>
      </c>
      <c r="W296" s="632">
        <v>0</v>
      </c>
      <c r="X296" s="632">
        <v>28642858</v>
      </c>
    </row>
    <row r="297" spans="1:24">
      <c r="A297" s="645">
        <v>279</v>
      </c>
      <c r="B297" s="643" t="s">
        <v>1243</v>
      </c>
      <c r="C297" s="645" t="s">
        <v>441</v>
      </c>
      <c r="D297" s="645" t="s">
        <v>1233</v>
      </c>
      <c r="E297" s="645" t="s">
        <v>1115</v>
      </c>
      <c r="F297" s="645" t="s">
        <v>1114</v>
      </c>
      <c r="G297" s="645" t="s">
        <v>1190</v>
      </c>
      <c r="H297" s="644">
        <v>16500000</v>
      </c>
      <c r="I297" s="644">
        <v>0</v>
      </c>
      <c r="J297" s="644">
        <v>0</v>
      </c>
      <c r="K297" s="644">
        <v>0</v>
      </c>
      <c r="L297" s="644">
        <v>0</v>
      </c>
      <c r="M297" s="644">
        <v>16500000</v>
      </c>
      <c r="N297" s="644">
        <v>0</v>
      </c>
      <c r="O297" s="644">
        <v>0</v>
      </c>
      <c r="P297" s="644">
        <v>16500000</v>
      </c>
      <c r="Q297" s="644">
        <v>16500000</v>
      </c>
      <c r="R297" s="644">
        <v>0</v>
      </c>
      <c r="S297" s="644">
        <v>0</v>
      </c>
      <c r="T297" s="644">
        <v>0</v>
      </c>
      <c r="U297" s="644">
        <v>0</v>
      </c>
      <c r="V297" s="644">
        <v>0</v>
      </c>
      <c r="W297" s="632">
        <v>0</v>
      </c>
      <c r="X297" s="632">
        <v>219253685</v>
      </c>
    </row>
    <row r="298" spans="1:24">
      <c r="A298" s="645">
        <v>280</v>
      </c>
      <c r="B298" s="643" t="s">
        <v>1244</v>
      </c>
      <c r="C298" s="645" t="s">
        <v>441</v>
      </c>
      <c r="D298" s="645" t="s">
        <v>1233</v>
      </c>
      <c r="E298" s="645" t="s">
        <v>1115</v>
      </c>
      <c r="F298" s="645" t="s">
        <v>1114</v>
      </c>
      <c r="G298" s="645" t="s">
        <v>1203</v>
      </c>
      <c r="H298" s="644">
        <v>23500000</v>
      </c>
      <c r="I298" s="644">
        <v>0</v>
      </c>
      <c r="J298" s="644">
        <v>0</v>
      </c>
      <c r="K298" s="644">
        <v>0</v>
      </c>
      <c r="L298" s="644">
        <v>0</v>
      </c>
      <c r="M298" s="644">
        <v>23500000</v>
      </c>
      <c r="N298" s="644">
        <v>0</v>
      </c>
      <c r="O298" s="644">
        <v>0</v>
      </c>
      <c r="P298" s="644">
        <v>23500000</v>
      </c>
      <c r="Q298" s="644">
        <v>23500000</v>
      </c>
      <c r="R298" s="644">
        <v>0</v>
      </c>
      <c r="S298" s="644">
        <v>0</v>
      </c>
      <c r="T298" s="644">
        <v>0</v>
      </c>
      <c r="U298" s="644">
        <v>0</v>
      </c>
      <c r="V298" s="644">
        <v>0</v>
      </c>
      <c r="W298" s="632">
        <v>0</v>
      </c>
      <c r="X298" s="632">
        <v>0</v>
      </c>
    </row>
    <row r="299" spans="1:24">
      <c r="A299" s="645">
        <v>281</v>
      </c>
      <c r="B299" s="643" t="s">
        <v>1245</v>
      </c>
      <c r="C299" s="645" t="s">
        <v>441</v>
      </c>
      <c r="D299" s="645" t="s">
        <v>1233</v>
      </c>
      <c r="E299" s="645" t="s">
        <v>678</v>
      </c>
      <c r="F299" s="645" t="s">
        <v>1114</v>
      </c>
      <c r="G299" s="645" t="s">
        <v>777</v>
      </c>
      <c r="H299" s="644">
        <v>43800000</v>
      </c>
      <c r="I299" s="644">
        <v>43800000</v>
      </c>
      <c r="J299" s="644">
        <v>43800000</v>
      </c>
      <c r="K299" s="644">
        <v>0</v>
      </c>
      <c r="L299" s="644">
        <v>0</v>
      </c>
      <c r="M299" s="644">
        <v>0</v>
      </c>
      <c r="N299" s="644">
        <v>0</v>
      </c>
      <c r="O299" s="644">
        <v>0</v>
      </c>
      <c r="P299" s="644">
        <v>33600000</v>
      </c>
      <c r="Q299" s="644">
        <v>33600000</v>
      </c>
      <c r="R299" s="644">
        <v>0</v>
      </c>
      <c r="S299" s="644">
        <v>0</v>
      </c>
      <c r="T299" s="644">
        <v>0</v>
      </c>
      <c r="U299" s="644">
        <v>0</v>
      </c>
      <c r="V299" s="644">
        <v>0</v>
      </c>
      <c r="W299" s="632">
        <v>0</v>
      </c>
      <c r="X299" s="632">
        <v>0</v>
      </c>
    </row>
    <row r="300" spans="1:24">
      <c r="A300" s="645">
        <v>282</v>
      </c>
      <c r="B300" s="643" t="s">
        <v>1245</v>
      </c>
      <c r="C300" s="645" t="s">
        <v>441</v>
      </c>
      <c r="D300" s="645" t="s">
        <v>1233</v>
      </c>
      <c r="E300" s="645" t="s">
        <v>904</v>
      </c>
      <c r="F300" s="645" t="s">
        <v>1114</v>
      </c>
      <c r="G300" s="645" t="s">
        <v>777</v>
      </c>
      <c r="H300" s="644">
        <v>570700000</v>
      </c>
      <c r="I300" s="644">
        <v>0</v>
      </c>
      <c r="J300" s="644">
        <v>0</v>
      </c>
      <c r="K300" s="644">
        <v>0</v>
      </c>
      <c r="L300" s="644">
        <v>0</v>
      </c>
      <c r="M300" s="644">
        <v>570700000</v>
      </c>
      <c r="N300" s="644">
        <v>0</v>
      </c>
      <c r="O300" s="644">
        <v>0</v>
      </c>
      <c r="P300" s="644">
        <v>503040000</v>
      </c>
      <c r="Q300" s="644">
        <v>503040000</v>
      </c>
      <c r="R300" s="644">
        <v>0</v>
      </c>
      <c r="S300" s="644">
        <v>0</v>
      </c>
      <c r="T300" s="644">
        <v>0</v>
      </c>
      <c r="U300" s="644">
        <v>0</v>
      </c>
      <c r="V300" s="644">
        <v>0</v>
      </c>
      <c r="W300" s="632">
        <v>0</v>
      </c>
      <c r="X300" s="632">
        <v>11402299</v>
      </c>
    </row>
    <row r="301" spans="1:24">
      <c r="A301" s="645">
        <v>283</v>
      </c>
      <c r="B301" s="643" t="s">
        <v>1245</v>
      </c>
      <c r="C301" s="645" t="s">
        <v>441</v>
      </c>
      <c r="D301" s="645" t="s">
        <v>1233</v>
      </c>
      <c r="E301" s="645" t="s">
        <v>1115</v>
      </c>
      <c r="F301" s="645" t="s">
        <v>1114</v>
      </c>
      <c r="G301" s="645" t="s">
        <v>777</v>
      </c>
      <c r="H301" s="644">
        <v>500000</v>
      </c>
      <c r="I301" s="644">
        <v>0</v>
      </c>
      <c r="J301" s="644">
        <v>0</v>
      </c>
      <c r="K301" s="644">
        <v>0</v>
      </c>
      <c r="L301" s="644">
        <v>0</v>
      </c>
      <c r="M301" s="644">
        <v>500000</v>
      </c>
      <c r="N301" s="644">
        <v>0</v>
      </c>
      <c r="O301" s="644">
        <v>0</v>
      </c>
      <c r="P301" s="644">
        <v>500000</v>
      </c>
      <c r="Q301" s="644">
        <v>500000</v>
      </c>
      <c r="R301" s="644">
        <v>0</v>
      </c>
      <c r="S301" s="644">
        <v>0</v>
      </c>
      <c r="T301" s="644">
        <v>0</v>
      </c>
      <c r="U301" s="644">
        <v>0</v>
      </c>
      <c r="V301" s="644">
        <v>0</v>
      </c>
      <c r="W301" s="632">
        <v>0</v>
      </c>
      <c r="X301" s="632">
        <v>1086436127</v>
      </c>
    </row>
    <row r="302" spans="1:24">
      <c r="A302" s="645">
        <v>284</v>
      </c>
      <c r="B302" s="643" t="s">
        <v>1246</v>
      </c>
      <c r="C302" s="645" t="s">
        <v>441</v>
      </c>
      <c r="D302" s="645" t="s">
        <v>1233</v>
      </c>
      <c r="E302" s="645" t="s">
        <v>671</v>
      </c>
      <c r="F302" s="645" t="s">
        <v>1114</v>
      </c>
      <c r="G302" s="645" t="s">
        <v>1205</v>
      </c>
      <c r="H302" s="644">
        <v>66000000</v>
      </c>
      <c r="I302" s="644">
        <v>66000000</v>
      </c>
      <c r="J302" s="644">
        <v>66000000</v>
      </c>
      <c r="K302" s="644">
        <v>0</v>
      </c>
      <c r="L302" s="644">
        <v>0</v>
      </c>
      <c r="M302" s="644">
        <v>0</v>
      </c>
      <c r="N302" s="644">
        <v>0</v>
      </c>
      <c r="O302" s="644">
        <v>0</v>
      </c>
      <c r="P302" s="644">
        <v>51000000</v>
      </c>
      <c r="Q302" s="644">
        <v>51000000</v>
      </c>
      <c r="R302" s="644">
        <v>0</v>
      </c>
      <c r="S302" s="644">
        <v>0</v>
      </c>
      <c r="T302" s="644">
        <v>0</v>
      </c>
      <c r="U302" s="644">
        <v>0</v>
      </c>
      <c r="V302" s="644">
        <v>0</v>
      </c>
      <c r="W302" s="632">
        <v>0</v>
      </c>
      <c r="X302" s="632">
        <v>225116642</v>
      </c>
    </row>
    <row r="303" spans="1:24">
      <c r="A303" s="645">
        <v>285</v>
      </c>
      <c r="B303" s="643" t="s">
        <v>1246</v>
      </c>
      <c r="C303" s="645" t="s">
        <v>441</v>
      </c>
      <c r="D303" s="645" t="s">
        <v>1233</v>
      </c>
      <c r="E303" s="645" t="s">
        <v>904</v>
      </c>
      <c r="F303" s="645" t="s">
        <v>1114</v>
      </c>
      <c r="G303" s="645" t="s">
        <v>1205</v>
      </c>
      <c r="H303" s="644">
        <v>340000000</v>
      </c>
      <c r="I303" s="644">
        <v>0</v>
      </c>
      <c r="J303" s="644">
        <v>0</v>
      </c>
      <c r="K303" s="644">
        <v>0</v>
      </c>
      <c r="L303" s="644">
        <v>0</v>
      </c>
      <c r="M303" s="644">
        <v>340000000</v>
      </c>
      <c r="N303" s="644">
        <v>0</v>
      </c>
      <c r="O303" s="644">
        <v>0</v>
      </c>
      <c r="P303" s="644">
        <v>320448464</v>
      </c>
      <c r="Q303" s="644">
        <v>320448464</v>
      </c>
      <c r="R303" s="644">
        <v>0</v>
      </c>
      <c r="S303" s="644">
        <v>0</v>
      </c>
      <c r="T303" s="644">
        <v>0</v>
      </c>
      <c r="U303" s="644">
        <v>0</v>
      </c>
      <c r="V303" s="644">
        <v>0</v>
      </c>
      <c r="W303" s="632">
        <v>0</v>
      </c>
      <c r="X303" s="632">
        <v>0</v>
      </c>
    </row>
    <row r="304" spans="1:24">
      <c r="A304" s="645">
        <v>286</v>
      </c>
      <c r="B304" s="643" t="s">
        <v>1246</v>
      </c>
      <c r="C304" s="645" t="s">
        <v>441</v>
      </c>
      <c r="D304" s="645" t="s">
        <v>1233</v>
      </c>
      <c r="E304" s="645" t="s">
        <v>1115</v>
      </c>
      <c r="F304" s="645" t="s">
        <v>1114</v>
      </c>
      <c r="G304" s="645" t="s">
        <v>1205</v>
      </c>
      <c r="H304" s="644">
        <v>15500000</v>
      </c>
      <c r="I304" s="644">
        <v>0</v>
      </c>
      <c r="J304" s="644">
        <v>0</v>
      </c>
      <c r="K304" s="644">
        <v>0</v>
      </c>
      <c r="L304" s="644">
        <v>0</v>
      </c>
      <c r="M304" s="644">
        <v>15500000</v>
      </c>
      <c r="N304" s="644">
        <v>0</v>
      </c>
      <c r="O304" s="644">
        <v>0</v>
      </c>
      <c r="P304" s="644">
        <v>15000000</v>
      </c>
      <c r="Q304" s="644">
        <v>15000000</v>
      </c>
      <c r="R304" s="644">
        <v>0</v>
      </c>
      <c r="S304" s="644">
        <v>0</v>
      </c>
      <c r="T304" s="644">
        <v>0</v>
      </c>
      <c r="U304" s="644">
        <v>0</v>
      </c>
      <c r="V304" s="644">
        <v>0</v>
      </c>
      <c r="W304" s="632">
        <v>0</v>
      </c>
      <c r="X304" s="632">
        <v>15605000</v>
      </c>
    </row>
    <row r="305" spans="1:24" ht="22.5">
      <c r="A305" s="645">
        <v>287</v>
      </c>
      <c r="B305" s="643" t="s">
        <v>1247</v>
      </c>
      <c r="C305" s="645" t="s">
        <v>441</v>
      </c>
      <c r="D305" s="645" t="s">
        <v>1233</v>
      </c>
      <c r="E305" s="645" t="s">
        <v>690</v>
      </c>
      <c r="F305" s="645" t="s">
        <v>1114</v>
      </c>
      <c r="G305" s="645" t="s">
        <v>777</v>
      </c>
      <c r="H305" s="644">
        <v>811745000</v>
      </c>
      <c r="I305" s="644">
        <v>0</v>
      </c>
      <c r="J305" s="644">
        <v>0</v>
      </c>
      <c r="K305" s="644">
        <v>0</v>
      </c>
      <c r="L305" s="644">
        <v>0</v>
      </c>
      <c r="M305" s="644">
        <v>811745000</v>
      </c>
      <c r="N305" s="644">
        <v>0</v>
      </c>
      <c r="O305" s="644">
        <v>0</v>
      </c>
      <c r="P305" s="644">
        <v>461624400</v>
      </c>
      <c r="Q305" s="644">
        <v>461624400</v>
      </c>
      <c r="R305" s="644">
        <v>0</v>
      </c>
      <c r="S305" s="644">
        <v>0</v>
      </c>
      <c r="T305" s="644">
        <v>0</v>
      </c>
      <c r="U305" s="644">
        <v>0</v>
      </c>
      <c r="V305" s="644">
        <v>0</v>
      </c>
      <c r="W305" s="632">
        <v>0</v>
      </c>
      <c r="X305" s="632">
        <v>43730500</v>
      </c>
    </row>
    <row r="306" spans="1:24" ht="22.5">
      <c r="A306" s="645">
        <v>288</v>
      </c>
      <c r="B306" s="643" t="s">
        <v>1247</v>
      </c>
      <c r="C306" s="645" t="s">
        <v>441</v>
      </c>
      <c r="D306" s="645" t="s">
        <v>1233</v>
      </c>
      <c r="E306" s="645" t="s">
        <v>904</v>
      </c>
      <c r="F306" s="645" t="s">
        <v>1114</v>
      </c>
      <c r="G306" s="645" t="s">
        <v>777</v>
      </c>
      <c r="H306" s="644">
        <v>146000000</v>
      </c>
      <c r="I306" s="644">
        <v>0</v>
      </c>
      <c r="J306" s="644">
        <v>0</v>
      </c>
      <c r="K306" s="644">
        <v>0</v>
      </c>
      <c r="L306" s="644">
        <v>0</v>
      </c>
      <c r="M306" s="644">
        <v>146000000</v>
      </c>
      <c r="N306" s="644">
        <v>0</v>
      </c>
      <c r="O306" s="644">
        <v>0</v>
      </c>
      <c r="P306" s="644">
        <v>145500000</v>
      </c>
      <c r="Q306" s="644">
        <v>145500000</v>
      </c>
      <c r="R306" s="644">
        <v>0</v>
      </c>
      <c r="S306" s="644">
        <v>0</v>
      </c>
      <c r="T306" s="644">
        <v>0</v>
      </c>
      <c r="U306" s="644">
        <v>0</v>
      </c>
      <c r="V306" s="644">
        <v>0</v>
      </c>
      <c r="W306" s="632">
        <v>0</v>
      </c>
      <c r="X306" s="632">
        <v>26759000</v>
      </c>
    </row>
    <row r="307" spans="1:24" ht="22.5">
      <c r="A307" s="645">
        <v>289</v>
      </c>
      <c r="B307" s="643" t="s">
        <v>1247</v>
      </c>
      <c r="C307" s="645" t="s">
        <v>441</v>
      </c>
      <c r="D307" s="645" t="s">
        <v>1233</v>
      </c>
      <c r="E307" s="645" t="s">
        <v>905</v>
      </c>
      <c r="F307" s="645" t="s">
        <v>1114</v>
      </c>
      <c r="G307" s="645" t="s">
        <v>777</v>
      </c>
      <c r="H307" s="644">
        <v>16800000</v>
      </c>
      <c r="I307" s="644">
        <v>16800000</v>
      </c>
      <c r="J307" s="644">
        <v>16800000</v>
      </c>
      <c r="K307" s="644">
        <v>0</v>
      </c>
      <c r="L307" s="644">
        <v>0</v>
      </c>
      <c r="M307" s="644">
        <v>0</v>
      </c>
      <c r="N307" s="644">
        <v>0</v>
      </c>
      <c r="O307" s="644">
        <v>0</v>
      </c>
      <c r="P307" s="644">
        <v>14400000</v>
      </c>
      <c r="Q307" s="644">
        <v>14400000</v>
      </c>
      <c r="R307" s="644">
        <v>0</v>
      </c>
      <c r="S307" s="644">
        <v>0</v>
      </c>
      <c r="T307" s="644">
        <v>0</v>
      </c>
      <c r="U307" s="644">
        <v>0</v>
      </c>
      <c r="V307" s="644">
        <v>0</v>
      </c>
      <c r="W307" s="632">
        <v>0</v>
      </c>
      <c r="X307" s="632">
        <v>41186000</v>
      </c>
    </row>
    <row r="308" spans="1:24" ht="22.5">
      <c r="A308" s="645">
        <v>290</v>
      </c>
      <c r="B308" s="643" t="s">
        <v>1247</v>
      </c>
      <c r="C308" s="645" t="s">
        <v>441</v>
      </c>
      <c r="D308" s="645" t="s">
        <v>1233</v>
      </c>
      <c r="E308" s="645" t="s">
        <v>1115</v>
      </c>
      <c r="F308" s="645" t="s">
        <v>1114</v>
      </c>
      <c r="G308" s="645" t="s">
        <v>777</v>
      </c>
      <c r="H308" s="644">
        <v>500000</v>
      </c>
      <c r="I308" s="644">
        <v>0</v>
      </c>
      <c r="J308" s="644">
        <v>0</v>
      </c>
      <c r="K308" s="644">
        <v>0</v>
      </c>
      <c r="L308" s="644">
        <v>0</v>
      </c>
      <c r="M308" s="644">
        <v>500000</v>
      </c>
      <c r="N308" s="644">
        <v>0</v>
      </c>
      <c r="O308" s="644">
        <v>0</v>
      </c>
      <c r="P308" s="644">
        <v>500000</v>
      </c>
      <c r="Q308" s="644">
        <v>500000</v>
      </c>
      <c r="R308" s="644">
        <v>0</v>
      </c>
      <c r="S308" s="644">
        <v>0</v>
      </c>
      <c r="T308" s="644">
        <v>0</v>
      </c>
      <c r="U308" s="644">
        <v>0</v>
      </c>
      <c r="V308" s="644">
        <v>0</v>
      </c>
      <c r="W308" s="632">
        <v>0</v>
      </c>
      <c r="X308" s="632">
        <v>30545000</v>
      </c>
    </row>
    <row r="309" spans="1:24" ht="22.5">
      <c r="A309" s="645">
        <v>291</v>
      </c>
      <c r="B309" s="643" t="s">
        <v>1247</v>
      </c>
      <c r="C309" s="645" t="s">
        <v>441</v>
      </c>
      <c r="D309" s="645" t="s">
        <v>1233</v>
      </c>
      <c r="E309" s="645" t="s">
        <v>690</v>
      </c>
      <c r="F309" s="645" t="s">
        <v>1134</v>
      </c>
      <c r="G309" s="645" t="s">
        <v>777</v>
      </c>
      <c r="H309" s="644">
        <v>1618060000</v>
      </c>
      <c r="I309" s="644">
        <v>0</v>
      </c>
      <c r="J309" s="644">
        <v>0</v>
      </c>
      <c r="K309" s="644">
        <v>0</v>
      </c>
      <c r="L309" s="644">
        <v>0</v>
      </c>
      <c r="M309" s="644">
        <v>1618060000</v>
      </c>
      <c r="N309" s="644">
        <v>0</v>
      </c>
      <c r="O309" s="644">
        <v>0</v>
      </c>
      <c r="P309" s="644">
        <v>1300205004</v>
      </c>
      <c r="Q309" s="644">
        <v>1300205004</v>
      </c>
      <c r="R309" s="644">
        <v>0</v>
      </c>
      <c r="S309" s="644">
        <v>317854996</v>
      </c>
      <c r="T309" s="644">
        <v>317854996</v>
      </c>
      <c r="U309" s="644">
        <v>0</v>
      </c>
      <c r="V309" s="644">
        <v>0</v>
      </c>
      <c r="W309" s="632">
        <v>0</v>
      </c>
      <c r="X309" s="632">
        <v>300450000</v>
      </c>
    </row>
    <row r="310" spans="1:24" ht="22.5">
      <c r="A310" s="645">
        <v>292</v>
      </c>
      <c r="B310" s="643" t="s">
        <v>1248</v>
      </c>
      <c r="C310" s="645" t="s">
        <v>441</v>
      </c>
      <c r="D310" s="645" t="s">
        <v>1233</v>
      </c>
      <c r="E310" s="645" t="s">
        <v>673</v>
      </c>
      <c r="F310" s="645" t="s">
        <v>1114</v>
      </c>
      <c r="G310" s="645" t="s">
        <v>777</v>
      </c>
      <c r="H310" s="644">
        <v>161920000</v>
      </c>
      <c r="I310" s="644">
        <v>0</v>
      </c>
      <c r="J310" s="644">
        <v>0</v>
      </c>
      <c r="K310" s="644">
        <v>0</v>
      </c>
      <c r="L310" s="644">
        <v>0</v>
      </c>
      <c r="M310" s="644">
        <v>161920000</v>
      </c>
      <c r="N310" s="644">
        <v>0</v>
      </c>
      <c r="O310" s="644">
        <v>0</v>
      </c>
      <c r="P310" s="644">
        <v>160888000</v>
      </c>
      <c r="Q310" s="644">
        <v>160888000</v>
      </c>
      <c r="R310" s="644">
        <v>0</v>
      </c>
      <c r="S310" s="644">
        <v>0</v>
      </c>
      <c r="T310" s="644">
        <v>0</v>
      </c>
      <c r="U310" s="644">
        <v>0</v>
      </c>
      <c r="V310" s="644">
        <v>0</v>
      </c>
      <c r="W310" s="632">
        <v>0</v>
      </c>
      <c r="X310" s="632">
        <v>0</v>
      </c>
    </row>
    <row r="311" spans="1:24" ht="22.5">
      <c r="A311" s="645">
        <v>293</v>
      </c>
      <c r="B311" s="643" t="s">
        <v>1248</v>
      </c>
      <c r="C311" s="645" t="s">
        <v>441</v>
      </c>
      <c r="D311" s="645" t="s">
        <v>1233</v>
      </c>
      <c r="E311" s="645" t="s">
        <v>904</v>
      </c>
      <c r="F311" s="645" t="s">
        <v>1114</v>
      </c>
      <c r="G311" s="645" t="s">
        <v>777</v>
      </c>
      <c r="H311" s="644">
        <v>20000000</v>
      </c>
      <c r="I311" s="644">
        <v>0</v>
      </c>
      <c r="J311" s="644">
        <v>0</v>
      </c>
      <c r="K311" s="644">
        <v>0</v>
      </c>
      <c r="L311" s="644">
        <v>0</v>
      </c>
      <c r="M311" s="644">
        <v>20000000</v>
      </c>
      <c r="N311" s="644">
        <v>0</v>
      </c>
      <c r="O311" s="644">
        <v>0</v>
      </c>
      <c r="P311" s="644">
        <v>19940000</v>
      </c>
      <c r="Q311" s="644">
        <v>19940000</v>
      </c>
      <c r="R311" s="644">
        <v>0</v>
      </c>
      <c r="S311" s="644">
        <v>0</v>
      </c>
      <c r="T311" s="644">
        <v>0</v>
      </c>
      <c r="U311" s="644">
        <v>0</v>
      </c>
      <c r="V311" s="644">
        <v>0</v>
      </c>
      <c r="W311" s="632">
        <v>0</v>
      </c>
      <c r="X311" s="632">
        <v>0</v>
      </c>
    </row>
    <row r="312" spans="1:24" ht="22.5">
      <c r="A312" s="645">
        <v>294</v>
      </c>
      <c r="B312" s="643" t="s">
        <v>1248</v>
      </c>
      <c r="C312" s="645" t="s">
        <v>441</v>
      </c>
      <c r="D312" s="645" t="s">
        <v>1233</v>
      </c>
      <c r="E312" s="645" t="s">
        <v>905</v>
      </c>
      <c r="F312" s="645" t="s">
        <v>1114</v>
      </c>
      <c r="G312" s="645" t="s">
        <v>777</v>
      </c>
      <c r="H312" s="644">
        <v>115000000</v>
      </c>
      <c r="I312" s="644">
        <v>0</v>
      </c>
      <c r="J312" s="644">
        <v>0</v>
      </c>
      <c r="K312" s="644">
        <v>0</v>
      </c>
      <c r="L312" s="644">
        <v>0</v>
      </c>
      <c r="M312" s="644">
        <v>115000000</v>
      </c>
      <c r="N312" s="644">
        <v>0</v>
      </c>
      <c r="O312" s="644">
        <v>0</v>
      </c>
      <c r="P312" s="644">
        <v>114574384</v>
      </c>
      <c r="Q312" s="644">
        <v>114574384</v>
      </c>
      <c r="R312" s="644">
        <v>0</v>
      </c>
      <c r="S312" s="644">
        <v>0</v>
      </c>
      <c r="T312" s="644">
        <v>0</v>
      </c>
      <c r="U312" s="644">
        <v>0</v>
      </c>
      <c r="V312" s="644">
        <v>0</v>
      </c>
      <c r="W312" s="632">
        <v>0</v>
      </c>
      <c r="X312" s="632">
        <v>25364200</v>
      </c>
    </row>
    <row r="313" spans="1:24" ht="22.5">
      <c r="A313" s="645">
        <v>295</v>
      </c>
      <c r="B313" s="643" t="s">
        <v>1248</v>
      </c>
      <c r="C313" s="645" t="s">
        <v>441</v>
      </c>
      <c r="D313" s="645" t="s">
        <v>1233</v>
      </c>
      <c r="E313" s="645" t="s">
        <v>1115</v>
      </c>
      <c r="F313" s="645" t="s">
        <v>1114</v>
      </c>
      <c r="G313" s="645" t="s">
        <v>777</v>
      </c>
      <c r="H313" s="644">
        <v>500000</v>
      </c>
      <c r="I313" s="644">
        <v>0</v>
      </c>
      <c r="J313" s="644">
        <v>0</v>
      </c>
      <c r="K313" s="644">
        <v>0</v>
      </c>
      <c r="L313" s="644">
        <v>0</v>
      </c>
      <c r="M313" s="644">
        <v>500000</v>
      </c>
      <c r="N313" s="644">
        <v>0</v>
      </c>
      <c r="O313" s="644">
        <v>0</v>
      </c>
      <c r="P313" s="644">
        <v>500000</v>
      </c>
      <c r="Q313" s="644">
        <v>500000</v>
      </c>
      <c r="R313" s="644">
        <v>0</v>
      </c>
      <c r="S313" s="644">
        <v>0</v>
      </c>
      <c r="T313" s="644">
        <v>0</v>
      </c>
      <c r="U313" s="644">
        <v>0</v>
      </c>
      <c r="V313" s="644">
        <v>0</v>
      </c>
      <c r="W313" s="632">
        <v>0</v>
      </c>
      <c r="X313" s="632">
        <v>0</v>
      </c>
    </row>
    <row r="314" spans="1:24" ht="22.5">
      <c r="A314" s="645">
        <v>296</v>
      </c>
      <c r="B314" s="643" t="s">
        <v>1248</v>
      </c>
      <c r="C314" s="645" t="s">
        <v>441</v>
      </c>
      <c r="D314" s="645" t="s">
        <v>1233</v>
      </c>
      <c r="E314" s="645" t="s">
        <v>673</v>
      </c>
      <c r="F314" s="645" t="s">
        <v>1134</v>
      </c>
      <c r="G314" s="645" t="s">
        <v>777</v>
      </c>
      <c r="H314" s="644">
        <v>1670604000</v>
      </c>
      <c r="I314" s="644">
        <v>0</v>
      </c>
      <c r="J314" s="644">
        <v>0</v>
      </c>
      <c r="K314" s="644">
        <v>0</v>
      </c>
      <c r="L314" s="644">
        <v>0</v>
      </c>
      <c r="M314" s="644">
        <v>1670604000</v>
      </c>
      <c r="N314" s="644">
        <v>0</v>
      </c>
      <c r="O314" s="644">
        <v>0</v>
      </c>
      <c r="P314" s="644">
        <v>1500081927</v>
      </c>
      <c r="Q314" s="644">
        <v>1500081927</v>
      </c>
      <c r="R314" s="644">
        <v>0</v>
      </c>
      <c r="S314" s="644">
        <v>170522073</v>
      </c>
      <c r="T314" s="644">
        <v>170522073</v>
      </c>
      <c r="U314" s="644">
        <v>0</v>
      </c>
      <c r="V314" s="644">
        <v>0</v>
      </c>
      <c r="W314" s="632">
        <v>0</v>
      </c>
      <c r="X314" s="632">
        <v>0</v>
      </c>
    </row>
    <row r="315" spans="1:24">
      <c r="A315" s="645">
        <v>297</v>
      </c>
      <c r="B315" s="643" t="s">
        <v>1249</v>
      </c>
      <c r="C315" s="645" t="s">
        <v>441</v>
      </c>
      <c r="D315" s="645" t="s">
        <v>1233</v>
      </c>
      <c r="E315" s="645" t="s">
        <v>670</v>
      </c>
      <c r="F315" s="645" t="s">
        <v>1114</v>
      </c>
      <c r="G315" s="645" t="s">
        <v>777</v>
      </c>
      <c r="H315" s="644">
        <v>47564200</v>
      </c>
      <c r="I315" s="644">
        <v>0</v>
      </c>
      <c r="J315" s="644">
        <v>0</v>
      </c>
      <c r="K315" s="644">
        <v>0</v>
      </c>
      <c r="L315" s="644">
        <v>0</v>
      </c>
      <c r="M315" s="644">
        <v>47564200</v>
      </c>
      <c r="N315" s="644">
        <v>0</v>
      </c>
      <c r="O315" s="644">
        <v>0</v>
      </c>
      <c r="P315" s="644">
        <v>15680000</v>
      </c>
      <c r="Q315" s="644">
        <v>15680000</v>
      </c>
      <c r="R315" s="644">
        <v>0</v>
      </c>
      <c r="S315" s="644">
        <v>0</v>
      </c>
      <c r="T315" s="644">
        <v>0</v>
      </c>
      <c r="U315" s="644">
        <v>0</v>
      </c>
      <c r="V315" s="644">
        <v>0</v>
      </c>
      <c r="W315" s="632">
        <v>0</v>
      </c>
      <c r="X315" s="632">
        <v>0</v>
      </c>
    </row>
    <row r="316" spans="1:24">
      <c r="A316" s="645">
        <v>298</v>
      </c>
      <c r="B316" s="643" t="s">
        <v>1249</v>
      </c>
      <c r="C316" s="645" t="s">
        <v>441</v>
      </c>
      <c r="D316" s="645" t="s">
        <v>1233</v>
      </c>
      <c r="E316" s="645" t="s">
        <v>671</v>
      </c>
      <c r="F316" s="645" t="s">
        <v>1114</v>
      </c>
      <c r="G316" s="645" t="s">
        <v>777</v>
      </c>
      <c r="H316" s="644">
        <v>740000000</v>
      </c>
      <c r="I316" s="644">
        <v>0</v>
      </c>
      <c r="J316" s="644">
        <v>0</v>
      </c>
      <c r="K316" s="644">
        <v>0</v>
      </c>
      <c r="L316" s="644">
        <v>0</v>
      </c>
      <c r="M316" s="644">
        <v>740000000</v>
      </c>
      <c r="N316" s="644">
        <v>0</v>
      </c>
      <c r="O316" s="644">
        <v>0</v>
      </c>
      <c r="P316" s="644">
        <v>308566000</v>
      </c>
      <c r="Q316" s="644">
        <v>308566000</v>
      </c>
      <c r="R316" s="644">
        <v>0</v>
      </c>
      <c r="S316" s="644">
        <v>431434000</v>
      </c>
      <c r="T316" s="644">
        <v>431434000</v>
      </c>
      <c r="U316" s="644">
        <v>0</v>
      </c>
      <c r="V316" s="644">
        <v>0</v>
      </c>
      <c r="W316" s="632">
        <v>0</v>
      </c>
      <c r="X316" s="632">
        <v>0</v>
      </c>
    </row>
    <row r="317" spans="1:24">
      <c r="A317" s="645">
        <v>299</v>
      </c>
      <c r="B317" s="643" t="s">
        <v>1249</v>
      </c>
      <c r="C317" s="645" t="s">
        <v>441</v>
      </c>
      <c r="D317" s="645" t="s">
        <v>1233</v>
      </c>
      <c r="E317" s="645" t="s">
        <v>904</v>
      </c>
      <c r="F317" s="645" t="s">
        <v>1114</v>
      </c>
      <c r="G317" s="645" t="s">
        <v>777</v>
      </c>
      <c r="H317" s="644">
        <v>170000000</v>
      </c>
      <c r="I317" s="644">
        <v>0</v>
      </c>
      <c r="J317" s="644">
        <v>0</v>
      </c>
      <c r="K317" s="644">
        <v>0</v>
      </c>
      <c r="L317" s="644">
        <v>0</v>
      </c>
      <c r="M317" s="644">
        <v>170000000</v>
      </c>
      <c r="N317" s="644">
        <v>0</v>
      </c>
      <c r="O317" s="644">
        <v>0</v>
      </c>
      <c r="P317" s="644">
        <v>139986500</v>
      </c>
      <c r="Q317" s="644">
        <v>139986500</v>
      </c>
      <c r="R317" s="644">
        <v>0</v>
      </c>
      <c r="S317" s="644">
        <v>0</v>
      </c>
      <c r="T317" s="644">
        <v>0</v>
      </c>
      <c r="U317" s="644">
        <v>0</v>
      </c>
      <c r="V317" s="644">
        <v>0</v>
      </c>
      <c r="W317" s="632">
        <v>0</v>
      </c>
      <c r="X317" s="632">
        <v>0</v>
      </c>
    </row>
    <row r="318" spans="1:24">
      <c r="A318" s="645">
        <v>300</v>
      </c>
      <c r="B318" s="643" t="s">
        <v>1249</v>
      </c>
      <c r="C318" s="645" t="s">
        <v>441</v>
      </c>
      <c r="D318" s="645" t="s">
        <v>1233</v>
      </c>
      <c r="E318" s="645" t="s">
        <v>1115</v>
      </c>
      <c r="F318" s="645" t="s">
        <v>1114</v>
      </c>
      <c r="G318" s="645" t="s">
        <v>777</v>
      </c>
      <c r="H318" s="644">
        <v>47000000</v>
      </c>
      <c r="I318" s="644">
        <v>0</v>
      </c>
      <c r="J318" s="644">
        <v>0</v>
      </c>
      <c r="K318" s="644">
        <v>0</v>
      </c>
      <c r="L318" s="644">
        <v>0</v>
      </c>
      <c r="M318" s="644">
        <v>47000000</v>
      </c>
      <c r="N318" s="644">
        <v>0</v>
      </c>
      <c r="O318" s="644">
        <v>0</v>
      </c>
      <c r="P318" s="644">
        <v>47000000</v>
      </c>
      <c r="Q318" s="644">
        <v>47000000</v>
      </c>
      <c r="R318" s="644">
        <v>0</v>
      </c>
      <c r="S318" s="644">
        <v>0</v>
      </c>
      <c r="T318" s="644">
        <v>0</v>
      </c>
      <c r="U318" s="644">
        <v>0</v>
      </c>
      <c r="V318" s="644">
        <v>0</v>
      </c>
      <c r="W318" s="632">
        <v>0</v>
      </c>
      <c r="X318" s="632">
        <v>128279000</v>
      </c>
    </row>
    <row r="319" spans="1:24">
      <c r="A319" s="645">
        <v>301</v>
      </c>
      <c r="B319" s="643" t="s">
        <v>1249</v>
      </c>
      <c r="C319" s="645" t="s">
        <v>441</v>
      </c>
      <c r="D319" s="645" t="s">
        <v>1233</v>
      </c>
      <c r="E319" s="645" t="s">
        <v>670</v>
      </c>
      <c r="F319" s="645" t="s">
        <v>1134</v>
      </c>
      <c r="G319" s="645" t="s">
        <v>777</v>
      </c>
      <c r="H319" s="644">
        <v>367900000</v>
      </c>
      <c r="I319" s="644">
        <v>0</v>
      </c>
      <c r="J319" s="644">
        <v>0</v>
      </c>
      <c r="K319" s="644">
        <v>0</v>
      </c>
      <c r="L319" s="644">
        <v>0</v>
      </c>
      <c r="M319" s="644">
        <v>367900000</v>
      </c>
      <c r="N319" s="644">
        <v>0</v>
      </c>
      <c r="O319" s="644">
        <v>0</v>
      </c>
      <c r="P319" s="644">
        <v>6050000</v>
      </c>
      <c r="Q319" s="644">
        <v>6050000</v>
      </c>
      <c r="R319" s="644">
        <v>0</v>
      </c>
      <c r="S319" s="644">
        <v>361850000</v>
      </c>
      <c r="T319" s="644">
        <v>361850000</v>
      </c>
      <c r="U319" s="644">
        <v>0</v>
      </c>
      <c r="V319" s="644">
        <v>0</v>
      </c>
      <c r="W319" s="632">
        <v>0</v>
      </c>
      <c r="X319" s="632">
        <v>80891854</v>
      </c>
    </row>
    <row r="320" spans="1:24" ht="22.5">
      <c r="A320" s="645">
        <v>302</v>
      </c>
      <c r="B320" s="643" t="s">
        <v>1250</v>
      </c>
      <c r="C320" s="645" t="s">
        <v>441</v>
      </c>
      <c r="D320" s="645" t="s">
        <v>1233</v>
      </c>
      <c r="E320" s="645" t="s">
        <v>671</v>
      </c>
      <c r="F320" s="645" t="s">
        <v>1114</v>
      </c>
      <c r="G320" s="645" t="s">
        <v>777</v>
      </c>
      <c r="H320" s="644">
        <v>472500000</v>
      </c>
      <c r="I320" s="644">
        <v>52500000</v>
      </c>
      <c r="J320" s="644">
        <v>52500000</v>
      </c>
      <c r="K320" s="644">
        <v>0</v>
      </c>
      <c r="L320" s="644">
        <v>0</v>
      </c>
      <c r="M320" s="644">
        <v>420000000</v>
      </c>
      <c r="N320" s="644">
        <v>0</v>
      </c>
      <c r="O320" s="644">
        <v>0</v>
      </c>
      <c r="P320" s="644">
        <v>301274520</v>
      </c>
      <c r="Q320" s="644">
        <v>301274520</v>
      </c>
      <c r="R320" s="644">
        <v>0</v>
      </c>
      <c r="S320" s="644">
        <v>0</v>
      </c>
      <c r="T320" s="644">
        <v>0</v>
      </c>
      <c r="U320" s="644">
        <v>0</v>
      </c>
      <c r="V320" s="644">
        <v>0</v>
      </c>
      <c r="W320" s="632">
        <v>0</v>
      </c>
      <c r="X320" s="632">
        <v>22671218</v>
      </c>
    </row>
    <row r="321" spans="1:24" ht="22.5">
      <c r="A321" s="645">
        <v>303</v>
      </c>
      <c r="B321" s="643" t="s">
        <v>1250</v>
      </c>
      <c r="C321" s="645" t="s">
        <v>441</v>
      </c>
      <c r="D321" s="645" t="s">
        <v>1233</v>
      </c>
      <c r="E321" s="645" t="s">
        <v>904</v>
      </c>
      <c r="F321" s="645" t="s">
        <v>1114</v>
      </c>
      <c r="G321" s="645" t="s">
        <v>777</v>
      </c>
      <c r="H321" s="644">
        <v>234500000</v>
      </c>
      <c r="I321" s="644">
        <v>0</v>
      </c>
      <c r="J321" s="644">
        <v>0</v>
      </c>
      <c r="K321" s="644">
        <v>0</v>
      </c>
      <c r="L321" s="644">
        <v>0</v>
      </c>
      <c r="M321" s="644">
        <v>234500000</v>
      </c>
      <c r="N321" s="644">
        <v>0</v>
      </c>
      <c r="O321" s="644">
        <v>0</v>
      </c>
      <c r="P321" s="644">
        <v>218517000</v>
      </c>
      <c r="Q321" s="644">
        <v>218517000</v>
      </c>
      <c r="R321" s="644">
        <v>0</v>
      </c>
      <c r="S321" s="644">
        <v>0</v>
      </c>
      <c r="T321" s="644">
        <v>0</v>
      </c>
      <c r="U321" s="644">
        <v>0</v>
      </c>
      <c r="V321" s="644">
        <v>0</v>
      </c>
      <c r="W321" s="632">
        <v>0</v>
      </c>
      <c r="X321" s="632">
        <v>0</v>
      </c>
    </row>
    <row r="322" spans="1:24" ht="22.5">
      <c r="A322" s="645">
        <v>304</v>
      </c>
      <c r="B322" s="643" t="s">
        <v>1250</v>
      </c>
      <c r="C322" s="645" t="s">
        <v>441</v>
      </c>
      <c r="D322" s="645" t="s">
        <v>1233</v>
      </c>
      <c r="E322" s="645" t="s">
        <v>1115</v>
      </c>
      <c r="F322" s="645" t="s">
        <v>1114</v>
      </c>
      <c r="G322" s="645" t="s">
        <v>777</v>
      </c>
      <c r="H322" s="644">
        <v>7500000</v>
      </c>
      <c r="I322" s="644">
        <v>0</v>
      </c>
      <c r="J322" s="644">
        <v>0</v>
      </c>
      <c r="K322" s="644">
        <v>0</v>
      </c>
      <c r="L322" s="644">
        <v>0</v>
      </c>
      <c r="M322" s="644">
        <v>7500000</v>
      </c>
      <c r="N322" s="644">
        <v>0</v>
      </c>
      <c r="O322" s="644">
        <v>0</v>
      </c>
      <c r="P322" s="644">
        <v>7500000</v>
      </c>
      <c r="Q322" s="644">
        <v>7500000</v>
      </c>
      <c r="R322" s="644">
        <v>0</v>
      </c>
      <c r="S322" s="644">
        <v>0</v>
      </c>
      <c r="T322" s="644">
        <v>0</v>
      </c>
      <c r="U322" s="644">
        <v>0</v>
      </c>
      <c r="V322" s="644">
        <v>0</v>
      </c>
      <c r="W322" s="632">
        <v>0</v>
      </c>
      <c r="X322" s="632">
        <v>200078125</v>
      </c>
    </row>
    <row r="323" spans="1:24" ht="22.5">
      <c r="A323" s="645">
        <v>305</v>
      </c>
      <c r="B323" s="643" t="s">
        <v>1251</v>
      </c>
      <c r="C323" s="645" t="s">
        <v>441</v>
      </c>
      <c r="D323" s="645" t="s">
        <v>1252</v>
      </c>
      <c r="E323" s="645" t="s">
        <v>905</v>
      </c>
      <c r="F323" s="645" t="s">
        <v>1114</v>
      </c>
      <c r="G323" s="645" t="s">
        <v>777</v>
      </c>
      <c r="H323" s="644">
        <v>22000000</v>
      </c>
      <c r="I323" s="644">
        <v>0</v>
      </c>
      <c r="J323" s="644">
        <v>0</v>
      </c>
      <c r="K323" s="644">
        <v>0</v>
      </c>
      <c r="L323" s="644">
        <v>0</v>
      </c>
      <c r="M323" s="644">
        <v>22000000</v>
      </c>
      <c r="N323" s="644">
        <v>0</v>
      </c>
      <c r="O323" s="644">
        <v>0</v>
      </c>
      <c r="P323" s="644">
        <v>18803400</v>
      </c>
      <c r="Q323" s="644">
        <v>18803400</v>
      </c>
      <c r="R323" s="644">
        <v>0</v>
      </c>
      <c r="S323" s="644">
        <v>0</v>
      </c>
      <c r="T323" s="644">
        <v>0</v>
      </c>
      <c r="U323" s="644">
        <v>0</v>
      </c>
      <c r="V323" s="644">
        <v>0</v>
      </c>
      <c r="W323" s="632">
        <v>0</v>
      </c>
      <c r="X323" s="632">
        <v>17421000</v>
      </c>
    </row>
    <row r="324" spans="1:24" ht="22.5">
      <c r="A324" s="645">
        <v>306</v>
      </c>
      <c r="B324" s="643" t="s">
        <v>1251</v>
      </c>
      <c r="C324" s="645" t="s">
        <v>441</v>
      </c>
      <c r="D324" s="645" t="s">
        <v>1252</v>
      </c>
      <c r="E324" s="645" t="s">
        <v>1115</v>
      </c>
      <c r="F324" s="645" t="s">
        <v>1114</v>
      </c>
      <c r="G324" s="645" t="s">
        <v>777</v>
      </c>
      <c r="H324" s="644">
        <v>1547000000</v>
      </c>
      <c r="I324" s="644">
        <v>0</v>
      </c>
      <c r="J324" s="644">
        <v>0</v>
      </c>
      <c r="K324" s="644">
        <v>0</v>
      </c>
      <c r="L324" s="644">
        <v>0</v>
      </c>
      <c r="M324" s="644">
        <v>1547000000</v>
      </c>
      <c r="N324" s="644">
        <v>0</v>
      </c>
      <c r="O324" s="644">
        <v>0</v>
      </c>
      <c r="P324" s="644">
        <v>1547000000</v>
      </c>
      <c r="Q324" s="644">
        <v>1547000000</v>
      </c>
      <c r="R324" s="644">
        <v>0</v>
      </c>
      <c r="S324" s="644">
        <v>0</v>
      </c>
      <c r="T324" s="644">
        <v>0</v>
      </c>
      <c r="U324" s="644">
        <v>0</v>
      </c>
      <c r="V324" s="644">
        <v>0</v>
      </c>
      <c r="W324" s="632">
        <v>0</v>
      </c>
      <c r="X324" s="632">
        <v>0</v>
      </c>
    </row>
    <row r="325" spans="1:24" ht="22.5">
      <c r="A325" s="645">
        <v>307</v>
      </c>
      <c r="B325" s="643" t="s">
        <v>1251</v>
      </c>
      <c r="C325" s="645" t="s">
        <v>441</v>
      </c>
      <c r="D325" s="645" t="s">
        <v>1252</v>
      </c>
      <c r="E325" s="645" t="s">
        <v>1115</v>
      </c>
      <c r="F325" s="645" t="s">
        <v>1253</v>
      </c>
      <c r="G325" s="645" t="s">
        <v>777</v>
      </c>
      <c r="H325" s="644">
        <v>250000000</v>
      </c>
      <c r="I325" s="644">
        <v>0</v>
      </c>
      <c r="J325" s="644">
        <v>0</v>
      </c>
      <c r="K325" s="644">
        <v>0</v>
      </c>
      <c r="L325" s="644">
        <v>0</v>
      </c>
      <c r="M325" s="644">
        <v>0</v>
      </c>
      <c r="N325" s="644">
        <v>250000000</v>
      </c>
      <c r="O325" s="644">
        <v>0</v>
      </c>
      <c r="P325" s="644">
        <v>250000000</v>
      </c>
      <c r="Q325" s="644">
        <v>250000000</v>
      </c>
      <c r="R325" s="644">
        <v>0</v>
      </c>
      <c r="S325" s="644">
        <v>0</v>
      </c>
      <c r="T325" s="644">
        <v>0</v>
      </c>
      <c r="U325" s="644">
        <v>0</v>
      </c>
      <c r="V325" s="644">
        <v>0</v>
      </c>
      <c r="W325" s="632">
        <v>0</v>
      </c>
      <c r="X325" s="632">
        <v>0</v>
      </c>
    </row>
    <row r="326" spans="1:24" ht="22.5">
      <c r="A326" s="645">
        <v>308</v>
      </c>
      <c r="B326" s="643" t="s">
        <v>1254</v>
      </c>
      <c r="C326" s="645" t="s">
        <v>441</v>
      </c>
      <c r="D326" s="645" t="s">
        <v>1252</v>
      </c>
      <c r="E326" s="645" t="s">
        <v>1132</v>
      </c>
      <c r="F326" s="645" t="s">
        <v>1114</v>
      </c>
      <c r="G326" s="645" t="s">
        <v>777</v>
      </c>
      <c r="H326" s="644">
        <v>310800000</v>
      </c>
      <c r="I326" s="644">
        <v>0</v>
      </c>
      <c r="J326" s="644">
        <v>0</v>
      </c>
      <c r="K326" s="644">
        <v>0</v>
      </c>
      <c r="L326" s="644">
        <v>0</v>
      </c>
      <c r="M326" s="644">
        <v>0</v>
      </c>
      <c r="N326" s="644">
        <v>310800000</v>
      </c>
      <c r="O326" s="644">
        <v>0</v>
      </c>
      <c r="P326" s="644">
        <v>188449000</v>
      </c>
      <c r="Q326" s="644">
        <v>188449000</v>
      </c>
      <c r="R326" s="644">
        <v>0</v>
      </c>
      <c r="S326" s="644">
        <v>0</v>
      </c>
      <c r="T326" s="644">
        <v>0</v>
      </c>
      <c r="U326" s="644">
        <v>0</v>
      </c>
      <c r="V326" s="644">
        <v>0</v>
      </c>
      <c r="W326" s="632">
        <v>0</v>
      </c>
      <c r="X326" s="632">
        <v>0</v>
      </c>
    </row>
    <row r="327" spans="1:24" ht="22.5">
      <c r="A327" s="645">
        <v>309</v>
      </c>
      <c r="B327" s="643" t="s">
        <v>1254</v>
      </c>
      <c r="C327" s="645" t="s">
        <v>441</v>
      </c>
      <c r="D327" s="645" t="s">
        <v>1252</v>
      </c>
      <c r="E327" s="645" t="s">
        <v>1115</v>
      </c>
      <c r="F327" s="645" t="s">
        <v>1114</v>
      </c>
      <c r="G327" s="645" t="s">
        <v>777</v>
      </c>
      <c r="H327" s="644">
        <v>401000000</v>
      </c>
      <c r="I327" s="644">
        <v>0</v>
      </c>
      <c r="J327" s="644">
        <v>0</v>
      </c>
      <c r="K327" s="644">
        <v>0</v>
      </c>
      <c r="L327" s="644">
        <v>0</v>
      </c>
      <c r="M327" s="644">
        <v>401000000</v>
      </c>
      <c r="N327" s="644">
        <v>0</v>
      </c>
      <c r="O327" s="644">
        <v>0</v>
      </c>
      <c r="P327" s="644">
        <v>375398435</v>
      </c>
      <c r="Q327" s="644">
        <v>375398435</v>
      </c>
      <c r="R327" s="644">
        <v>0</v>
      </c>
      <c r="S327" s="644">
        <v>0</v>
      </c>
      <c r="T327" s="644">
        <v>0</v>
      </c>
      <c r="U327" s="644">
        <v>0</v>
      </c>
      <c r="V327" s="644">
        <v>0</v>
      </c>
      <c r="W327" s="632">
        <v>0</v>
      </c>
      <c r="X327" s="632">
        <v>0</v>
      </c>
    </row>
    <row r="328" spans="1:24" ht="22.5">
      <c r="A328" s="645">
        <v>310</v>
      </c>
      <c r="B328" s="643" t="s">
        <v>1255</v>
      </c>
      <c r="C328" s="645" t="s">
        <v>441</v>
      </c>
      <c r="D328" s="645" t="s">
        <v>1252</v>
      </c>
      <c r="E328" s="645" t="s">
        <v>904</v>
      </c>
      <c r="F328" s="645" t="s">
        <v>1114</v>
      </c>
      <c r="G328" s="645" t="s">
        <v>777</v>
      </c>
      <c r="H328" s="644">
        <v>896000000</v>
      </c>
      <c r="I328" s="644">
        <v>0</v>
      </c>
      <c r="J328" s="644">
        <v>0</v>
      </c>
      <c r="K328" s="644">
        <v>0</v>
      </c>
      <c r="L328" s="644">
        <v>0</v>
      </c>
      <c r="M328" s="644">
        <v>896000000</v>
      </c>
      <c r="N328" s="644">
        <v>0</v>
      </c>
      <c r="O328" s="644">
        <v>0</v>
      </c>
      <c r="P328" s="644">
        <v>867357142</v>
      </c>
      <c r="Q328" s="644">
        <v>867357142</v>
      </c>
      <c r="R328" s="644">
        <v>0</v>
      </c>
      <c r="S328" s="644">
        <v>0</v>
      </c>
      <c r="T328" s="644">
        <v>0</v>
      </c>
      <c r="U328" s="644">
        <v>0</v>
      </c>
      <c r="V328" s="644">
        <v>0</v>
      </c>
      <c r="W328" s="632">
        <v>0</v>
      </c>
      <c r="X328" s="632">
        <v>0</v>
      </c>
    </row>
    <row r="329" spans="1:24" ht="22.5">
      <c r="A329" s="645">
        <v>311</v>
      </c>
      <c r="B329" s="643" t="s">
        <v>1255</v>
      </c>
      <c r="C329" s="645" t="s">
        <v>441</v>
      </c>
      <c r="D329" s="645" t="s">
        <v>1252</v>
      </c>
      <c r="E329" s="645" t="s">
        <v>1115</v>
      </c>
      <c r="F329" s="645" t="s">
        <v>1114</v>
      </c>
      <c r="G329" s="645" t="s">
        <v>777</v>
      </c>
      <c r="H329" s="644">
        <v>2261000000</v>
      </c>
      <c r="I329" s="644">
        <v>0</v>
      </c>
      <c r="J329" s="644">
        <v>0</v>
      </c>
      <c r="K329" s="644">
        <v>0</v>
      </c>
      <c r="L329" s="644">
        <v>0</v>
      </c>
      <c r="M329" s="644">
        <v>2261000000</v>
      </c>
      <c r="N329" s="644">
        <v>0</v>
      </c>
      <c r="O329" s="644">
        <v>0</v>
      </c>
      <c r="P329" s="644">
        <v>2041746315</v>
      </c>
      <c r="Q329" s="644">
        <v>2041746315</v>
      </c>
      <c r="R329" s="644">
        <v>0</v>
      </c>
      <c r="S329" s="644">
        <v>0</v>
      </c>
      <c r="T329" s="644">
        <v>0</v>
      </c>
      <c r="U329" s="644">
        <v>0</v>
      </c>
      <c r="V329" s="644">
        <v>0</v>
      </c>
      <c r="W329" s="632">
        <v>0</v>
      </c>
      <c r="X329" s="632">
        <v>0</v>
      </c>
    </row>
    <row r="330" spans="1:24" ht="22.5">
      <c r="A330" s="645">
        <v>312</v>
      </c>
      <c r="B330" s="643" t="s">
        <v>1256</v>
      </c>
      <c r="C330" s="645" t="s">
        <v>441</v>
      </c>
      <c r="D330" s="645" t="s">
        <v>1252</v>
      </c>
      <c r="E330" s="645" t="s">
        <v>904</v>
      </c>
      <c r="F330" s="645" t="s">
        <v>1114</v>
      </c>
      <c r="G330" s="645" t="s">
        <v>777</v>
      </c>
      <c r="H330" s="644">
        <v>634000000</v>
      </c>
      <c r="I330" s="644">
        <v>0</v>
      </c>
      <c r="J330" s="644">
        <v>0</v>
      </c>
      <c r="K330" s="644">
        <v>0</v>
      </c>
      <c r="L330" s="644">
        <v>0</v>
      </c>
      <c r="M330" s="644">
        <v>634000000</v>
      </c>
      <c r="N330" s="644">
        <v>0</v>
      </c>
      <c r="O330" s="644">
        <v>0</v>
      </c>
      <c r="P330" s="644">
        <v>608635800</v>
      </c>
      <c r="Q330" s="644">
        <v>608635800</v>
      </c>
      <c r="R330" s="644">
        <v>0</v>
      </c>
      <c r="S330" s="644">
        <v>0</v>
      </c>
      <c r="T330" s="644">
        <v>0</v>
      </c>
      <c r="U330" s="644">
        <v>0</v>
      </c>
      <c r="V330" s="644">
        <v>0</v>
      </c>
      <c r="W330" s="632">
        <v>0</v>
      </c>
      <c r="X330" s="632">
        <v>0</v>
      </c>
    </row>
    <row r="331" spans="1:24" ht="22.5">
      <c r="A331" s="645">
        <v>313</v>
      </c>
      <c r="B331" s="643" t="s">
        <v>1256</v>
      </c>
      <c r="C331" s="645" t="s">
        <v>441</v>
      </c>
      <c r="D331" s="645" t="s">
        <v>1252</v>
      </c>
      <c r="E331" s="645" t="s">
        <v>1115</v>
      </c>
      <c r="F331" s="645" t="s">
        <v>1114</v>
      </c>
      <c r="G331" s="645" t="s">
        <v>777</v>
      </c>
      <c r="H331" s="644">
        <v>4498974000</v>
      </c>
      <c r="I331" s="644">
        <v>0</v>
      </c>
      <c r="J331" s="644">
        <v>0</v>
      </c>
      <c r="K331" s="644">
        <v>0</v>
      </c>
      <c r="L331" s="644">
        <v>0</v>
      </c>
      <c r="M331" s="644">
        <v>4498974000</v>
      </c>
      <c r="N331" s="644">
        <v>0</v>
      </c>
      <c r="O331" s="644">
        <v>0</v>
      </c>
      <c r="P331" s="644">
        <v>4498974000</v>
      </c>
      <c r="Q331" s="644">
        <v>4498974000</v>
      </c>
      <c r="R331" s="644">
        <v>0</v>
      </c>
      <c r="S331" s="644">
        <v>0</v>
      </c>
      <c r="T331" s="644">
        <v>0</v>
      </c>
      <c r="U331" s="644">
        <v>0</v>
      </c>
      <c r="V331" s="644">
        <v>0</v>
      </c>
      <c r="W331" s="632">
        <v>0</v>
      </c>
      <c r="X331" s="632">
        <v>13853160</v>
      </c>
    </row>
    <row r="332" spans="1:24" ht="22.5">
      <c r="A332" s="645">
        <v>314</v>
      </c>
      <c r="B332" s="643" t="s">
        <v>1257</v>
      </c>
      <c r="C332" s="645" t="s">
        <v>441</v>
      </c>
      <c r="D332" s="645" t="s">
        <v>1252</v>
      </c>
      <c r="E332" s="645" t="s">
        <v>1132</v>
      </c>
      <c r="F332" s="645" t="s">
        <v>1114</v>
      </c>
      <c r="G332" s="645" t="s">
        <v>777</v>
      </c>
      <c r="H332" s="644">
        <v>1265500000</v>
      </c>
      <c r="I332" s="644">
        <v>0</v>
      </c>
      <c r="J332" s="644">
        <v>0</v>
      </c>
      <c r="K332" s="644">
        <v>0</v>
      </c>
      <c r="L332" s="644">
        <v>0</v>
      </c>
      <c r="M332" s="644">
        <v>0</v>
      </c>
      <c r="N332" s="644">
        <v>1265500000</v>
      </c>
      <c r="O332" s="644">
        <v>0</v>
      </c>
      <c r="P332" s="644">
        <v>996724000</v>
      </c>
      <c r="Q332" s="644">
        <v>996724000</v>
      </c>
      <c r="R332" s="644">
        <v>0</v>
      </c>
      <c r="S332" s="644">
        <v>268776000</v>
      </c>
      <c r="T332" s="644">
        <v>268776000</v>
      </c>
      <c r="U332" s="644">
        <v>0</v>
      </c>
      <c r="V332" s="644">
        <v>0</v>
      </c>
      <c r="W332" s="632">
        <v>0</v>
      </c>
      <c r="X332" s="632">
        <v>49854524</v>
      </c>
    </row>
    <row r="333" spans="1:24" ht="22.5">
      <c r="A333" s="645">
        <v>315</v>
      </c>
      <c r="B333" s="643" t="s">
        <v>1257</v>
      </c>
      <c r="C333" s="645" t="s">
        <v>441</v>
      </c>
      <c r="D333" s="645" t="s">
        <v>1252</v>
      </c>
      <c r="E333" s="645" t="s">
        <v>680</v>
      </c>
      <c r="F333" s="645" t="s">
        <v>1114</v>
      </c>
      <c r="G333" s="645" t="s">
        <v>777</v>
      </c>
      <c r="H333" s="644">
        <v>1223400000</v>
      </c>
      <c r="I333" s="644">
        <v>0</v>
      </c>
      <c r="J333" s="644">
        <v>0</v>
      </c>
      <c r="K333" s="644">
        <v>0</v>
      </c>
      <c r="L333" s="644">
        <v>0</v>
      </c>
      <c r="M333" s="644">
        <v>2025000000</v>
      </c>
      <c r="N333" s="644">
        <v>-801600000</v>
      </c>
      <c r="O333" s="644">
        <v>0</v>
      </c>
      <c r="P333" s="644">
        <v>1040956478</v>
      </c>
      <c r="Q333" s="644">
        <v>1040956478</v>
      </c>
      <c r="R333" s="644">
        <v>0</v>
      </c>
      <c r="S333" s="644">
        <v>0</v>
      </c>
      <c r="T333" s="644">
        <v>0</v>
      </c>
      <c r="U333" s="644">
        <v>0</v>
      </c>
      <c r="V333" s="644">
        <v>0</v>
      </c>
      <c r="W333" s="632">
        <v>0</v>
      </c>
      <c r="X333" s="632">
        <v>0</v>
      </c>
    </row>
    <row r="334" spans="1:24" ht="22.5">
      <c r="A334" s="645">
        <v>316</v>
      </c>
      <c r="B334" s="643" t="s">
        <v>1257</v>
      </c>
      <c r="C334" s="645" t="s">
        <v>441</v>
      </c>
      <c r="D334" s="645" t="s">
        <v>1252</v>
      </c>
      <c r="E334" s="645" t="s">
        <v>905</v>
      </c>
      <c r="F334" s="645" t="s">
        <v>1114</v>
      </c>
      <c r="G334" s="645" t="s">
        <v>777</v>
      </c>
      <c r="H334" s="644">
        <v>2103830000</v>
      </c>
      <c r="I334" s="644">
        <v>0</v>
      </c>
      <c r="J334" s="644">
        <v>0</v>
      </c>
      <c r="K334" s="644">
        <v>0</v>
      </c>
      <c r="L334" s="644">
        <v>0</v>
      </c>
      <c r="M334" s="644">
        <v>1971730000</v>
      </c>
      <c r="N334" s="644">
        <v>132100000</v>
      </c>
      <c r="O334" s="644">
        <v>0</v>
      </c>
      <c r="P334" s="644">
        <v>1863105173</v>
      </c>
      <c r="Q334" s="644">
        <v>1863105173</v>
      </c>
      <c r="R334" s="644">
        <v>0</v>
      </c>
      <c r="S334" s="644">
        <v>13000000</v>
      </c>
      <c r="T334" s="644">
        <v>13000000</v>
      </c>
      <c r="U334" s="644">
        <v>0</v>
      </c>
      <c r="V334" s="644">
        <v>0</v>
      </c>
      <c r="W334" s="632">
        <v>0</v>
      </c>
      <c r="X334" s="632">
        <v>0</v>
      </c>
    </row>
    <row r="335" spans="1:24" ht="22.5">
      <c r="A335" s="645">
        <v>317</v>
      </c>
      <c r="B335" s="643" t="s">
        <v>1257</v>
      </c>
      <c r="C335" s="645" t="s">
        <v>441</v>
      </c>
      <c r="D335" s="645" t="s">
        <v>1252</v>
      </c>
      <c r="E335" s="645" t="s">
        <v>1115</v>
      </c>
      <c r="F335" s="645" t="s">
        <v>1114</v>
      </c>
      <c r="G335" s="645" t="s">
        <v>777</v>
      </c>
      <c r="H335" s="644">
        <v>4297077000</v>
      </c>
      <c r="I335" s="644">
        <v>0</v>
      </c>
      <c r="J335" s="644">
        <v>0</v>
      </c>
      <c r="K335" s="644">
        <v>0</v>
      </c>
      <c r="L335" s="644">
        <v>0</v>
      </c>
      <c r="M335" s="644">
        <v>4217077000</v>
      </c>
      <c r="N335" s="644">
        <v>80000000</v>
      </c>
      <c r="O335" s="644">
        <v>0</v>
      </c>
      <c r="P335" s="644">
        <v>4256391505</v>
      </c>
      <c r="Q335" s="644">
        <v>4256391505</v>
      </c>
      <c r="R335" s="644">
        <v>0</v>
      </c>
      <c r="S335" s="644">
        <v>0</v>
      </c>
      <c r="T335" s="644">
        <v>0</v>
      </c>
      <c r="U335" s="644">
        <v>0</v>
      </c>
      <c r="V335" s="644">
        <v>0</v>
      </c>
      <c r="W335" s="632">
        <v>0</v>
      </c>
      <c r="X335" s="632">
        <v>0</v>
      </c>
    </row>
    <row r="336" spans="1:24" ht="22.5">
      <c r="A336" s="645">
        <v>318</v>
      </c>
      <c r="B336" s="643" t="s">
        <v>1257</v>
      </c>
      <c r="C336" s="645" t="s">
        <v>441</v>
      </c>
      <c r="D336" s="645" t="s">
        <v>1252</v>
      </c>
      <c r="E336" s="645" t="s">
        <v>1116</v>
      </c>
      <c r="F336" s="645" t="s">
        <v>1114</v>
      </c>
      <c r="G336" s="645" t="s">
        <v>777</v>
      </c>
      <c r="H336" s="644">
        <v>410164000</v>
      </c>
      <c r="I336" s="644">
        <v>0</v>
      </c>
      <c r="J336" s="644">
        <v>0</v>
      </c>
      <c r="K336" s="644">
        <v>0</v>
      </c>
      <c r="L336" s="644">
        <v>0</v>
      </c>
      <c r="M336" s="644">
        <v>0</v>
      </c>
      <c r="N336" s="644">
        <v>410164000</v>
      </c>
      <c r="O336" s="644">
        <v>0</v>
      </c>
      <c r="P336" s="644">
        <v>395821850</v>
      </c>
      <c r="Q336" s="644">
        <v>395821850</v>
      </c>
      <c r="R336" s="644">
        <v>0</v>
      </c>
      <c r="S336" s="644">
        <v>0</v>
      </c>
      <c r="T336" s="644">
        <v>0</v>
      </c>
      <c r="U336" s="644">
        <v>0</v>
      </c>
      <c r="V336" s="644">
        <v>0</v>
      </c>
      <c r="W336" s="632">
        <v>0</v>
      </c>
      <c r="X336" s="632">
        <v>0</v>
      </c>
    </row>
    <row r="337" spans="1:24" ht="22.5">
      <c r="A337" s="645">
        <v>319</v>
      </c>
      <c r="B337" s="643" t="s">
        <v>1257</v>
      </c>
      <c r="C337" s="645" t="s">
        <v>441</v>
      </c>
      <c r="D337" s="645" t="s">
        <v>1252</v>
      </c>
      <c r="E337" s="645" t="s">
        <v>1132</v>
      </c>
      <c r="F337" s="645" t="s">
        <v>1258</v>
      </c>
      <c r="G337" s="645" t="s">
        <v>777</v>
      </c>
      <c r="H337" s="644">
        <v>1175000000</v>
      </c>
      <c r="I337" s="644">
        <v>0</v>
      </c>
      <c r="J337" s="644">
        <v>0</v>
      </c>
      <c r="K337" s="644">
        <v>0</v>
      </c>
      <c r="L337" s="644">
        <v>0</v>
      </c>
      <c r="M337" s="644">
        <v>0</v>
      </c>
      <c r="N337" s="644">
        <v>1175000000</v>
      </c>
      <c r="O337" s="644">
        <v>0</v>
      </c>
      <c r="P337" s="644">
        <v>458619000</v>
      </c>
      <c r="Q337" s="644">
        <v>458619000</v>
      </c>
      <c r="R337" s="644">
        <v>0</v>
      </c>
      <c r="S337" s="644">
        <v>716381000</v>
      </c>
      <c r="T337" s="644">
        <v>716381000</v>
      </c>
      <c r="U337" s="644">
        <v>0</v>
      </c>
      <c r="V337" s="644">
        <v>0</v>
      </c>
      <c r="W337" s="632">
        <v>0</v>
      </c>
      <c r="X337" s="632">
        <v>0</v>
      </c>
    </row>
    <row r="338" spans="1:24" ht="22.5">
      <c r="A338" s="645">
        <v>320</v>
      </c>
      <c r="B338" s="643" t="s">
        <v>1257</v>
      </c>
      <c r="C338" s="645" t="s">
        <v>441</v>
      </c>
      <c r="D338" s="645" t="s">
        <v>1252</v>
      </c>
      <c r="E338" s="645" t="s">
        <v>1132</v>
      </c>
      <c r="F338" s="645" t="s">
        <v>1133</v>
      </c>
      <c r="G338" s="645" t="s">
        <v>777</v>
      </c>
      <c r="H338" s="644">
        <v>448000000</v>
      </c>
      <c r="I338" s="644">
        <v>0</v>
      </c>
      <c r="J338" s="644">
        <v>0</v>
      </c>
      <c r="K338" s="644">
        <v>0</v>
      </c>
      <c r="L338" s="644">
        <v>0</v>
      </c>
      <c r="M338" s="644">
        <v>0</v>
      </c>
      <c r="N338" s="644">
        <v>448000000</v>
      </c>
      <c r="O338" s="644">
        <v>0</v>
      </c>
      <c r="P338" s="644">
        <v>433355000</v>
      </c>
      <c r="Q338" s="644">
        <v>433355000</v>
      </c>
      <c r="R338" s="644">
        <v>0</v>
      </c>
      <c r="S338" s="644">
        <v>0</v>
      </c>
      <c r="T338" s="644">
        <v>0</v>
      </c>
      <c r="U338" s="644">
        <v>0</v>
      </c>
      <c r="V338" s="644">
        <v>0</v>
      </c>
      <c r="W338" s="632">
        <v>0</v>
      </c>
      <c r="X338" s="632">
        <v>1500000</v>
      </c>
    </row>
    <row r="339" spans="1:24" ht="22.5">
      <c r="A339" s="645">
        <v>321</v>
      </c>
      <c r="B339" s="643" t="s">
        <v>1257</v>
      </c>
      <c r="C339" s="645" t="s">
        <v>441</v>
      </c>
      <c r="D339" s="645" t="s">
        <v>1252</v>
      </c>
      <c r="E339" s="645" t="s">
        <v>904</v>
      </c>
      <c r="F339" s="645" t="s">
        <v>1259</v>
      </c>
      <c r="G339" s="645" t="s">
        <v>777</v>
      </c>
      <c r="H339" s="644">
        <v>909000000</v>
      </c>
      <c r="I339" s="644">
        <v>0</v>
      </c>
      <c r="J339" s="644">
        <v>0</v>
      </c>
      <c r="K339" s="644">
        <v>0</v>
      </c>
      <c r="L339" s="644">
        <v>0</v>
      </c>
      <c r="M339" s="644">
        <v>0</v>
      </c>
      <c r="N339" s="644">
        <v>909000000</v>
      </c>
      <c r="O339" s="644">
        <v>0</v>
      </c>
      <c r="P339" s="644">
        <v>3300000</v>
      </c>
      <c r="Q339" s="644">
        <v>3300000</v>
      </c>
      <c r="R339" s="644">
        <v>0</v>
      </c>
      <c r="S339" s="644">
        <v>905700000</v>
      </c>
      <c r="T339" s="644">
        <v>905700000</v>
      </c>
      <c r="U339" s="644">
        <v>0</v>
      </c>
      <c r="V339" s="644">
        <v>0</v>
      </c>
      <c r="W339" s="632">
        <v>0</v>
      </c>
      <c r="X339" s="632">
        <v>28370200</v>
      </c>
    </row>
    <row r="340" spans="1:24" ht="22.5">
      <c r="A340" s="645">
        <v>322</v>
      </c>
      <c r="B340" s="643" t="s">
        <v>1257</v>
      </c>
      <c r="C340" s="645" t="s">
        <v>441</v>
      </c>
      <c r="D340" s="645" t="s">
        <v>1252</v>
      </c>
      <c r="E340" s="645" t="s">
        <v>904</v>
      </c>
      <c r="F340" s="645" t="s">
        <v>1260</v>
      </c>
      <c r="G340" s="645" t="s">
        <v>777</v>
      </c>
      <c r="H340" s="644">
        <v>232000000</v>
      </c>
      <c r="I340" s="644">
        <v>0</v>
      </c>
      <c r="J340" s="644">
        <v>0</v>
      </c>
      <c r="K340" s="644">
        <v>0</v>
      </c>
      <c r="L340" s="644">
        <v>0</v>
      </c>
      <c r="M340" s="644">
        <v>0</v>
      </c>
      <c r="N340" s="644">
        <v>232000000</v>
      </c>
      <c r="O340" s="644">
        <v>0</v>
      </c>
      <c r="P340" s="644">
        <v>231586000</v>
      </c>
      <c r="Q340" s="644">
        <v>231586000</v>
      </c>
      <c r="R340" s="644">
        <v>0</v>
      </c>
      <c r="S340" s="644">
        <v>0</v>
      </c>
      <c r="T340" s="644">
        <v>0</v>
      </c>
      <c r="U340" s="644">
        <v>0</v>
      </c>
      <c r="V340" s="644">
        <v>0</v>
      </c>
      <c r="W340" s="632">
        <v>0</v>
      </c>
      <c r="X340" s="632">
        <v>0</v>
      </c>
    </row>
    <row r="341" spans="1:24" ht="22.5">
      <c r="A341" s="645">
        <v>323</v>
      </c>
      <c r="B341" s="643" t="s">
        <v>1257</v>
      </c>
      <c r="C341" s="645" t="s">
        <v>441</v>
      </c>
      <c r="D341" s="645" t="s">
        <v>1252</v>
      </c>
      <c r="E341" s="645" t="s">
        <v>904</v>
      </c>
      <c r="F341" s="645" t="s">
        <v>1261</v>
      </c>
      <c r="G341" s="645" t="s">
        <v>777</v>
      </c>
      <c r="H341" s="644">
        <v>573000000</v>
      </c>
      <c r="I341" s="644">
        <v>0</v>
      </c>
      <c r="J341" s="644">
        <v>0</v>
      </c>
      <c r="K341" s="644">
        <v>0</v>
      </c>
      <c r="L341" s="644">
        <v>0</v>
      </c>
      <c r="M341" s="644">
        <v>0</v>
      </c>
      <c r="N341" s="644">
        <v>573000000</v>
      </c>
      <c r="O341" s="644">
        <v>0</v>
      </c>
      <c r="P341" s="644">
        <v>559626440</v>
      </c>
      <c r="Q341" s="644">
        <v>559626440</v>
      </c>
      <c r="R341" s="644">
        <v>0</v>
      </c>
      <c r="S341" s="644">
        <v>0</v>
      </c>
      <c r="T341" s="644">
        <v>0</v>
      </c>
      <c r="U341" s="644">
        <v>0</v>
      </c>
      <c r="V341" s="644">
        <v>0</v>
      </c>
      <c r="W341" s="632">
        <v>0</v>
      </c>
      <c r="X341" s="632">
        <v>460000</v>
      </c>
    </row>
    <row r="342" spans="1:24" ht="22.5">
      <c r="A342" s="645">
        <v>324</v>
      </c>
      <c r="B342" s="643" t="s">
        <v>1257</v>
      </c>
      <c r="C342" s="645" t="s">
        <v>441</v>
      </c>
      <c r="D342" s="645" t="s">
        <v>1252</v>
      </c>
      <c r="E342" s="645" t="s">
        <v>1115</v>
      </c>
      <c r="F342" s="645" t="s">
        <v>1253</v>
      </c>
      <c r="G342" s="645" t="s">
        <v>777</v>
      </c>
      <c r="H342" s="644">
        <v>876000000</v>
      </c>
      <c r="I342" s="644">
        <v>0</v>
      </c>
      <c r="J342" s="644">
        <v>0</v>
      </c>
      <c r="K342" s="644">
        <v>0</v>
      </c>
      <c r="L342" s="644">
        <v>0</v>
      </c>
      <c r="M342" s="644">
        <v>0</v>
      </c>
      <c r="N342" s="644">
        <v>876000000</v>
      </c>
      <c r="O342" s="644">
        <v>0</v>
      </c>
      <c r="P342" s="644">
        <v>360811000</v>
      </c>
      <c r="Q342" s="644">
        <v>360811000</v>
      </c>
      <c r="R342" s="644">
        <v>0</v>
      </c>
      <c r="S342" s="644">
        <v>515189000</v>
      </c>
      <c r="T342" s="644">
        <v>0</v>
      </c>
      <c r="U342" s="644">
        <v>0</v>
      </c>
      <c r="V342" s="644">
        <v>0</v>
      </c>
      <c r="W342" s="632">
        <v>515189000</v>
      </c>
      <c r="X342" s="632">
        <v>0</v>
      </c>
    </row>
    <row r="343" spans="1:24" ht="22.5">
      <c r="A343" s="645">
        <v>325</v>
      </c>
      <c r="B343" s="643" t="s">
        <v>1262</v>
      </c>
      <c r="C343" s="645" t="s">
        <v>441</v>
      </c>
      <c r="D343" s="645" t="s">
        <v>1252</v>
      </c>
      <c r="E343" s="645" t="s">
        <v>904</v>
      </c>
      <c r="F343" s="645" t="s">
        <v>1114</v>
      </c>
      <c r="G343" s="645" t="s">
        <v>777</v>
      </c>
      <c r="H343" s="644">
        <v>79340000</v>
      </c>
      <c r="I343" s="644">
        <v>0</v>
      </c>
      <c r="J343" s="644">
        <v>0</v>
      </c>
      <c r="K343" s="644">
        <v>0</v>
      </c>
      <c r="L343" s="644">
        <v>0</v>
      </c>
      <c r="M343" s="644">
        <v>79340000</v>
      </c>
      <c r="N343" s="644">
        <v>0</v>
      </c>
      <c r="O343" s="644">
        <v>0</v>
      </c>
      <c r="P343" s="644">
        <v>76143400</v>
      </c>
      <c r="Q343" s="644">
        <v>76143400</v>
      </c>
      <c r="R343" s="644">
        <v>0</v>
      </c>
      <c r="S343" s="644">
        <v>0</v>
      </c>
      <c r="T343" s="644">
        <v>0</v>
      </c>
      <c r="U343" s="644">
        <v>0</v>
      </c>
      <c r="V343" s="644">
        <v>0</v>
      </c>
      <c r="W343" s="632">
        <v>0</v>
      </c>
      <c r="X343" s="632">
        <v>0</v>
      </c>
    </row>
    <row r="344" spans="1:24" ht="22.5">
      <c r="A344" s="645">
        <v>326</v>
      </c>
      <c r="B344" s="643" t="s">
        <v>1262</v>
      </c>
      <c r="C344" s="645" t="s">
        <v>441</v>
      </c>
      <c r="D344" s="645" t="s">
        <v>1252</v>
      </c>
      <c r="E344" s="645" t="s">
        <v>1115</v>
      </c>
      <c r="F344" s="645" t="s">
        <v>1114</v>
      </c>
      <c r="G344" s="645" t="s">
        <v>777</v>
      </c>
      <c r="H344" s="644">
        <v>3991476000</v>
      </c>
      <c r="I344" s="644">
        <v>0</v>
      </c>
      <c r="J344" s="644">
        <v>0</v>
      </c>
      <c r="K344" s="644">
        <v>0</v>
      </c>
      <c r="L344" s="644">
        <v>0</v>
      </c>
      <c r="M344" s="644">
        <v>3991476000</v>
      </c>
      <c r="N344" s="644">
        <v>0</v>
      </c>
      <c r="O344" s="644">
        <v>0</v>
      </c>
      <c r="P344" s="644">
        <v>3977468836</v>
      </c>
      <c r="Q344" s="644">
        <v>3977468836</v>
      </c>
      <c r="R344" s="644">
        <v>0</v>
      </c>
      <c r="S344" s="644">
        <v>0</v>
      </c>
      <c r="T344" s="644">
        <v>0</v>
      </c>
      <c r="U344" s="644">
        <v>0</v>
      </c>
      <c r="V344" s="644">
        <v>0</v>
      </c>
      <c r="W344" s="632">
        <v>0</v>
      </c>
      <c r="X344" s="632">
        <v>0</v>
      </c>
    </row>
    <row r="345" spans="1:24" ht="22.5">
      <c r="A345" s="645">
        <v>327</v>
      </c>
      <c r="B345" s="643" t="s">
        <v>1263</v>
      </c>
      <c r="C345" s="645" t="s">
        <v>441</v>
      </c>
      <c r="D345" s="645" t="s">
        <v>1252</v>
      </c>
      <c r="E345" s="645" t="s">
        <v>1132</v>
      </c>
      <c r="F345" s="645" t="s">
        <v>1114</v>
      </c>
      <c r="G345" s="645" t="s">
        <v>777</v>
      </c>
      <c r="H345" s="644">
        <v>567600000</v>
      </c>
      <c r="I345" s="644">
        <v>0</v>
      </c>
      <c r="J345" s="644">
        <v>0</v>
      </c>
      <c r="K345" s="644">
        <v>0</v>
      </c>
      <c r="L345" s="644">
        <v>0</v>
      </c>
      <c r="M345" s="644">
        <v>0</v>
      </c>
      <c r="N345" s="644">
        <v>567600000</v>
      </c>
      <c r="O345" s="644">
        <v>0</v>
      </c>
      <c r="P345" s="644">
        <v>524261000</v>
      </c>
      <c r="Q345" s="644">
        <v>524261000</v>
      </c>
      <c r="R345" s="644">
        <v>0</v>
      </c>
      <c r="S345" s="644">
        <v>0</v>
      </c>
      <c r="T345" s="644">
        <v>0</v>
      </c>
      <c r="U345" s="644">
        <v>0</v>
      </c>
      <c r="V345" s="644">
        <v>0</v>
      </c>
      <c r="W345" s="632">
        <v>0</v>
      </c>
      <c r="X345" s="632">
        <v>0</v>
      </c>
    </row>
    <row r="346" spans="1:24" ht="22.5">
      <c r="A346" s="645">
        <v>328</v>
      </c>
      <c r="B346" s="643" t="s">
        <v>1263</v>
      </c>
      <c r="C346" s="645" t="s">
        <v>441</v>
      </c>
      <c r="D346" s="645" t="s">
        <v>1252</v>
      </c>
      <c r="E346" s="645" t="s">
        <v>904</v>
      </c>
      <c r="F346" s="645" t="s">
        <v>1114</v>
      </c>
      <c r="G346" s="645" t="s">
        <v>777</v>
      </c>
      <c r="H346" s="644">
        <v>2010300000</v>
      </c>
      <c r="I346" s="644">
        <v>0</v>
      </c>
      <c r="J346" s="644">
        <v>0</v>
      </c>
      <c r="K346" s="644">
        <v>0</v>
      </c>
      <c r="L346" s="644">
        <v>0</v>
      </c>
      <c r="M346" s="644">
        <v>2010300000</v>
      </c>
      <c r="N346" s="644">
        <v>0</v>
      </c>
      <c r="O346" s="644">
        <v>0</v>
      </c>
      <c r="P346" s="644">
        <v>1899992000</v>
      </c>
      <c r="Q346" s="644">
        <v>1899992000</v>
      </c>
      <c r="R346" s="644">
        <v>0</v>
      </c>
      <c r="S346" s="644">
        <v>0</v>
      </c>
      <c r="T346" s="644">
        <v>0</v>
      </c>
      <c r="U346" s="644">
        <v>0</v>
      </c>
      <c r="V346" s="644">
        <v>0</v>
      </c>
      <c r="W346" s="632">
        <v>0</v>
      </c>
      <c r="X346" s="632">
        <v>20572342</v>
      </c>
    </row>
    <row r="347" spans="1:24">
      <c r="A347" s="645">
        <v>329</v>
      </c>
      <c r="B347" s="643" t="s">
        <v>1264</v>
      </c>
      <c r="C347" s="645" t="s">
        <v>441</v>
      </c>
      <c r="D347" s="645" t="s">
        <v>1252</v>
      </c>
      <c r="E347" s="645" t="s">
        <v>904</v>
      </c>
      <c r="F347" s="645" t="s">
        <v>1114</v>
      </c>
      <c r="G347" s="645" t="s">
        <v>777</v>
      </c>
      <c r="H347" s="644">
        <v>11000000</v>
      </c>
      <c r="I347" s="644">
        <v>0</v>
      </c>
      <c r="J347" s="644">
        <v>0</v>
      </c>
      <c r="K347" s="644">
        <v>0</v>
      </c>
      <c r="L347" s="644">
        <v>0</v>
      </c>
      <c r="M347" s="644">
        <v>11000000</v>
      </c>
      <c r="N347" s="644">
        <v>0</v>
      </c>
      <c r="O347" s="644">
        <v>0</v>
      </c>
      <c r="P347" s="644">
        <v>9401700</v>
      </c>
      <c r="Q347" s="644">
        <v>9401700</v>
      </c>
      <c r="R347" s="644">
        <v>0</v>
      </c>
      <c r="S347" s="644">
        <v>0</v>
      </c>
      <c r="T347" s="644">
        <v>0</v>
      </c>
      <c r="U347" s="644">
        <v>0</v>
      </c>
      <c r="V347" s="644">
        <v>0</v>
      </c>
      <c r="W347" s="632">
        <v>0</v>
      </c>
      <c r="X347" s="632">
        <v>0</v>
      </c>
    </row>
    <row r="348" spans="1:24">
      <c r="A348" s="645">
        <v>330</v>
      </c>
      <c r="B348" s="643" t="s">
        <v>1264</v>
      </c>
      <c r="C348" s="645" t="s">
        <v>441</v>
      </c>
      <c r="D348" s="645" t="s">
        <v>1252</v>
      </c>
      <c r="E348" s="645" t="s">
        <v>1115</v>
      </c>
      <c r="F348" s="645" t="s">
        <v>1114</v>
      </c>
      <c r="G348" s="645" t="s">
        <v>777</v>
      </c>
      <c r="H348" s="644">
        <v>350000000</v>
      </c>
      <c r="I348" s="644">
        <v>0</v>
      </c>
      <c r="J348" s="644">
        <v>0</v>
      </c>
      <c r="K348" s="644">
        <v>0</v>
      </c>
      <c r="L348" s="644">
        <v>0</v>
      </c>
      <c r="M348" s="644">
        <v>350000000</v>
      </c>
      <c r="N348" s="644">
        <v>0</v>
      </c>
      <c r="O348" s="644">
        <v>0</v>
      </c>
      <c r="P348" s="644">
        <v>134701620</v>
      </c>
      <c r="Q348" s="644">
        <v>134701620</v>
      </c>
      <c r="R348" s="644">
        <v>0</v>
      </c>
      <c r="S348" s="644">
        <v>0</v>
      </c>
      <c r="T348" s="644">
        <v>0</v>
      </c>
      <c r="U348" s="644">
        <v>0</v>
      </c>
      <c r="V348" s="644">
        <v>0</v>
      </c>
      <c r="W348" s="632">
        <v>0</v>
      </c>
      <c r="X348" s="632">
        <v>0</v>
      </c>
    </row>
    <row r="349" spans="1:24" ht="22.5">
      <c r="A349" s="645">
        <v>331</v>
      </c>
      <c r="B349" s="643" t="s">
        <v>1265</v>
      </c>
      <c r="C349" s="645" t="s">
        <v>441</v>
      </c>
      <c r="D349" s="645" t="s">
        <v>1252</v>
      </c>
      <c r="E349" s="645" t="s">
        <v>1125</v>
      </c>
      <c r="F349" s="645" t="s">
        <v>1114</v>
      </c>
      <c r="G349" s="645" t="s">
        <v>777</v>
      </c>
      <c r="H349" s="644">
        <v>302250000</v>
      </c>
      <c r="I349" s="644">
        <v>0</v>
      </c>
      <c r="J349" s="644">
        <v>0</v>
      </c>
      <c r="K349" s="644">
        <v>0</v>
      </c>
      <c r="L349" s="644">
        <v>0</v>
      </c>
      <c r="M349" s="644">
        <v>302250000</v>
      </c>
      <c r="N349" s="644">
        <v>0</v>
      </c>
      <c r="O349" s="644">
        <v>0</v>
      </c>
      <c r="P349" s="644">
        <v>292500000</v>
      </c>
      <c r="Q349" s="644">
        <v>292500000</v>
      </c>
      <c r="R349" s="644">
        <v>0</v>
      </c>
      <c r="S349" s="644">
        <v>0</v>
      </c>
      <c r="T349" s="644">
        <v>0</v>
      </c>
      <c r="U349" s="644">
        <v>0</v>
      </c>
      <c r="V349" s="644">
        <v>0</v>
      </c>
      <c r="W349" s="632">
        <v>0</v>
      </c>
      <c r="X349" s="632">
        <v>0</v>
      </c>
    </row>
    <row r="350" spans="1:24" ht="22.5">
      <c r="A350" s="645">
        <v>332</v>
      </c>
      <c r="B350" s="643" t="s">
        <v>1265</v>
      </c>
      <c r="C350" s="645" t="s">
        <v>441</v>
      </c>
      <c r="D350" s="645" t="s">
        <v>1252</v>
      </c>
      <c r="E350" s="645" t="s">
        <v>1132</v>
      </c>
      <c r="F350" s="645" t="s">
        <v>1114</v>
      </c>
      <c r="G350" s="645" t="s">
        <v>777</v>
      </c>
      <c r="H350" s="644">
        <v>403600000</v>
      </c>
      <c r="I350" s="644">
        <v>0</v>
      </c>
      <c r="J350" s="644">
        <v>0</v>
      </c>
      <c r="K350" s="644">
        <v>0</v>
      </c>
      <c r="L350" s="644">
        <v>0</v>
      </c>
      <c r="M350" s="644">
        <v>0</v>
      </c>
      <c r="N350" s="644">
        <v>403600000</v>
      </c>
      <c r="O350" s="644">
        <v>0</v>
      </c>
      <c r="P350" s="644">
        <v>338888000</v>
      </c>
      <c r="Q350" s="644">
        <v>338888000</v>
      </c>
      <c r="R350" s="644">
        <v>0</v>
      </c>
      <c r="S350" s="644">
        <v>0</v>
      </c>
      <c r="T350" s="644">
        <v>0</v>
      </c>
      <c r="U350" s="644">
        <v>0</v>
      </c>
      <c r="V350" s="644">
        <v>0</v>
      </c>
      <c r="W350" s="632">
        <v>0</v>
      </c>
      <c r="X350" s="632">
        <v>0</v>
      </c>
    </row>
    <row r="351" spans="1:24" ht="22.5">
      <c r="A351" s="645">
        <v>333</v>
      </c>
      <c r="B351" s="643" t="s">
        <v>1265</v>
      </c>
      <c r="C351" s="645" t="s">
        <v>441</v>
      </c>
      <c r="D351" s="645" t="s">
        <v>1252</v>
      </c>
      <c r="E351" s="645" t="s">
        <v>904</v>
      </c>
      <c r="F351" s="645" t="s">
        <v>1114</v>
      </c>
      <c r="G351" s="645" t="s">
        <v>777</v>
      </c>
      <c r="H351" s="644">
        <v>2150000000</v>
      </c>
      <c r="I351" s="644">
        <v>0</v>
      </c>
      <c r="J351" s="644">
        <v>0</v>
      </c>
      <c r="K351" s="644">
        <v>0</v>
      </c>
      <c r="L351" s="644">
        <v>0</v>
      </c>
      <c r="M351" s="644">
        <v>2150000000</v>
      </c>
      <c r="N351" s="644">
        <v>0</v>
      </c>
      <c r="O351" s="644">
        <v>0</v>
      </c>
      <c r="P351" s="644">
        <v>186985000</v>
      </c>
      <c r="Q351" s="644">
        <v>186985000</v>
      </c>
      <c r="R351" s="644">
        <v>0</v>
      </c>
      <c r="S351" s="644">
        <v>1900000000</v>
      </c>
      <c r="T351" s="644">
        <v>1900000000</v>
      </c>
      <c r="U351" s="644">
        <v>0</v>
      </c>
      <c r="V351" s="644">
        <v>0</v>
      </c>
      <c r="W351" s="632">
        <v>0</v>
      </c>
      <c r="X351" s="632">
        <v>0</v>
      </c>
    </row>
    <row r="352" spans="1:24" ht="22.5">
      <c r="A352" s="645">
        <v>334</v>
      </c>
      <c r="B352" s="643" t="s">
        <v>1265</v>
      </c>
      <c r="C352" s="645" t="s">
        <v>441</v>
      </c>
      <c r="D352" s="645" t="s">
        <v>1252</v>
      </c>
      <c r="E352" s="645" t="s">
        <v>1115</v>
      </c>
      <c r="F352" s="645" t="s">
        <v>1114</v>
      </c>
      <c r="G352" s="645" t="s">
        <v>777</v>
      </c>
      <c r="H352" s="644">
        <v>1500000</v>
      </c>
      <c r="I352" s="644">
        <v>0</v>
      </c>
      <c r="J352" s="644">
        <v>0</v>
      </c>
      <c r="K352" s="644">
        <v>0</v>
      </c>
      <c r="L352" s="644">
        <v>0</v>
      </c>
      <c r="M352" s="644">
        <v>1500000</v>
      </c>
      <c r="N352" s="644">
        <v>0</v>
      </c>
      <c r="O352" s="644">
        <v>0</v>
      </c>
      <c r="P352" s="644">
        <v>1500000</v>
      </c>
      <c r="Q352" s="644">
        <v>1500000</v>
      </c>
      <c r="R352" s="644">
        <v>0</v>
      </c>
      <c r="S352" s="644">
        <v>0</v>
      </c>
      <c r="T352" s="644">
        <v>0</v>
      </c>
      <c r="U352" s="644">
        <v>0</v>
      </c>
      <c r="V352" s="644">
        <v>0</v>
      </c>
      <c r="W352" s="632">
        <v>0</v>
      </c>
      <c r="X352" s="632">
        <v>63106500</v>
      </c>
    </row>
    <row r="353" spans="1:24" ht="22.5">
      <c r="A353" s="645">
        <v>335</v>
      </c>
      <c r="B353" s="643" t="s">
        <v>1265</v>
      </c>
      <c r="C353" s="645" t="s">
        <v>441</v>
      </c>
      <c r="D353" s="645" t="s">
        <v>1252</v>
      </c>
      <c r="E353" s="645" t="s">
        <v>1116</v>
      </c>
      <c r="F353" s="645" t="s">
        <v>1114</v>
      </c>
      <c r="G353" s="645" t="s">
        <v>777</v>
      </c>
      <c r="H353" s="644">
        <v>99198000</v>
      </c>
      <c r="I353" s="644">
        <v>0</v>
      </c>
      <c r="J353" s="644">
        <v>0</v>
      </c>
      <c r="K353" s="644">
        <v>0</v>
      </c>
      <c r="L353" s="644">
        <v>0</v>
      </c>
      <c r="M353" s="644">
        <v>0</v>
      </c>
      <c r="N353" s="644">
        <v>99198000</v>
      </c>
      <c r="O353" s="644">
        <v>0</v>
      </c>
      <c r="P353" s="644">
        <v>99198000</v>
      </c>
      <c r="Q353" s="644">
        <v>99198000</v>
      </c>
      <c r="R353" s="644">
        <v>0</v>
      </c>
      <c r="S353" s="644">
        <v>0</v>
      </c>
      <c r="T353" s="644">
        <v>0</v>
      </c>
      <c r="U353" s="644">
        <v>0</v>
      </c>
      <c r="V353" s="644">
        <v>0</v>
      </c>
      <c r="W353" s="632">
        <v>0</v>
      </c>
      <c r="X353" s="632">
        <v>22090000</v>
      </c>
    </row>
    <row r="354" spans="1:24" ht="22.5">
      <c r="A354" s="645">
        <v>336</v>
      </c>
      <c r="B354" s="643" t="s">
        <v>1265</v>
      </c>
      <c r="C354" s="645" t="s">
        <v>441</v>
      </c>
      <c r="D354" s="645" t="s">
        <v>1252</v>
      </c>
      <c r="E354" s="645" t="s">
        <v>1194</v>
      </c>
      <c r="F354" s="645" t="s">
        <v>1258</v>
      </c>
      <c r="G354" s="645" t="s">
        <v>777</v>
      </c>
      <c r="H354" s="644">
        <v>6000000000</v>
      </c>
      <c r="I354" s="644">
        <v>0</v>
      </c>
      <c r="J354" s="644">
        <v>0</v>
      </c>
      <c r="K354" s="644">
        <v>0</v>
      </c>
      <c r="L354" s="644">
        <v>0</v>
      </c>
      <c r="M354" s="644">
        <v>0</v>
      </c>
      <c r="N354" s="644">
        <v>6000000000</v>
      </c>
      <c r="O354" s="644">
        <v>0</v>
      </c>
      <c r="P354" s="644">
        <v>5780930000</v>
      </c>
      <c r="Q354" s="644">
        <v>5780930000</v>
      </c>
      <c r="R354" s="644">
        <v>0</v>
      </c>
      <c r="S354" s="644">
        <v>0</v>
      </c>
      <c r="T354" s="644">
        <v>0</v>
      </c>
      <c r="U354" s="644">
        <v>0</v>
      </c>
      <c r="V354" s="644">
        <v>0</v>
      </c>
      <c r="W354" s="632">
        <v>0</v>
      </c>
      <c r="X354" s="632">
        <v>0</v>
      </c>
    </row>
    <row r="355" spans="1:24">
      <c r="A355" s="645">
        <v>337</v>
      </c>
      <c r="B355" s="643" t="s">
        <v>1266</v>
      </c>
      <c r="C355" s="645" t="s">
        <v>441</v>
      </c>
      <c r="D355" s="645" t="s">
        <v>1267</v>
      </c>
      <c r="E355" s="645" t="s">
        <v>700</v>
      </c>
      <c r="F355" s="645" t="s">
        <v>1114</v>
      </c>
      <c r="G355" s="645" t="s">
        <v>777</v>
      </c>
      <c r="H355" s="644">
        <v>377115000</v>
      </c>
      <c r="I355" s="644">
        <v>0</v>
      </c>
      <c r="J355" s="644">
        <v>0</v>
      </c>
      <c r="K355" s="644">
        <v>0</v>
      </c>
      <c r="L355" s="644">
        <v>0</v>
      </c>
      <c r="M355" s="644">
        <v>377115000</v>
      </c>
      <c r="N355" s="644">
        <v>0</v>
      </c>
      <c r="O355" s="644">
        <v>0</v>
      </c>
      <c r="P355" s="644">
        <v>377115000</v>
      </c>
      <c r="Q355" s="644">
        <v>377115000</v>
      </c>
      <c r="R355" s="644">
        <v>0</v>
      </c>
      <c r="S355" s="644">
        <v>0</v>
      </c>
      <c r="T355" s="644">
        <v>0</v>
      </c>
      <c r="U355" s="644">
        <v>0</v>
      </c>
      <c r="V355" s="644">
        <v>0</v>
      </c>
      <c r="W355" s="632">
        <v>0</v>
      </c>
      <c r="X355" s="632">
        <v>1450000</v>
      </c>
    </row>
    <row r="356" spans="1:24">
      <c r="A356" s="645">
        <v>338</v>
      </c>
      <c r="B356" s="643" t="s">
        <v>1266</v>
      </c>
      <c r="C356" s="645" t="s">
        <v>441</v>
      </c>
      <c r="D356" s="645" t="s">
        <v>1267</v>
      </c>
      <c r="E356" s="645" t="s">
        <v>904</v>
      </c>
      <c r="F356" s="645" t="s">
        <v>1114</v>
      </c>
      <c r="G356" s="645" t="s">
        <v>777</v>
      </c>
      <c r="H356" s="644">
        <v>446800000</v>
      </c>
      <c r="I356" s="644">
        <v>0</v>
      </c>
      <c r="J356" s="644">
        <v>0</v>
      </c>
      <c r="K356" s="644">
        <v>0</v>
      </c>
      <c r="L356" s="644">
        <v>0</v>
      </c>
      <c r="M356" s="644">
        <v>446800000</v>
      </c>
      <c r="N356" s="644">
        <v>0</v>
      </c>
      <c r="O356" s="644">
        <v>0</v>
      </c>
      <c r="P356" s="644">
        <v>426227658</v>
      </c>
      <c r="Q356" s="644">
        <v>426227658</v>
      </c>
      <c r="R356" s="644">
        <v>0</v>
      </c>
      <c r="S356" s="644">
        <v>0</v>
      </c>
      <c r="T356" s="644">
        <v>0</v>
      </c>
      <c r="U356" s="644">
        <v>0</v>
      </c>
      <c r="V356" s="644">
        <v>0</v>
      </c>
      <c r="W356" s="632">
        <v>0</v>
      </c>
      <c r="X356" s="632">
        <v>0</v>
      </c>
    </row>
    <row r="357" spans="1:24">
      <c r="A357" s="645">
        <v>339</v>
      </c>
      <c r="B357" s="643" t="s">
        <v>1266</v>
      </c>
      <c r="C357" s="645" t="s">
        <v>441</v>
      </c>
      <c r="D357" s="645" t="s">
        <v>1267</v>
      </c>
      <c r="E357" s="645" t="s">
        <v>1115</v>
      </c>
      <c r="F357" s="645" t="s">
        <v>1114</v>
      </c>
      <c r="G357" s="645" t="s">
        <v>777</v>
      </c>
      <c r="H357" s="644">
        <v>1000000</v>
      </c>
      <c r="I357" s="644">
        <v>0</v>
      </c>
      <c r="J357" s="644">
        <v>0</v>
      </c>
      <c r="K357" s="644">
        <v>0</v>
      </c>
      <c r="L357" s="644">
        <v>0</v>
      </c>
      <c r="M357" s="644">
        <v>1000000</v>
      </c>
      <c r="N357" s="644">
        <v>0</v>
      </c>
      <c r="O357" s="644">
        <v>0</v>
      </c>
      <c r="P357" s="644">
        <v>1000000</v>
      </c>
      <c r="Q357" s="644">
        <v>1000000</v>
      </c>
      <c r="R357" s="644">
        <v>0</v>
      </c>
      <c r="S357" s="644">
        <v>0</v>
      </c>
      <c r="T357" s="644">
        <v>0</v>
      </c>
      <c r="U357" s="644">
        <v>0</v>
      </c>
      <c r="V357" s="644">
        <v>0</v>
      </c>
      <c r="W357" s="632">
        <v>0</v>
      </c>
      <c r="X357" s="632">
        <v>0</v>
      </c>
    </row>
    <row r="358" spans="1:24" ht="22.5">
      <c r="A358" s="645">
        <v>340</v>
      </c>
      <c r="B358" s="643" t="s">
        <v>1268</v>
      </c>
      <c r="C358" s="645" t="s">
        <v>441</v>
      </c>
      <c r="D358" s="645" t="s">
        <v>1267</v>
      </c>
      <c r="E358" s="645" t="s">
        <v>700</v>
      </c>
      <c r="F358" s="645" t="s">
        <v>1114</v>
      </c>
      <c r="G358" s="645" t="s">
        <v>777</v>
      </c>
      <c r="H358" s="644">
        <v>2598350000</v>
      </c>
      <c r="I358" s="644">
        <v>40000000</v>
      </c>
      <c r="J358" s="644">
        <v>0</v>
      </c>
      <c r="K358" s="644">
        <v>0</v>
      </c>
      <c r="L358" s="644">
        <v>40000000</v>
      </c>
      <c r="M358" s="644">
        <v>2089680000</v>
      </c>
      <c r="N358" s="644">
        <v>468670000</v>
      </c>
      <c r="O358" s="644">
        <v>0</v>
      </c>
      <c r="P358" s="644">
        <v>2535243500</v>
      </c>
      <c r="Q358" s="644">
        <v>2535243500</v>
      </c>
      <c r="R358" s="644">
        <v>0</v>
      </c>
      <c r="S358" s="644">
        <v>0</v>
      </c>
      <c r="T358" s="644">
        <v>0</v>
      </c>
      <c r="U358" s="644">
        <v>0</v>
      </c>
      <c r="V358" s="644">
        <v>0</v>
      </c>
      <c r="W358" s="632">
        <v>0</v>
      </c>
      <c r="X358" s="632">
        <v>234249</v>
      </c>
    </row>
    <row r="359" spans="1:24" ht="22.5">
      <c r="A359" s="645">
        <v>341</v>
      </c>
      <c r="B359" s="643" t="s">
        <v>1268</v>
      </c>
      <c r="C359" s="645" t="s">
        <v>441</v>
      </c>
      <c r="D359" s="645" t="s">
        <v>1267</v>
      </c>
      <c r="E359" s="645" t="s">
        <v>904</v>
      </c>
      <c r="F359" s="645" t="s">
        <v>1114</v>
      </c>
      <c r="G359" s="645" t="s">
        <v>777</v>
      </c>
      <c r="H359" s="644">
        <v>1570000000</v>
      </c>
      <c r="I359" s="644">
        <v>0</v>
      </c>
      <c r="J359" s="644">
        <v>0</v>
      </c>
      <c r="K359" s="644">
        <v>0</v>
      </c>
      <c r="L359" s="644">
        <v>0</v>
      </c>
      <c r="M359" s="644">
        <v>1570000000</v>
      </c>
      <c r="N359" s="644">
        <v>0</v>
      </c>
      <c r="O359" s="644">
        <v>0</v>
      </c>
      <c r="P359" s="644">
        <v>1547910000</v>
      </c>
      <c r="Q359" s="644">
        <v>1547910000</v>
      </c>
      <c r="R359" s="644">
        <v>0</v>
      </c>
      <c r="S359" s="644">
        <v>0</v>
      </c>
      <c r="T359" s="644">
        <v>0</v>
      </c>
      <c r="U359" s="644">
        <v>0</v>
      </c>
      <c r="V359" s="644">
        <v>0</v>
      </c>
      <c r="W359" s="632">
        <v>0</v>
      </c>
      <c r="X359" s="632">
        <v>33781175</v>
      </c>
    </row>
    <row r="360" spans="1:24" ht="22.5">
      <c r="A360" s="645">
        <v>342</v>
      </c>
      <c r="B360" s="643" t="s">
        <v>1268</v>
      </c>
      <c r="C360" s="645" t="s">
        <v>441</v>
      </c>
      <c r="D360" s="645" t="s">
        <v>1267</v>
      </c>
      <c r="E360" s="645" t="s">
        <v>1115</v>
      </c>
      <c r="F360" s="645" t="s">
        <v>1114</v>
      </c>
      <c r="G360" s="645" t="s">
        <v>777</v>
      </c>
      <c r="H360" s="644">
        <v>1500000</v>
      </c>
      <c r="I360" s="644">
        <v>0</v>
      </c>
      <c r="J360" s="644">
        <v>0</v>
      </c>
      <c r="K360" s="644">
        <v>0</v>
      </c>
      <c r="L360" s="644">
        <v>0</v>
      </c>
      <c r="M360" s="644">
        <v>1500000</v>
      </c>
      <c r="N360" s="644">
        <v>0</v>
      </c>
      <c r="O360" s="644">
        <v>0</v>
      </c>
      <c r="P360" s="644">
        <v>1500000</v>
      </c>
      <c r="Q360" s="644">
        <v>1500000</v>
      </c>
      <c r="R360" s="644">
        <v>0</v>
      </c>
      <c r="S360" s="644">
        <v>0</v>
      </c>
      <c r="T360" s="644">
        <v>0</v>
      </c>
      <c r="U360" s="644">
        <v>0</v>
      </c>
      <c r="V360" s="644">
        <v>0</v>
      </c>
      <c r="W360" s="632">
        <v>0</v>
      </c>
      <c r="X360" s="632">
        <v>0</v>
      </c>
    </row>
    <row r="361" spans="1:24" ht="22.5">
      <c r="A361" s="645">
        <v>343</v>
      </c>
      <c r="B361" s="643" t="s">
        <v>1268</v>
      </c>
      <c r="C361" s="645" t="s">
        <v>441</v>
      </c>
      <c r="D361" s="645" t="s">
        <v>1267</v>
      </c>
      <c r="E361" s="645" t="s">
        <v>1116</v>
      </c>
      <c r="F361" s="645" t="s">
        <v>1114</v>
      </c>
      <c r="G361" s="645" t="s">
        <v>777</v>
      </c>
      <c r="H361" s="644">
        <v>200000000</v>
      </c>
      <c r="I361" s="644">
        <v>0</v>
      </c>
      <c r="J361" s="644">
        <v>0</v>
      </c>
      <c r="K361" s="644">
        <v>0</v>
      </c>
      <c r="L361" s="644">
        <v>0</v>
      </c>
      <c r="M361" s="644">
        <v>0</v>
      </c>
      <c r="N361" s="644">
        <v>200000000</v>
      </c>
      <c r="O361" s="644">
        <v>0</v>
      </c>
      <c r="P361" s="644">
        <v>198550000</v>
      </c>
      <c r="Q361" s="644">
        <v>198550000</v>
      </c>
      <c r="R361" s="644">
        <v>0</v>
      </c>
      <c r="S361" s="644">
        <v>0</v>
      </c>
      <c r="T361" s="644">
        <v>0</v>
      </c>
      <c r="U361" s="644">
        <v>0</v>
      </c>
      <c r="V361" s="644">
        <v>0</v>
      </c>
      <c r="W361" s="632">
        <v>0</v>
      </c>
      <c r="X361" s="632">
        <v>49014040</v>
      </c>
    </row>
    <row r="362" spans="1:24">
      <c r="A362" s="645">
        <v>344</v>
      </c>
      <c r="B362" s="643" t="s">
        <v>1269</v>
      </c>
      <c r="C362" s="645" t="s">
        <v>441</v>
      </c>
      <c r="D362" s="645" t="s">
        <v>1267</v>
      </c>
      <c r="E362" s="645" t="s">
        <v>700</v>
      </c>
      <c r="F362" s="645" t="s">
        <v>1114</v>
      </c>
      <c r="G362" s="645" t="s">
        <v>777</v>
      </c>
      <c r="H362" s="644">
        <v>262220000</v>
      </c>
      <c r="I362" s="644">
        <v>0</v>
      </c>
      <c r="J362" s="644">
        <v>0</v>
      </c>
      <c r="K362" s="644">
        <v>0</v>
      </c>
      <c r="L362" s="644">
        <v>0</v>
      </c>
      <c r="M362" s="644">
        <v>262220000</v>
      </c>
      <c r="N362" s="644">
        <v>0</v>
      </c>
      <c r="O362" s="644">
        <v>0</v>
      </c>
      <c r="P362" s="644">
        <v>261985751</v>
      </c>
      <c r="Q362" s="644">
        <v>261985751</v>
      </c>
      <c r="R362" s="644">
        <v>0</v>
      </c>
      <c r="S362" s="644">
        <v>0</v>
      </c>
      <c r="T362" s="644">
        <v>0</v>
      </c>
      <c r="U362" s="644">
        <v>0</v>
      </c>
      <c r="V362" s="644">
        <v>0</v>
      </c>
      <c r="W362" s="632">
        <v>0</v>
      </c>
      <c r="X362" s="632">
        <v>1730000</v>
      </c>
    </row>
    <row r="363" spans="1:24">
      <c r="A363" s="645">
        <v>345</v>
      </c>
      <c r="B363" s="643" t="s">
        <v>1269</v>
      </c>
      <c r="C363" s="645" t="s">
        <v>441</v>
      </c>
      <c r="D363" s="645" t="s">
        <v>1267</v>
      </c>
      <c r="E363" s="645" t="s">
        <v>904</v>
      </c>
      <c r="F363" s="645" t="s">
        <v>1114</v>
      </c>
      <c r="G363" s="645" t="s">
        <v>777</v>
      </c>
      <c r="H363" s="644">
        <v>480000000</v>
      </c>
      <c r="I363" s="644">
        <v>0</v>
      </c>
      <c r="J363" s="644">
        <v>0</v>
      </c>
      <c r="K363" s="644">
        <v>0</v>
      </c>
      <c r="L363" s="644">
        <v>0</v>
      </c>
      <c r="M363" s="644">
        <v>480000000</v>
      </c>
      <c r="N363" s="644">
        <v>0</v>
      </c>
      <c r="O363" s="644">
        <v>0</v>
      </c>
      <c r="P363" s="644">
        <v>446218825</v>
      </c>
      <c r="Q363" s="644">
        <v>446218825</v>
      </c>
      <c r="R363" s="644">
        <v>0</v>
      </c>
      <c r="S363" s="644">
        <v>0</v>
      </c>
      <c r="T363" s="644">
        <v>0</v>
      </c>
      <c r="U363" s="644">
        <v>0</v>
      </c>
      <c r="V363" s="644">
        <v>0</v>
      </c>
      <c r="W363" s="632">
        <v>0</v>
      </c>
      <c r="X363" s="632">
        <v>51900</v>
      </c>
    </row>
    <row r="364" spans="1:24">
      <c r="A364" s="645">
        <v>346</v>
      </c>
      <c r="B364" s="643" t="s">
        <v>1269</v>
      </c>
      <c r="C364" s="645" t="s">
        <v>441</v>
      </c>
      <c r="D364" s="645" t="s">
        <v>1267</v>
      </c>
      <c r="E364" s="645" t="s">
        <v>1115</v>
      </c>
      <c r="F364" s="645" t="s">
        <v>1114</v>
      </c>
      <c r="G364" s="645" t="s">
        <v>777</v>
      </c>
      <c r="H364" s="644">
        <v>1500000</v>
      </c>
      <c r="I364" s="644">
        <v>0</v>
      </c>
      <c r="J364" s="644">
        <v>0</v>
      </c>
      <c r="K364" s="644">
        <v>0</v>
      </c>
      <c r="L364" s="644">
        <v>0</v>
      </c>
      <c r="M364" s="644">
        <v>1500000</v>
      </c>
      <c r="N364" s="644">
        <v>0</v>
      </c>
      <c r="O364" s="644">
        <v>0</v>
      </c>
      <c r="P364" s="644">
        <v>1500000</v>
      </c>
      <c r="Q364" s="644">
        <v>1500000</v>
      </c>
      <c r="R364" s="644">
        <v>0</v>
      </c>
      <c r="S364" s="644">
        <v>0</v>
      </c>
      <c r="T364" s="644">
        <v>0</v>
      </c>
      <c r="U364" s="644">
        <v>0</v>
      </c>
      <c r="V364" s="644">
        <v>0</v>
      </c>
      <c r="W364" s="632">
        <v>0</v>
      </c>
      <c r="X364" s="632">
        <v>0</v>
      </c>
    </row>
    <row r="365" spans="1:24">
      <c r="A365" s="645">
        <v>347</v>
      </c>
      <c r="B365" s="643" t="s">
        <v>1269</v>
      </c>
      <c r="C365" s="645" t="s">
        <v>441</v>
      </c>
      <c r="D365" s="645" t="s">
        <v>1267</v>
      </c>
      <c r="E365" s="645" t="s">
        <v>1116</v>
      </c>
      <c r="F365" s="645" t="s">
        <v>1114</v>
      </c>
      <c r="G365" s="645" t="s">
        <v>777</v>
      </c>
      <c r="H365" s="644">
        <v>249490000</v>
      </c>
      <c r="I365" s="644">
        <v>0</v>
      </c>
      <c r="J365" s="644">
        <v>0</v>
      </c>
      <c r="K365" s="644">
        <v>0</v>
      </c>
      <c r="L365" s="644">
        <v>0</v>
      </c>
      <c r="M365" s="644">
        <v>0</v>
      </c>
      <c r="N365" s="644">
        <v>249490000</v>
      </c>
      <c r="O365" s="644">
        <v>0</v>
      </c>
      <c r="P365" s="644">
        <v>200475960</v>
      </c>
      <c r="Q365" s="644">
        <v>200475960</v>
      </c>
      <c r="R365" s="644">
        <v>0</v>
      </c>
      <c r="S365" s="644">
        <v>0</v>
      </c>
      <c r="T365" s="644">
        <v>0</v>
      </c>
      <c r="U365" s="644">
        <v>0</v>
      </c>
      <c r="V365" s="644">
        <v>0</v>
      </c>
      <c r="W365" s="632">
        <v>0</v>
      </c>
      <c r="X365" s="632">
        <v>0</v>
      </c>
    </row>
    <row r="366" spans="1:24">
      <c r="A366" s="645">
        <v>348</v>
      </c>
      <c r="B366" s="643" t="s">
        <v>1269</v>
      </c>
      <c r="C366" s="645" t="s">
        <v>441</v>
      </c>
      <c r="D366" s="645" t="s">
        <v>1267</v>
      </c>
      <c r="E366" s="645" t="s">
        <v>700</v>
      </c>
      <c r="F366" s="645" t="s">
        <v>1120</v>
      </c>
      <c r="G366" s="645" t="s">
        <v>777</v>
      </c>
      <c r="H366" s="644">
        <v>200000000</v>
      </c>
      <c r="I366" s="644">
        <v>0</v>
      </c>
      <c r="J366" s="644">
        <v>0</v>
      </c>
      <c r="K366" s="644">
        <v>0</v>
      </c>
      <c r="L366" s="644">
        <v>0</v>
      </c>
      <c r="M366" s="644">
        <v>200000000</v>
      </c>
      <c r="N366" s="644">
        <v>0</v>
      </c>
      <c r="O366" s="644">
        <v>0</v>
      </c>
      <c r="P366" s="644">
        <v>198270000</v>
      </c>
      <c r="Q366" s="644">
        <v>198270000</v>
      </c>
      <c r="R366" s="644">
        <v>0</v>
      </c>
      <c r="S366" s="644">
        <v>0</v>
      </c>
      <c r="T366" s="644">
        <v>0</v>
      </c>
      <c r="U366" s="644">
        <v>0</v>
      </c>
      <c r="V366" s="644">
        <v>0</v>
      </c>
      <c r="W366" s="632">
        <v>0</v>
      </c>
      <c r="X366" s="632">
        <v>0</v>
      </c>
    </row>
    <row r="367" spans="1:24">
      <c r="A367" s="645">
        <v>349</v>
      </c>
      <c r="B367" s="643" t="s">
        <v>1269</v>
      </c>
      <c r="C367" s="645" t="s">
        <v>441</v>
      </c>
      <c r="D367" s="645" t="s">
        <v>1267</v>
      </c>
      <c r="E367" s="645" t="s">
        <v>700</v>
      </c>
      <c r="F367" s="645" t="s">
        <v>1270</v>
      </c>
      <c r="G367" s="645" t="s">
        <v>777</v>
      </c>
      <c r="H367" s="644">
        <v>225000000</v>
      </c>
      <c r="I367" s="644">
        <v>110000000</v>
      </c>
      <c r="J367" s="644">
        <v>110000000</v>
      </c>
      <c r="K367" s="644">
        <v>0</v>
      </c>
      <c r="L367" s="644">
        <v>0</v>
      </c>
      <c r="M367" s="644">
        <v>0</v>
      </c>
      <c r="N367" s="644">
        <v>115000000</v>
      </c>
      <c r="O367" s="644">
        <v>0</v>
      </c>
      <c r="P367" s="644">
        <v>224948100</v>
      </c>
      <c r="Q367" s="644">
        <v>224948100</v>
      </c>
      <c r="R367" s="644">
        <v>0</v>
      </c>
      <c r="S367" s="644">
        <v>0</v>
      </c>
      <c r="T367" s="644">
        <v>0</v>
      </c>
      <c r="U367" s="644">
        <v>0</v>
      </c>
      <c r="V367" s="644">
        <v>0</v>
      </c>
      <c r="W367" s="632">
        <v>0</v>
      </c>
      <c r="X367" s="632">
        <v>21160000</v>
      </c>
    </row>
    <row r="368" spans="1:24" ht="22.5">
      <c r="A368" s="645">
        <v>350</v>
      </c>
      <c r="B368" s="643" t="s">
        <v>1271</v>
      </c>
      <c r="C368" s="645" t="s">
        <v>441</v>
      </c>
      <c r="D368" s="645" t="s">
        <v>1267</v>
      </c>
      <c r="E368" s="645" t="s">
        <v>1125</v>
      </c>
      <c r="F368" s="645" t="s">
        <v>1114</v>
      </c>
      <c r="G368" s="645" t="s">
        <v>777</v>
      </c>
      <c r="H368" s="644">
        <v>331400000</v>
      </c>
      <c r="I368" s="644">
        <v>0</v>
      </c>
      <c r="J368" s="644">
        <v>0</v>
      </c>
      <c r="K368" s="644">
        <v>0</v>
      </c>
      <c r="L368" s="644">
        <v>0</v>
      </c>
      <c r="M368" s="644">
        <v>331400000</v>
      </c>
      <c r="N368" s="644">
        <v>0</v>
      </c>
      <c r="O368" s="644">
        <v>0</v>
      </c>
      <c r="P368" s="644">
        <v>310240000</v>
      </c>
      <c r="Q368" s="644">
        <v>310240000</v>
      </c>
      <c r="R368" s="644">
        <v>0</v>
      </c>
      <c r="S368" s="644">
        <v>0</v>
      </c>
      <c r="T368" s="644">
        <v>0</v>
      </c>
      <c r="U368" s="644">
        <v>0</v>
      </c>
      <c r="V368" s="644">
        <v>0</v>
      </c>
      <c r="W368" s="632">
        <v>0</v>
      </c>
      <c r="X368" s="632">
        <v>0</v>
      </c>
    </row>
    <row r="369" spans="1:24" ht="22.5">
      <c r="A369" s="645">
        <v>351</v>
      </c>
      <c r="B369" s="643" t="s">
        <v>1271</v>
      </c>
      <c r="C369" s="645" t="s">
        <v>441</v>
      </c>
      <c r="D369" s="645" t="s">
        <v>1267</v>
      </c>
      <c r="E369" s="645" t="s">
        <v>641</v>
      </c>
      <c r="F369" s="645" t="s">
        <v>1114</v>
      </c>
      <c r="G369" s="645" t="s">
        <v>777</v>
      </c>
      <c r="H369" s="644">
        <v>17306000</v>
      </c>
      <c r="I369" s="644">
        <v>0</v>
      </c>
      <c r="J369" s="644">
        <v>0</v>
      </c>
      <c r="K369" s="644">
        <v>0</v>
      </c>
      <c r="L369" s="644">
        <v>0</v>
      </c>
      <c r="M369" s="644">
        <v>0</v>
      </c>
      <c r="N369" s="644">
        <v>17306000</v>
      </c>
      <c r="O369" s="644">
        <v>0</v>
      </c>
      <c r="P369" s="644">
        <v>17306000</v>
      </c>
      <c r="Q369" s="644">
        <v>17306000</v>
      </c>
      <c r="R369" s="644">
        <v>0</v>
      </c>
      <c r="S369" s="644">
        <v>0</v>
      </c>
      <c r="T369" s="644">
        <v>0</v>
      </c>
      <c r="U369" s="644">
        <v>0</v>
      </c>
      <c r="V369" s="644">
        <v>0</v>
      </c>
      <c r="W369" s="632">
        <v>0</v>
      </c>
      <c r="X369" s="632">
        <v>180500</v>
      </c>
    </row>
    <row r="370" spans="1:24" ht="22.5">
      <c r="A370" s="645">
        <v>352</v>
      </c>
      <c r="B370" s="643" t="s">
        <v>1271</v>
      </c>
      <c r="C370" s="645" t="s">
        <v>441</v>
      </c>
      <c r="D370" s="645" t="s">
        <v>1267</v>
      </c>
      <c r="E370" s="645" t="s">
        <v>680</v>
      </c>
      <c r="F370" s="645" t="s">
        <v>1114</v>
      </c>
      <c r="G370" s="645" t="s">
        <v>777</v>
      </c>
      <c r="H370" s="644">
        <v>495910000</v>
      </c>
      <c r="I370" s="644">
        <v>11910000</v>
      </c>
      <c r="J370" s="644">
        <v>0</v>
      </c>
      <c r="K370" s="644">
        <v>0</v>
      </c>
      <c r="L370" s="644">
        <v>11910000</v>
      </c>
      <c r="M370" s="644">
        <v>484000000</v>
      </c>
      <c r="N370" s="644">
        <v>0</v>
      </c>
      <c r="O370" s="644">
        <v>0</v>
      </c>
      <c r="P370" s="644">
        <v>495729500</v>
      </c>
      <c r="Q370" s="644">
        <v>495729500</v>
      </c>
      <c r="R370" s="644">
        <v>0</v>
      </c>
      <c r="S370" s="644">
        <v>0</v>
      </c>
      <c r="T370" s="644">
        <v>0</v>
      </c>
      <c r="U370" s="644">
        <v>0</v>
      </c>
      <c r="V370" s="644">
        <v>0</v>
      </c>
      <c r="W370" s="632">
        <v>0</v>
      </c>
      <c r="X370" s="632">
        <v>61381800</v>
      </c>
    </row>
    <row r="371" spans="1:24" ht="22.5">
      <c r="A371" s="645">
        <v>353</v>
      </c>
      <c r="B371" s="643" t="s">
        <v>1271</v>
      </c>
      <c r="C371" s="645" t="s">
        <v>441</v>
      </c>
      <c r="D371" s="645" t="s">
        <v>1267</v>
      </c>
      <c r="E371" s="645" t="s">
        <v>700</v>
      </c>
      <c r="F371" s="645" t="s">
        <v>1114</v>
      </c>
      <c r="G371" s="645" t="s">
        <v>777</v>
      </c>
      <c r="H371" s="644">
        <v>2102889000</v>
      </c>
      <c r="I371" s="644">
        <v>1128167000</v>
      </c>
      <c r="J371" s="644">
        <v>816907000</v>
      </c>
      <c r="K371" s="644">
        <v>0</v>
      </c>
      <c r="L371" s="644">
        <v>311260000</v>
      </c>
      <c r="M371" s="644">
        <v>974722000</v>
      </c>
      <c r="N371" s="644">
        <v>0</v>
      </c>
      <c r="O371" s="644">
        <v>0</v>
      </c>
      <c r="P371" s="644">
        <v>1051591200</v>
      </c>
      <c r="Q371" s="644">
        <v>1051591200</v>
      </c>
      <c r="R371" s="644">
        <v>0</v>
      </c>
      <c r="S371" s="644">
        <v>989916000</v>
      </c>
      <c r="T371" s="644">
        <v>989916000</v>
      </c>
      <c r="U371" s="644">
        <v>0</v>
      </c>
      <c r="V371" s="644">
        <v>0</v>
      </c>
      <c r="W371" s="632">
        <v>0</v>
      </c>
      <c r="X371" s="632">
        <v>87380512</v>
      </c>
    </row>
    <row r="372" spans="1:24" ht="22.5">
      <c r="A372" s="645">
        <v>354</v>
      </c>
      <c r="B372" s="643" t="s">
        <v>1271</v>
      </c>
      <c r="C372" s="645" t="s">
        <v>441</v>
      </c>
      <c r="D372" s="645" t="s">
        <v>1267</v>
      </c>
      <c r="E372" s="645" t="s">
        <v>885</v>
      </c>
      <c r="F372" s="645" t="s">
        <v>1114</v>
      </c>
      <c r="G372" s="645" t="s">
        <v>777</v>
      </c>
      <c r="H372" s="644">
        <v>3254580000</v>
      </c>
      <c r="I372" s="644">
        <v>0</v>
      </c>
      <c r="J372" s="644">
        <v>0</v>
      </c>
      <c r="K372" s="644">
        <v>0</v>
      </c>
      <c r="L372" s="644">
        <v>0</v>
      </c>
      <c r="M372" s="644">
        <v>3254580000</v>
      </c>
      <c r="N372" s="644">
        <v>0</v>
      </c>
      <c r="O372" s="644">
        <v>0</v>
      </c>
      <c r="P372" s="644">
        <v>3167199488</v>
      </c>
      <c r="Q372" s="644">
        <v>3167199488</v>
      </c>
      <c r="R372" s="644">
        <v>0</v>
      </c>
      <c r="S372" s="644">
        <v>0</v>
      </c>
      <c r="T372" s="644">
        <v>0</v>
      </c>
      <c r="U372" s="644">
        <v>0</v>
      </c>
      <c r="V372" s="644">
        <v>0</v>
      </c>
      <c r="W372" s="632">
        <v>0</v>
      </c>
      <c r="X372" s="632">
        <v>0</v>
      </c>
    </row>
    <row r="373" spans="1:24" ht="22.5">
      <c r="A373" s="645">
        <v>355</v>
      </c>
      <c r="B373" s="643" t="s">
        <v>1271</v>
      </c>
      <c r="C373" s="645" t="s">
        <v>441</v>
      </c>
      <c r="D373" s="645" t="s">
        <v>1267</v>
      </c>
      <c r="E373" s="645" t="s">
        <v>900</v>
      </c>
      <c r="F373" s="645" t="s">
        <v>1114</v>
      </c>
      <c r="G373" s="645" t="s">
        <v>777</v>
      </c>
      <c r="H373" s="644">
        <v>200000000</v>
      </c>
      <c r="I373" s="644">
        <v>0</v>
      </c>
      <c r="J373" s="644">
        <v>0</v>
      </c>
      <c r="K373" s="644">
        <v>0</v>
      </c>
      <c r="L373" s="644">
        <v>0</v>
      </c>
      <c r="M373" s="644">
        <v>200000000</v>
      </c>
      <c r="N373" s="644">
        <v>0</v>
      </c>
      <c r="O373" s="644">
        <v>0</v>
      </c>
      <c r="P373" s="644">
        <v>88354996</v>
      </c>
      <c r="Q373" s="644">
        <v>88354996</v>
      </c>
      <c r="R373" s="644">
        <v>0</v>
      </c>
      <c r="S373" s="644">
        <v>111645004</v>
      </c>
      <c r="T373" s="644">
        <v>111645004</v>
      </c>
      <c r="U373" s="644">
        <v>0</v>
      </c>
      <c r="V373" s="644">
        <v>0</v>
      </c>
      <c r="W373" s="632">
        <v>0</v>
      </c>
      <c r="X373" s="632">
        <v>53524000</v>
      </c>
    </row>
    <row r="374" spans="1:24" ht="22.5">
      <c r="A374" s="645">
        <v>356</v>
      </c>
      <c r="B374" s="643" t="s">
        <v>1271</v>
      </c>
      <c r="C374" s="645" t="s">
        <v>441</v>
      </c>
      <c r="D374" s="645" t="s">
        <v>1267</v>
      </c>
      <c r="E374" s="645" t="s">
        <v>902</v>
      </c>
      <c r="F374" s="645" t="s">
        <v>1114</v>
      </c>
      <c r="G374" s="645" t="s">
        <v>777</v>
      </c>
      <c r="H374" s="644">
        <v>419099000</v>
      </c>
      <c r="I374" s="644">
        <v>0</v>
      </c>
      <c r="J374" s="644">
        <v>0</v>
      </c>
      <c r="K374" s="644">
        <v>0</v>
      </c>
      <c r="L374" s="644">
        <v>0</v>
      </c>
      <c r="M374" s="644">
        <v>419099000</v>
      </c>
      <c r="N374" s="644">
        <v>0</v>
      </c>
      <c r="O374" s="644">
        <v>0</v>
      </c>
      <c r="P374" s="644">
        <v>365575000</v>
      </c>
      <c r="Q374" s="644">
        <v>365575000</v>
      </c>
      <c r="R374" s="644">
        <v>0</v>
      </c>
      <c r="S374" s="644">
        <v>0</v>
      </c>
      <c r="T374" s="644">
        <v>0</v>
      </c>
      <c r="U374" s="644">
        <v>0</v>
      </c>
      <c r="V374" s="644">
        <v>0</v>
      </c>
      <c r="W374" s="632">
        <v>0</v>
      </c>
      <c r="X374" s="632">
        <v>1560436379</v>
      </c>
    </row>
    <row r="375" spans="1:24" ht="22.5">
      <c r="A375" s="645">
        <v>357</v>
      </c>
      <c r="B375" s="643" t="s">
        <v>1271</v>
      </c>
      <c r="C375" s="645" t="s">
        <v>441</v>
      </c>
      <c r="D375" s="645" t="s">
        <v>1267</v>
      </c>
      <c r="E375" s="645" t="s">
        <v>903</v>
      </c>
      <c r="F375" s="645" t="s">
        <v>1114</v>
      </c>
      <c r="G375" s="645" t="s">
        <v>777</v>
      </c>
      <c r="H375" s="644">
        <v>3009700000</v>
      </c>
      <c r="I375" s="644">
        <v>0</v>
      </c>
      <c r="J375" s="644">
        <v>0</v>
      </c>
      <c r="K375" s="644">
        <v>0</v>
      </c>
      <c r="L375" s="644">
        <v>0</v>
      </c>
      <c r="M375" s="644">
        <v>3468000000</v>
      </c>
      <c r="N375" s="644">
        <v>-458300000</v>
      </c>
      <c r="O375" s="644">
        <v>0</v>
      </c>
      <c r="P375" s="644">
        <v>1256861965</v>
      </c>
      <c r="Q375" s="644">
        <v>1256861965</v>
      </c>
      <c r="R375" s="644">
        <v>0</v>
      </c>
      <c r="S375" s="644">
        <v>192401656</v>
      </c>
      <c r="T375" s="644">
        <v>192401656</v>
      </c>
      <c r="U375" s="644">
        <v>0</v>
      </c>
      <c r="V375" s="644">
        <v>0</v>
      </c>
      <c r="W375" s="632">
        <v>0</v>
      </c>
      <c r="X375" s="632">
        <v>61535000</v>
      </c>
    </row>
    <row r="376" spans="1:24" ht="22.5">
      <c r="A376" s="645">
        <v>358</v>
      </c>
      <c r="B376" s="643" t="s">
        <v>1271</v>
      </c>
      <c r="C376" s="645" t="s">
        <v>441</v>
      </c>
      <c r="D376" s="645" t="s">
        <v>1267</v>
      </c>
      <c r="E376" s="645" t="s">
        <v>904</v>
      </c>
      <c r="F376" s="645" t="s">
        <v>1114</v>
      </c>
      <c r="G376" s="645" t="s">
        <v>777</v>
      </c>
      <c r="H376" s="644">
        <v>1103801000</v>
      </c>
      <c r="I376" s="644">
        <v>0</v>
      </c>
      <c r="J376" s="644">
        <v>0</v>
      </c>
      <c r="K376" s="644">
        <v>0</v>
      </c>
      <c r="L376" s="644">
        <v>0</v>
      </c>
      <c r="M376" s="644">
        <v>1103801000</v>
      </c>
      <c r="N376" s="644">
        <v>0</v>
      </c>
      <c r="O376" s="644">
        <v>0</v>
      </c>
      <c r="P376" s="644">
        <v>1042266000</v>
      </c>
      <c r="Q376" s="644">
        <v>1042266000</v>
      </c>
      <c r="R376" s="644">
        <v>0</v>
      </c>
      <c r="S376" s="644">
        <v>0</v>
      </c>
      <c r="T376" s="644">
        <v>0</v>
      </c>
      <c r="U376" s="644">
        <v>0</v>
      </c>
      <c r="V376" s="644">
        <v>0</v>
      </c>
      <c r="W376" s="632">
        <v>0</v>
      </c>
      <c r="X376" s="632">
        <v>69389380</v>
      </c>
    </row>
    <row r="377" spans="1:24" ht="22.5">
      <c r="A377" s="645">
        <v>359</v>
      </c>
      <c r="B377" s="643" t="s">
        <v>1271</v>
      </c>
      <c r="C377" s="645" t="s">
        <v>441</v>
      </c>
      <c r="D377" s="645" t="s">
        <v>1267</v>
      </c>
      <c r="E377" s="645" t="s">
        <v>905</v>
      </c>
      <c r="F377" s="645" t="s">
        <v>1114</v>
      </c>
      <c r="G377" s="645" t="s">
        <v>777</v>
      </c>
      <c r="H377" s="644">
        <v>1630389000</v>
      </c>
      <c r="I377" s="644">
        <v>110000000</v>
      </c>
      <c r="J377" s="644">
        <v>110000000</v>
      </c>
      <c r="K377" s="644">
        <v>0</v>
      </c>
      <c r="L377" s="644">
        <v>0</v>
      </c>
      <c r="M377" s="644">
        <v>1671500000</v>
      </c>
      <c r="N377" s="644">
        <v>-151111000</v>
      </c>
      <c r="O377" s="644">
        <v>0</v>
      </c>
      <c r="P377" s="644">
        <v>1547999620</v>
      </c>
      <c r="Q377" s="644">
        <v>1547999620</v>
      </c>
      <c r="R377" s="644">
        <v>0</v>
      </c>
      <c r="S377" s="644">
        <v>13000000</v>
      </c>
      <c r="T377" s="644">
        <v>13000000</v>
      </c>
      <c r="U377" s="644">
        <v>0</v>
      </c>
      <c r="V377" s="644">
        <v>0</v>
      </c>
      <c r="W377" s="632">
        <v>0</v>
      </c>
      <c r="X377" s="632">
        <v>0</v>
      </c>
    </row>
    <row r="378" spans="1:24" ht="22.5">
      <c r="A378" s="645">
        <v>360</v>
      </c>
      <c r="B378" s="643" t="s">
        <v>1271</v>
      </c>
      <c r="C378" s="645" t="s">
        <v>441</v>
      </c>
      <c r="D378" s="645" t="s">
        <v>1267</v>
      </c>
      <c r="E378" s="645" t="s">
        <v>1115</v>
      </c>
      <c r="F378" s="645" t="s">
        <v>1114</v>
      </c>
      <c r="G378" s="645" t="s">
        <v>777</v>
      </c>
      <c r="H378" s="644">
        <v>1000000</v>
      </c>
      <c r="I378" s="644">
        <v>0</v>
      </c>
      <c r="J378" s="644">
        <v>0</v>
      </c>
      <c r="K378" s="644">
        <v>0</v>
      </c>
      <c r="L378" s="644">
        <v>0</v>
      </c>
      <c r="M378" s="644">
        <v>1000000</v>
      </c>
      <c r="N378" s="644">
        <v>0</v>
      </c>
      <c r="O378" s="644">
        <v>0</v>
      </c>
      <c r="P378" s="644">
        <v>1000000</v>
      </c>
      <c r="Q378" s="644">
        <v>1000000</v>
      </c>
      <c r="R378" s="644">
        <v>0</v>
      </c>
      <c r="S378" s="644">
        <v>0</v>
      </c>
      <c r="T378" s="644">
        <v>0</v>
      </c>
      <c r="U378" s="644">
        <v>0</v>
      </c>
      <c r="V378" s="644">
        <v>0</v>
      </c>
      <c r="W378" s="632">
        <v>0</v>
      </c>
      <c r="X378" s="632">
        <v>73237100</v>
      </c>
    </row>
    <row r="379" spans="1:24" ht="22.5">
      <c r="A379" s="645">
        <v>361</v>
      </c>
      <c r="B379" s="643" t="s">
        <v>1271</v>
      </c>
      <c r="C379" s="645" t="s">
        <v>441</v>
      </c>
      <c r="D379" s="645" t="s">
        <v>1267</v>
      </c>
      <c r="E379" s="645" t="s">
        <v>1116</v>
      </c>
      <c r="F379" s="645" t="s">
        <v>1114</v>
      </c>
      <c r="G379" s="645" t="s">
        <v>777</v>
      </c>
      <c r="H379" s="644">
        <v>1295843800</v>
      </c>
      <c r="I379" s="644">
        <v>0</v>
      </c>
      <c r="J379" s="644">
        <v>0</v>
      </c>
      <c r="K379" s="644">
        <v>0</v>
      </c>
      <c r="L379" s="644">
        <v>0</v>
      </c>
      <c r="M379" s="644">
        <v>0</v>
      </c>
      <c r="N379" s="644">
        <v>1295843800</v>
      </c>
      <c r="O379" s="644">
        <v>0</v>
      </c>
      <c r="P379" s="644">
        <v>1222606700</v>
      </c>
      <c r="Q379" s="644">
        <v>1222606700</v>
      </c>
      <c r="R379" s="644">
        <v>0</v>
      </c>
      <c r="S379" s="644">
        <v>0</v>
      </c>
      <c r="T379" s="644">
        <v>0</v>
      </c>
      <c r="U379" s="644">
        <v>0</v>
      </c>
      <c r="V379" s="644">
        <v>0</v>
      </c>
      <c r="W379" s="632">
        <v>0</v>
      </c>
      <c r="X379" s="632">
        <v>181496000</v>
      </c>
    </row>
    <row r="380" spans="1:24" ht="22.5">
      <c r="A380" s="645">
        <v>362</v>
      </c>
      <c r="B380" s="643" t="s">
        <v>1271</v>
      </c>
      <c r="C380" s="645" t="s">
        <v>441</v>
      </c>
      <c r="D380" s="645" t="s">
        <v>1267</v>
      </c>
      <c r="E380" s="645" t="s">
        <v>700</v>
      </c>
      <c r="F380" s="645" t="s">
        <v>1270</v>
      </c>
      <c r="G380" s="645" t="s">
        <v>777</v>
      </c>
      <c r="H380" s="644">
        <v>2250000000</v>
      </c>
      <c r="I380" s="644">
        <v>1300000000</v>
      </c>
      <c r="J380" s="644">
        <v>1300000000</v>
      </c>
      <c r="K380" s="644">
        <v>0</v>
      </c>
      <c r="L380" s="644">
        <v>0</v>
      </c>
      <c r="M380" s="644">
        <v>0</v>
      </c>
      <c r="N380" s="644">
        <v>950000000</v>
      </c>
      <c r="O380" s="644">
        <v>0</v>
      </c>
      <c r="P380" s="644">
        <v>2068504000</v>
      </c>
      <c r="Q380" s="644">
        <v>2068504000</v>
      </c>
      <c r="R380" s="644">
        <v>0</v>
      </c>
      <c r="S380" s="644">
        <v>0</v>
      </c>
      <c r="T380" s="644">
        <v>0</v>
      </c>
      <c r="U380" s="644">
        <v>0</v>
      </c>
      <c r="V380" s="644">
        <v>0</v>
      </c>
      <c r="W380" s="632">
        <v>0</v>
      </c>
      <c r="X380" s="632">
        <v>0</v>
      </c>
    </row>
    <row r="381" spans="1:24" ht="22.5">
      <c r="A381" s="645">
        <v>363</v>
      </c>
      <c r="B381" s="643" t="s">
        <v>1272</v>
      </c>
      <c r="C381" s="645" t="s">
        <v>441</v>
      </c>
      <c r="D381" s="645" t="s">
        <v>1267</v>
      </c>
      <c r="E381" s="645" t="s">
        <v>700</v>
      </c>
      <c r="F381" s="645" t="s">
        <v>1114</v>
      </c>
      <c r="G381" s="645" t="s">
        <v>777</v>
      </c>
      <c r="H381" s="644">
        <v>3212848000</v>
      </c>
      <c r="I381" s="644">
        <v>0</v>
      </c>
      <c r="J381" s="644">
        <v>0</v>
      </c>
      <c r="K381" s="644">
        <v>0</v>
      </c>
      <c r="L381" s="644">
        <v>0</v>
      </c>
      <c r="M381" s="644">
        <v>3215048000</v>
      </c>
      <c r="N381" s="644">
        <v>-2200000</v>
      </c>
      <c r="O381" s="644">
        <v>0</v>
      </c>
      <c r="P381" s="644">
        <v>3212501156</v>
      </c>
      <c r="Q381" s="644">
        <v>3212501156</v>
      </c>
      <c r="R381" s="644">
        <v>0</v>
      </c>
      <c r="S381" s="644">
        <v>0</v>
      </c>
      <c r="T381" s="644">
        <v>0</v>
      </c>
      <c r="U381" s="644">
        <v>0</v>
      </c>
      <c r="V381" s="644">
        <v>0</v>
      </c>
      <c r="W381" s="632">
        <v>0</v>
      </c>
      <c r="X381" s="632">
        <v>0</v>
      </c>
    </row>
    <row r="382" spans="1:24" ht="22.5">
      <c r="A382" s="645">
        <v>364</v>
      </c>
      <c r="B382" s="643" t="s">
        <v>1272</v>
      </c>
      <c r="C382" s="645" t="s">
        <v>441</v>
      </c>
      <c r="D382" s="645" t="s">
        <v>1267</v>
      </c>
      <c r="E382" s="645" t="s">
        <v>904</v>
      </c>
      <c r="F382" s="645" t="s">
        <v>1114</v>
      </c>
      <c r="G382" s="645" t="s">
        <v>777</v>
      </c>
      <c r="H382" s="644">
        <v>462000000</v>
      </c>
      <c r="I382" s="644">
        <v>0</v>
      </c>
      <c r="J382" s="644">
        <v>0</v>
      </c>
      <c r="K382" s="644">
        <v>0</v>
      </c>
      <c r="L382" s="644">
        <v>0</v>
      </c>
      <c r="M382" s="644">
        <v>462000000</v>
      </c>
      <c r="N382" s="644">
        <v>0</v>
      </c>
      <c r="O382" s="644">
        <v>0</v>
      </c>
      <c r="P382" s="644">
        <v>457488100</v>
      </c>
      <c r="Q382" s="644">
        <v>457488100</v>
      </c>
      <c r="R382" s="644">
        <v>0</v>
      </c>
      <c r="S382" s="644">
        <v>0</v>
      </c>
      <c r="T382" s="644">
        <v>0</v>
      </c>
      <c r="U382" s="644">
        <v>0</v>
      </c>
      <c r="V382" s="644">
        <v>0</v>
      </c>
      <c r="W382" s="632">
        <v>0</v>
      </c>
      <c r="X382" s="632">
        <v>346844</v>
      </c>
    </row>
    <row r="383" spans="1:24" ht="22.5">
      <c r="A383" s="645">
        <v>365</v>
      </c>
      <c r="B383" s="643" t="s">
        <v>1272</v>
      </c>
      <c r="C383" s="645" t="s">
        <v>441</v>
      </c>
      <c r="D383" s="645" t="s">
        <v>1267</v>
      </c>
      <c r="E383" s="645" t="s">
        <v>1115</v>
      </c>
      <c r="F383" s="645" t="s">
        <v>1114</v>
      </c>
      <c r="G383" s="645" t="s">
        <v>777</v>
      </c>
      <c r="H383" s="644">
        <v>21000000</v>
      </c>
      <c r="I383" s="644">
        <v>0</v>
      </c>
      <c r="J383" s="644">
        <v>0</v>
      </c>
      <c r="K383" s="644">
        <v>0</v>
      </c>
      <c r="L383" s="644">
        <v>0</v>
      </c>
      <c r="M383" s="644">
        <v>21000000</v>
      </c>
      <c r="N383" s="644">
        <v>0</v>
      </c>
      <c r="O383" s="644">
        <v>0</v>
      </c>
      <c r="P383" s="644">
        <v>21000000</v>
      </c>
      <c r="Q383" s="644">
        <v>21000000</v>
      </c>
      <c r="R383" s="644">
        <v>0</v>
      </c>
      <c r="S383" s="644">
        <v>0</v>
      </c>
      <c r="T383" s="644">
        <v>0</v>
      </c>
      <c r="U383" s="644">
        <v>0</v>
      </c>
      <c r="V383" s="644">
        <v>0</v>
      </c>
      <c r="W383" s="632">
        <v>0</v>
      </c>
      <c r="X383" s="632">
        <v>4511900</v>
      </c>
    </row>
    <row r="384" spans="1:24" ht="22.5">
      <c r="A384" s="645">
        <v>366</v>
      </c>
      <c r="B384" s="643" t="s">
        <v>1272</v>
      </c>
      <c r="C384" s="645" t="s">
        <v>441</v>
      </c>
      <c r="D384" s="645" t="s">
        <v>1267</v>
      </c>
      <c r="E384" s="645" t="s">
        <v>1116</v>
      </c>
      <c r="F384" s="645" t="s">
        <v>1114</v>
      </c>
      <c r="G384" s="645" t="s">
        <v>777</v>
      </c>
      <c r="H384" s="644">
        <v>38995000</v>
      </c>
      <c r="I384" s="644">
        <v>0</v>
      </c>
      <c r="J384" s="644">
        <v>0</v>
      </c>
      <c r="K384" s="644">
        <v>0</v>
      </c>
      <c r="L384" s="644">
        <v>0</v>
      </c>
      <c r="M384" s="644">
        <v>0</v>
      </c>
      <c r="N384" s="644">
        <v>38995000</v>
      </c>
      <c r="O384" s="644">
        <v>0</v>
      </c>
      <c r="P384" s="644">
        <v>38995000</v>
      </c>
      <c r="Q384" s="644">
        <v>38995000</v>
      </c>
      <c r="R384" s="644">
        <v>0</v>
      </c>
      <c r="S384" s="644">
        <v>0</v>
      </c>
      <c r="T384" s="644">
        <v>0</v>
      </c>
      <c r="U384" s="644">
        <v>0</v>
      </c>
      <c r="V384" s="644">
        <v>0</v>
      </c>
      <c r="W384" s="632">
        <v>0</v>
      </c>
      <c r="X384" s="632">
        <v>0</v>
      </c>
    </row>
    <row r="385" spans="1:24" ht="22.5">
      <c r="A385" s="645">
        <v>367</v>
      </c>
      <c r="B385" s="643" t="s">
        <v>1272</v>
      </c>
      <c r="C385" s="645" t="s">
        <v>441</v>
      </c>
      <c r="D385" s="645" t="s">
        <v>1267</v>
      </c>
      <c r="E385" s="645" t="s">
        <v>700</v>
      </c>
      <c r="F385" s="645" t="s">
        <v>1120</v>
      </c>
      <c r="G385" s="645" t="s">
        <v>777</v>
      </c>
      <c r="H385" s="644">
        <v>250000000</v>
      </c>
      <c r="I385" s="644">
        <v>0</v>
      </c>
      <c r="J385" s="644">
        <v>0</v>
      </c>
      <c r="K385" s="644">
        <v>0</v>
      </c>
      <c r="L385" s="644">
        <v>0</v>
      </c>
      <c r="M385" s="644">
        <v>250000000</v>
      </c>
      <c r="N385" s="644">
        <v>0</v>
      </c>
      <c r="O385" s="644">
        <v>0</v>
      </c>
      <c r="P385" s="644">
        <v>249100000</v>
      </c>
      <c r="Q385" s="644">
        <v>249100000</v>
      </c>
      <c r="R385" s="644">
        <v>0</v>
      </c>
      <c r="S385" s="644">
        <v>0</v>
      </c>
      <c r="T385" s="644">
        <v>0</v>
      </c>
      <c r="U385" s="644">
        <v>0</v>
      </c>
      <c r="V385" s="644">
        <v>0</v>
      </c>
      <c r="W385" s="632">
        <v>0</v>
      </c>
      <c r="X385" s="632">
        <v>0</v>
      </c>
    </row>
    <row r="386" spans="1:24" ht="22.5">
      <c r="A386" s="645">
        <v>368</v>
      </c>
      <c r="B386" s="643" t="s">
        <v>1273</v>
      </c>
      <c r="C386" s="645" t="s">
        <v>441</v>
      </c>
      <c r="D386" s="645" t="s">
        <v>1267</v>
      </c>
      <c r="E386" s="645" t="s">
        <v>700</v>
      </c>
      <c r="F386" s="645" t="s">
        <v>1114</v>
      </c>
      <c r="G386" s="645" t="s">
        <v>777</v>
      </c>
      <c r="H386" s="644">
        <v>1190415000</v>
      </c>
      <c r="I386" s="644">
        <v>97000000</v>
      </c>
      <c r="J386" s="644">
        <v>97000000</v>
      </c>
      <c r="K386" s="644">
        <v>0</v>
      </c>
      <c r="L386" s="644">
        <v>0</v>
      </c>
      <c r="M386" s="644">
        <v>1093415000</v>
      </c>
      <c r="N386" s="644">
        <v>0</v>
      </c>
      <c r="O386" s="644">
        <v>0</v>
      </c>
      <c r="P386" s="644">
        <v>1140915000</v>
      </c>
      <c r="Q386" s="644">
        <v>1140915000</v>
      </c>
      <c r="R386" s="644">
        <v>0</v>
      </c>
      <c r="S386" s="644">
        <v>0</v>
      </c>
      <c r="T386" s="644">
        <v>0</v>
      </c>
      <c r="U386" s="644">
        <v>0</v>
      </c>
      <c r="V386" s="644">
        <v>0</v>
      </c>
      <c r="W386" s="632">
        <v>0</v>
      </c>
      <c r="X386" s="632">
        <v>900000</v>
      </c>
    </row>
    <row r="387" spans="1:24" ht="22.5">
      <c r="A387" s="645">
        <v>369</v>
      </c>
      <c r="B387" s="643" t="s">
        <v>1273</v>
      </c>
      <c r="C387" s="645" t="s">
        <v>441</v>
      </c>
      <c r="D387" s="645" t="s">
        <v>1267</v>
      </c>
      <c r="E387" s="645" t="s">
        <v>904</v>
      </c>
      <c r="F387" s="645" t="s">
        <v>1114</v>
      </c>
      <c r="G387" s="645" t="s">
        <v>777</v>
      </c>
      <c r="H387" s="644">
        <v>66200000</v>
      </c>
      <c r="I387" s="644">
        <v>0</v>
      </c>
      <c r="J387" s="644">
        <v>0</v>
      </c>
      <c r="K387" s="644">
        <v>0</v>
      </c>
      <c r="L387" s="644">
        <v>0</v>
      </c>
      <c r="M387" s="644">
        <v>66200000</v>
      </c>
      <c r="N387" s="644">
        <v>0</v>
      </c>
      <c r="O387" s="644">
        <v>0</v>
      </c>
      <c r="P387" s="644">
        <v>63003400</v>
      </c>
      <c r="Q387" s="644">
        <v>63003400</v>
      </c>
      <c r="R387" s="644">
        <v>0</v>
      </c>
      <c r="S387" s="644">
        <v>0</v>
      </c>
      <c r="T387" s="644">
        <v>0</v>
      </c>
      <c r="U387" s="644">
        <v>0</v>
      </c>
      <c r="V387" s="644">
        <v>0</v>
      </c>
      <c r="W387" s="632">
        <v>0</v>
      </c>
      <c r="X387" s="632">
        <v>32580008</v>
      </c>
    </row>
    <row r="388" spans="1:24" ht="22.5">
      <c r="A388" s="645">
        <v>370</v>
      </c>
      <c r="B388" s="643" t="s">
        <v>1273</v>
      </c>
      <c r="C388" s="645" t="s">
        <v>441</v>
      </c>
      <c r="D388" s="645" t="s">
        <v>1267</v>
      </c>
      <c r="E388" s="645" t="s">
        <v>1115</v>
      </c>
      <c r="F388" s="645" t="s">
        <v>1114</v>
      </c>
      <c r="G388" s="645" t="s">
        <v>777</v>
      </c>
      <c r="H388" s="644">
        <v>2000000</v>
      </c>
      <c r="I388" s="644">
        <v>0</v>
      </c>
      <c r="J388" s="644">
        <v>0</v>
      </c>
      <c r="K388" s="644">
        <v>0</v>
      </c>
      <c r="L388" s="644">
        <v>0</v>
      </c>
      <c r="M388" s="644">
        <v>2000000</v>
      </c>
      <c r="N388" s="644">
        <v>0</v>
      </c>
      <c r="O388" s="644">
        <v>0</v>
      </c>
      <c r="P388" s="644">
        <v>2000000</v>
      </c>
      <c r="Q388" s="644">
        <v>2000000</v>
      </c>
      <c r="R388" s="644">
        <v>0</v>
      </c>
      <c r="S388" s="644">
        <v>0</v>
      </c>
      <c r="T388" s="644">
        <v>0</v>
      </c>
      <c r="U388" s="644">
        <v>0</v>
      </c>
      <c r="V388" s="644">
        <v>0</v>
      </c>
      <c r="W388" s="632">
        <v>0</v>
      </c>
      <c r="X388" s="632">
        <v>0</v>
      </c>
    </row>
    <row r="389" spans="1:24" ht="22.5">
      <c r="A389" s="645">
        <v>371</v>
      </c>
      <c r="B389" s="643" t="s">
        <v>1274</v>
      </c>
      <c r="C389" s="645" t="s">
        <v>441</v>
      </c>
      <c r="D389" s="645" t="s">
        <v>1267</v>
      </c>
      <c r="E389" s="645" t="s">
        <v>700</v>
      </c>
      <c r="F389" s="645" t="s">
        <v>1114</v>
      </c>
      <c r="G389" s="645" t="s">
        <v>777</v>
      </c>
      <c r="H389" s="644">
        <v>33000000</v>
      </c>
      <c r="I389" s="644">
        <v>33000000</v>
      </c>
      <c r="J389" s="644">
        <v>33000000</v>
      </c>
      <c r="K389" s="644">
        <v>0</v>
      </c>
      <c r="L389" s="644">
        <v>0</v>
      </c>
      <c r="M389" s="644">
        <v>0</v>
      </c>
      <c r="N389" s="644">
        <v>0</v>
      </c>
      <c r="O389" s="644">
        <v>0</v>
      </c>
      <c r="P389" s="644">
        <v>32700000</v>
      </c>
      <c r="Q389" s="644">
        <v>32700000</v>
      </c>
      <c r="R389" s="644">
        <v>0</v>
      </c>
      <c r="S389" s="644">
        <v>0</v>
      </c>
      <c r="T389" s="644">
        <v>0</v>
      </c>
      <c r="U389" s="644">
        <v>0</v>
      </c>
      <c r="V389" s="644">
        <v>0</v>
      </c>
      <c r="W389" s="632">
        <v>0</v>
      </c>
      <c r="X389" s="632">
        <v>0</v>
      </c>
    </row>
    <row r="390" spans="1:24" ht="22.5">
      <c r="A390" s="645">
        <v>372</v>
      </c>
      <c r="B390" s="643" t="s">
        <v>1274</v>
      </c>
      <c r="C390" s="645" t="s">
        <v>441</v>
      </c>
      <c r="D390" s="645" t="s">
        <v>1267</v>
      </c>
      <c r="E390" s="645" t="s">
        <v>902</v>
      </c>
      <c r="F390" s="645" t="s">
        <v>1114</v>
      </c>
      <c r="G390" s="645" t="s">
        <v>777</v>
      </c>
      <c r="H390" s="644">
        <v>1406100000</v>
      </c>
      <c r="I390" s="644">
        <v>0</v>
      </c>
      <c r="J390" s="644">
        <v>0</v>
      </c>
      <c r="K390" s="644">
        <v>0</v>
      </c>
      <c r="L390" s="644">
        <v>0</v>
      </c>
      <c r="M390" s="644">
        <v>1406100000</v>
      </c>
      <c r="N390" s="644">
        <v>0</v>
      </c>
      <c r="O390" s="644">
        <v>0</v>
      </c>
      <c r="P390" s="644">
        <v>1405526264</v>
      </c>
      <c r="Q390" s="644">
        <v>1405526264</v>
      </c>
      <c r="R390" s="644">
        <v>0</v>
      </c>
      <c r="S390" s="644">
        <v>0</v>
      </c>
      <c r="T390" s="644">
        <v>0</v>
      </c>
      <c r="U390" s="644">
        <v>0</v>
      </c>
      <c r="V390" s="644">
        <v>0</v>
      </c>
      <c r="W390" s="632">
        <v>0</v>
      </c>
      <c r="X390" s="632">
        <v>0</v>
      </c>
    </row>
    <row r="391" spans="1:24" ht="22.5">
      <c r="A391" s="645">
        <v>373</v>
      </c>
      <c r="B391" s="643" t="s">
        <v>1274</v>
      </c>
      <c r="C391" s="645" t="s">
        <v>441</v>
      </c>
      <c r="D391" s="645" t="s">
        <v>1267</v>
      </c>
      <c r="E391" s="645" t="s">
        <v>904</v>
      </c>
      <c r="F391" s="645" t="s">
        <v>1114</v>
      </c>
      <c r="G391" s="645" t="s">
        <v>777</v>
      </c>
      <c r="H391" s="644">
        <v>17000000</v>
      </c>
      <c r="I391" s="644">
        <v>0</v>
      </c>
      <c r="J391" s="644">
        <v>0</v>
      </c>
      <c r="K391" s="644">
        <v>0</v>
      </c>
      <c r="L391" s="644">
        <v>0</v>
      </c>
      <c r="M391" s="644">
        <v>17000000</v>
      </c>
      <c r="N391" s="644">
        <v>0</v>
      </c>
      <c r="O391" s="644">
        <v>0</v>
      </c>
      <c r="P391" s="644">
        <v>16800000</v>
      </c>
      <c r="Q391" s="644">
        <v>16800000</v>
      </c>
      <c r="R391" s="644">
        <v>0</v>
      </c>
      <c r="S391" s="644">
        <v>0</v>
      </c>
      <c r="T391" s="644">
        <v>0</v>
      </c>
      <c r="U391" s="644">
        <v>0</v>
      </c>
      <c r="V391" s="644">
        <v>0</v>
      </c>
      <c r="W391" s="632">
        <v>0</v>
      </c>
      <c r="X391" s="632">
        <v>0</v>
      </c>
    </row>
    <row r="392" spans="1:24" ht="22.5">
      <c r="A392" s="645">
        <v>374</v>
      </c>
      <c r="B392" s="643" t="s">
        <v>1275</v>
      </c>
      <c r="C392" s="645" t="s">
        <v>441</v>
      </c>
      <c r="D392" s="645" t="s">
        <v>1267</v>
      </c>
      <c r="E392" s="645" t="s">
        <v>885</v>
      </c>
      <c r="F392" s="645" t="s">
        <v>1114</v>
      </c>
      <c r="G392" s="645" t="s">
        <v>777</v>
      </c>
      <c r="H392" s="644">
        <v>9029420000</v>
      </c>
      <c r="I392" s="644">
        <v>0</v>
      </c>
      <c r="J392" s="644">
        <v>0</v>
      </c>
      <c r="K392" s="644">
        <v>0</v>
      </c>
      <c r="L392" s="644">
        <v>0</v>
      </c>
      <c r="M392" s="644">
        <v>9029420000</v>
      </c>
      <c r="N392" s="644">
        <v>0</v>
      </c>
      <c r="O392" s="644">
        <v>0</v>
      </c>
      <c r="P392" s="644">
        <v>9007773750</v>
      </c>
      <c r="Q392" s="644">
        <v>9007773750</v>
      </c>
      <c r="R392" s="644">
        <v>0</v>
      </c>
      <c r="S392" s="644">
        <v>0</v>
      </c>
      <c r="T392" s="644">
        <v>0</v>
      </c>
      <c r="U392" s="644">
        <v>0</v>
      </c>
      <c r="V392" s="644">
        <v>0</v>
      </c>
      <c r="W392" s="632">
        <v>0</v>
      </c>
      <c r="X392" s="632">
        <v>3363000</v>
      </c>
    </row>
    <row r="393" spans="1:24" ht="22.5">
      <c r="A393" s="645">
        <v>375</v>
      </c>
      <c r="B393" s="643" t="s">
        <v>1275</v>
      </c>
      <c r="C393" s="645" t="s">
        <v>441</v>
      </c>
      <c r="D393" s="645" t="s">
        <v>1267</v>
      </c>
      <c r="E393" s="645" t="s">
        <v>904</v>
      </c>
      <c r="F393" s="645" t="s">
        <v>1114</v>
      </c>
      <c r="G393" s="645" t="s">
        <v>777</v>
      </c>
      <c r="H393" s="644">
        <v>317500000</v>
      </c>
      <c r="I393" s="644">
        <v>0</v>
      </c>
      <c r="J393" s="644">
        <v>0</v>
      </c>
      <c r="K393" s="644">
        <v>0</v>
      </c>
      <c r="L393" s="644">
        <v>0</v>
      </c>
      <c r="M393" s="644">
        <v>317500000</v>
      </c>
      <c r="N393" s="644">
        <v>0</v>
      </c>
      <c r="O393" s="644">
        <v>0</v>
      </c>
      <c r="P393" s="644">
        <v>317500000</v>
      </c>
      <c r="Q393" s="644">
        <v>317500000</v>
      </c>
      <c r="R393" s="644">
        <v>0</v>
      </c>
      <c r="S393" s="644">
        <v>0</v>
      </c>
      <c r="T393" s="644">
        <v>0</v>
      </c>
      <c r="U393" s="644">
        <v>0</v>
      </c>
      <c r="V393" s="644">
        <v>0</v>
      </c>
      <c r="W393" s="632">
        <v>0</v>
      </c>
      <c r="X393" s="632">
        <v>462769641</v>
      </c>
    </row>
    <row r="394" spans="1:24" ht="22.5">
      <c r="A394" s="645">
        <v>376</v>
      </c>
      <c r="B394" s="643" t="s">
        <v>1275</v>
      </c>
      <c r="C394" s="645" t="s">
        <v>441</v>
      </c>
      <c r="D394" s="645" t="s">
        <v>1267</v>
      </c>
      <c r="E394" s="645" t="s">
        <v>1115</v>
      </c>
      <c r="F394" s="645" t="s">
        <v>1114</v>
      </c>
      <c r="G394" s="645" t="s">
        <v>777</v>
      </c>
      <c r="H394" s="644">
        <v>1500000</v>
      </c>
      <c r="I394" s="644">
        <v>0</v>
      </c>
      <c r="J394" s="644">
        <v>0</v>
      </c>
      <c r="K394" s="644">
        <v>0</v>
      </c>
      <c r="L394" s="644">
        <v>0</v>
      </c>
      <c r="M394" s="644">
        <v>1500000</v>
      </c>
      <c r="N394" s="644">
        <v>0</v>
      </c>
      <c r="O394" s="644">
        <v>0</v>
      </c>
      <c r="P394" s="644">
        <v>1500000</v>
      </c>
      <c r="Q394" s="644">
        <v>1500000</v>
      </c>
      <c r="R394" s="644">
        <v>0</v>
      </c>
      <c r="S394" s="644">
        <v>0</v>
      </c>
      <c r="T394" s="644">
        <v>0</v>
      </c>
      <c r="U394" s="644">
        <v>0</v>
      </c>
      <c r="V394" s="644">
        <v>0</v>
      </c>
      <c r="W394" s="632">
        <v>0</v>
      </c>
      <c r="X394" s="632">
        <v>11750000</v>
      </c>
    </row>
    <row r="395" spans="1:24" ht="22.5">
      <c r="A395" s="645">
        <v>377</v>
      </c>
      <c r="B395" s="643" t="s">
        <v>1275</v>
      </c>
      <c r="C395" s="645" t="s">
        <v>441</v>
      </c>
      <c r="D395" s="645" t="s">
        <v>1267</v>
      </c>
      <c r="E395" s="645" t="s">
        <v>885</v>
      </c>
      <c r="F395" s="645" t="s">
        <v>1120</v>
      </c>
      <c r="G395" s="645" t="s">
        <v>777</v>
      </c>
      <c r="H395" s="644">
        <v>250000000</v>
      </c>
      <c r="I395" s="644">
        <v>0</v>
      </c>
      <c r="J395" s="644">
        <v>0</v>
      </c>
      <c r="K395" s="644">
        <v>0</v>
      </c>
      <c r="L395" s="644">
        <v>0</v>
      </c>
      <c r="M395" s="644">
        <v>250000000</v>
      </c>
      <c r="N395" s="644">
        <v>0</v>
      </c>
      <c r="O395" s="644">
        <v>0</v>
      </c>
      <c r="P395" s="644">
        <v>250000000</v>
      </c>
      <c r="Q395" s="644">
        <v>250000000</v>
      </c>
      <c r="R395" s="644">
        <v>0</v>
      </c>
      <c r="S395" s="644">
        <v>0</v>
      </c>
      <c r="T395" s="644">
        <v>0</v>
      </c>
      <c r="U395" s="644">
        <v>0</v>
      </c>
      <c r="V395" s="644">
        <v>0</v>
      </c>
      <c r="W395" s="632">
        <v>0</v>
      </c>
      <c r="X395" s="632">
        <v>6693200</v>
      </c>
    </row>
    <row r="396" spans="1:24">
      <c r="A396" s="645">
        <v>378</v>
      </c>
      <c r="B396" s="643" t="s">
        <v>1276</v>
      </c>
      <c r="C396" s="645" t="s">
        <v>441</v>
      </c>
      <c r="D396" s="645" t="s">
        <v>1267</v>
      </c>
      <c r="E396" s="645" t="s">
        <v>700</v>
      </c>
      <c r="F396" s="645" t="s">
        <v>1114</v>
      </c>
      <c r="G396" s="645" t="s">
        <v>777</v>
      </c>
      <c r="H396" s="644">
        <v>1507484000</v>
      </c>
      <c r="I396" s="644">
        <v>40354000</v>
      </c>
      <c r="J396" s="644">
        <v>22000000</v>
      </c>
      <c r="K396" s="644">
        <v>0</v>
      </c>
      <c r="L396" s="644">
        <v>18354000</v>
      </c>
      <c r="M396" s="644">
        <v>1467130000</v>
      </c>
      <c r="N396" s="644">
        <v>0</v>
      </c>
      <c r="O396" s="644">
        <v>0</v>
      </c>
      <c r="P396" s="644">
        <v>1298954824</v>
      </c>
      <c r="Q396" s="644">
        <v>1298954824</v>
      </c>
      <c r="R396" s="644">
        <v>0</v>
      </c>
      <c r="S396" s="644">
        <v>208529176</v>
      </c>
      <c r="T396" s="644">
        <v>208529176</v>
      </c>
      <c r="U396" s="644">
        <v>0</v>
      </c>
      <c r="V396" s="644">
        <v>0</v>
      </c>
      <c r="W396" s="632">
        <v>0</v>
      </c>
      <c r="X396" s="632">
        <v>42456000</v>
      </c>
    </row>
    <row r="397" spans="1:24">
      <c r="A397" s="645">
        <v>379</v>
      </c>
      <c r="B397" s="643" t="s">
        <v>1276</v>
      </c>
      <c r="C397" s="645" t="s">
        <v>441</v>
      </c>
      <c r="D397" s="645" t="s">
        <v>1267</v>
      </c>
      <c r="E397" s="645" t="s">
        <v>904</v>
      </c>
      <c r="F397" s="645" t="s">
        <v>1114</v>
      </c>
      <c r="G397" s="645" t="s">
        <v>777</v>
      </c>
      <c r="H397" s="644">
        <v>987500000</v>
      </c>
      <c r="I397" s="644">
        <v>0</v>
      </c>
      <c r="J397" s="644">
        <v>0</v>
      </c>
      <c r="K397" s="644">
        <v>0</v>
      </c>
      <c r="L397" s="644">
        <v>0</v>
      </c>
      <c r="M397" s="644">
        <v>987500000</v>
      </c>
      <c r="N397" s="644">
        <v>0</v>
      </c>
      <c r="O397" s="644">
        <v>0</v>
      </c>
      <c r="P397" s="644">
        <v>929616000</v>
      </c>
      <c r="Q397" s="644">
        <v>929616000</v>
      </c>
      <c r="R397" s="644">
        <v>0</v>
      </c>
      <c r="S397" s="644">
        <v>0</v>
      </c>
      <c r="T397" s="644">
        <v>0</v>
      </c>
      <c r="U397" s="644">
        <v>0</v>
      </c>
      <c r="V397" s="644">
        <v>0</v>
      </c>
      <c r="W397" s="632">
        <v>0</v>
      </c>
      <c r="X397" s="632">
        <v>0</v>
      </c>
    </row>
    <row r="398" spans="1:24">
      <c r="A398" s="645">
        <v>380</v>
      </c>
      <c r="B398" s="643" t="s">
        <v>1276</v>
      </c>
      <c r="C398" s="645" t="s">
        <v>441</v>
      </c>
      <c r="D398" s="645" t="s">
        <v>1267</v>
      </c>
      <c r="E398" s="645" t="s">
        <v>1115</v>
      </c>
      <c r="F398" s="645" t="s">
        <v>1114</v>
      </c>
      <c r="G398" s="645" t="s">
        <v>777</v>
      </c>
      <c r="H398" s="644">
        <v>5500000</v>
      </c>
      <c r="I398" s="644">
        <v>0</v>
      </c>
      <c r="J398" s="644">
        <v>0</v>
      </c>
      <c r="K398" s="644">
        <v>0</v>
      </c>
      <c r="L398" s="644">
        <v>0</v>
      </c>
      <c r="M398" s="644">
        <v>5500000</v>
      </c>
      <c r="N398" s="644">
        <v>0</v>
      </c>
      <c r="O398" s="644">
        <v>0</v>
      </c>
      <c r="P398" s="644">
        <v>5500000</v>
      </c>
      <c r="Q398" s="644">
        <v>5500000</v>
      </c>
      <c r="R398" s="644">
        <v>0</v>
      </c>
      <c r="S398" s="644">
        <v>0</v>
      </c>
      <c r="T398" s="644">
        <v>0</v>
      </c>
      <c r="U398" s="644">
        <v>0</v>
      </c>
      <c r="V398" s="644">
        <v>0</v>
      </c>
      <c r="W398" s="632">
        <v>0</v>
      </c>
      <c r="X398" s="632">
        <v>0</v>
      </c>
    </row>
    <row r="399" spans="1:24">
      <c r="A399" s="645">
        <v>381</v>
      </c>
      <c r="B399" s="643" t="s">
        <v>1276</v>
      </c>
      <c r="C399" s="645" t="s">
        <v>441</v>
      </c>
      <c r="D399" s="645" t="s">
        <v>1267</v>
      </c>
      <c r="E399" s="645" t="s">
        <v>700</v>
      </c>
      <c r="F399" s="645" t="s">
        <v>1270</v>
      </c>
      <c r="G399" s="645" t="s">
        <v>777</v>
      </c>
      <c r="H399" s="644">
        <v>50000000</v>
      </c>
      <c r="I399" s="644">
        <v>0</v>
      </c>
      <c r="J399" s="644">
        <v>0</v>
      </c>
      <c r="K399" s="644">
        <v>0</v>
      </c>
      <c r="L399" s="644">
        <v>0</v>
      </c>
      <c r="M399" s="644">
        <v>0</v>
      </c>
      <c r="N399" s="644">
        <v>50000000</v>
      </c>
      <c r="O399" s="644">
        <v>0</v>
      </c>
      <c r="P399" s="644">
        <v>50000000</v>
      </c>
      <c r="Q399" s="644">
        <v>50000000</v>
      </c>
      <c r="R399" s="644">
        <v>0</v>
      </c>
      <c r="S399" s="644">
        <v>0</v>
      </c>
      <c r="T399" s="644">
        <v>0</v>
      </c>
      <c r="U399" s="644">
        <v>0</v>
      </c>
      <c r="V399" s="644">
        <v>0</v>
      </c>
      <c r="W399" s="632">
        <v>0</v>
      </c>
      <c r="X399" s="632">
        <v>0</v>
      </c>
    </row>
    <row r="400" spans="1:24" ht="22.5">
      <c r="A400" s="645">
        <v>382</v>
      </c>
      <c r="B400" s="643" t="s">
        <v>1277</v>
      </c>
      <c r="C400" s="645" t="s">
        <v>441</v>
      </c>
      <c r="D400" s="645" t="s">
        <v>1267</v>
      </c>
      <c r="E400" s="645" t="s">
        <v>700</v>
      </c>
      <c r="F400" s="645" t="s">
        <v>1114</v>
      </c>
      <c r="G400" s="645" t="s">
        <v>777</v>
      </c>
      <c r="H400" s="644">
        <v>94000000</v>
      </c>
      <c r="I400" s="644">
        <v>44000000</v>
      </c>
      <c r="J400" s="644">
        <v>44000000</v>
      </c>
      <c r="K400" s="644">
        <v>0</v>
      </c>
      <c r="L400" s="644">
        <v>0</v>
      </c>
      <c r="M400" s="644">
        <v>50000000</v>
      </c>
      <c r="N400" s="644">
        <v>0</v>
      </c>
      <c r="O400" s="644">
        <v>0</v>
      </c>
      <c r="P400" s="644">
        <v>93600000</v>
      </c>
      <c r="Q400" s="644">
        <v>93600000</v>
      </c>
      <c r="R400" s="644">
        <v>0</v>
      </c>
      <c r="S400" s="644">
        <v>0</v>
      </c>
      <c r="T400" s="644">
        <v>0</v>
      </c>
      <c r="U400" s="644">
        <v>0</v>
      </c>
      <c r="V400" s="644">
        <v>0</v>
      </c>
      <c r="W400" s="632">
        <v>0</v>
      </c>
      <c r="X400" s="632">
        <v>0</v>
      </c>
    </row>
    <row r="401" spans="1:24" ht="22.5">
      <c r="A401" s="645">
        <v>383</v>
      </c>
      <c r="B401" s="643" t="s">
        <v>1277</v>
      </c>
      <c r="C401" s="645" t="s">
        <v>441</v>
      </c>
      <c r="D401" s="645" t="s">
        <v>1267</v>
      </c>
      <c r="E401" s="645" t="s">
        <v>904</v>
      </c>
      <c r="F401" s="645" t="s">
        <v>1114</v>
      </c>
      <c r="G401" s="645" t="s">
        <v>777</v>
      </c>
      <c r="H401" s="644">
        <v>116000000</v>
      </c>
      <c r="I401" s="644">
        <v>0</v>
      </c>
      <c r="J401" s="644">
        <v>0</v>
      </c>
      <c r="K401" s="644">
        <v>0</v>
      </c>
      <c r="L401" s="644">
        <v>0</v>
      </c>
      <c r="M401" s="644">
        <v>116000000</v>
      </c>
      <c r="N401" s="644">
        <v>0</v>
      </c>
      <c r="O401" s="644">
        <v>0</v>
      </c>
      <c r="P401" s="644">
        <v>112803400</v>
      </c>
      <c r="Q401" s="644">
        <v>112803400</v>
      </c>
      <c r="R401" s="644">
        <v>0</v>
      </c>
      <c r="S401" s="644">
        <v>0</v>
      </c>
      <c r="T401" s="644">
        <v>0</v>
      </c>
      <c r="U401" s="644">
        <v>0</v>
      </c>
      <c r="V401" s="644">
        <v>0</v>
      </c>
      <c r="W401" s="632">
        <v>0</v>
      </c>
      <c r="X401" s="632">
        <v>0</v>
      </c>
    </row>
    <row r="402" spans="1:24" ht="22.5">
      <c r="A402" s="645">
        <v>384</v>
      </c>
      <c r="B402" s="643" t="s">
        <v>1277</v>
      </c>
      <c r="C402" s="645" t="s">
        <v>441</v>
      </c>
      <c r="D402" s="645" t="s">
        <v>1267</v>
      </c>
      <c r="E402" s="645" t="s">
        <v>1115</v>
      </c>
      <c r="F402" s="645" t="s">
        <v>1114</v>
      </c>
      <c r="G402" s="645" t="s">
        <v>777</v>
      </c>
      <c r="H402" s="644">
        <v>2000000</v>
      </c>
      <c r="I402" s="644">
        <v>0</v>
      </c>
      <c r="J402" s="644">
        <v>0</v>
      </c>
      <c r="K402" s="644">
        <v>0</v>
      </c>
      <c r="L402" s="644">
        <v>0</v>
      </c>
      <c r="M402" s="644">
        <v>2000000</v>
      </c>
      <c r="N402" s="644">
        <v>0</v>
      </c>
      <c r="O402" s="644">
        <v>0</v>
      </c>
      <c r="P402" s="644">
        <v>2000000</v>
      </c>
      <c r="Q402" s="644">
        <v>2000000</v>
      </c>
      <c r="R402" s="644">
        <v>0</v>
      </c>
      <c r="S402" s="644">
        <v>0</v>
      </c>
      <c r="T402" s="644">
        <v>0</v>
      </c>
      <c r="U402" s="644">
        <v>0</v>
      </c>
      <c r="V402" s="644">
        <v>0</v>
      </c>
      <c r="W402" s="632">
        <v>0</v>
      </c>
      <c r="X402" s="632">
        <v>294024100</v>
      </c>
    </row>
    <row r="403" spans="1:24" ht="22.5">
      <c r="A403" s="645">
        <v>385</v>
      </c>
      <c r="B403" s="643" t="s">
        <v>1277</v>
      </c>
      <c r="C403" s="645" t="s">
        <v>441</v>
      </c>
      <c r="D403" s="645" t="s">
        <v>1267</v>
      </c>
      <c r="E403" s="645" t="s">
        <v>1116</v>
      </c>
      <c r="F403" s="645" t="s">
        <v>1114</v>
      </c>
      <c r="G403" s="645" t="s">
        <v>777</v>
      </c>
      <c r="H403" s="644">
        <v>350000000</v>
      </c>
      <c r="I403" s="644">
        <v>0</v>
      </c>
      <c r="J403" s="644">
        <v>0</v>
      </c>
      <c r="K403" s="644">
        <v>0</v>
      </c>
      <c r="L403" s="644">
        <v>0</v>
      </c>
      <c r="M403" s="644">
        <v>0</v>
      </c>
      <c r="N403" s="644">
        <v>350000000</v>
      </c>
      <c r="O403" s="644">
        <v>0</v>
      </c>
      <c r="P403" s="644">
        <v>318440392</v>
      </c>
      <c r="Q403" s="644">
        <v>318440392</v>
      </c>
      <c r="R403" s="644">
        <v>0</v>
      </c>
      <c r="S403" s="644">
        <v>0</v>
      </c>
      <c r="T403" s="644">
        <v>0</v>
      </c>
      <c r="U403" s="644">
        <v>0</v>
      </c>
      <c r="V403" s="644">
        <v>0</v>
      </c>
      <c r="W403" s="632">
        <v>0</v>
      </c>
      <c r="X403" s="632">
        <v>0</v>
      </c>
    </row>
    <row r="404" spans="1:24" ht="22.5">
      <c r="A404" s="645">
        <v>386</v>
      </c>
      <c r="B404" s="643" t="s">
        <v>1278</v>
      </c>
      <c r="C404" s="645" t="s">
        <v>441</v>
      </c>
      <c r="D404" s="645" t="s">
        <v>1279</v>
      </c>
      <c r="E404" s="645" t="s">
        <v>888</v>
      </c>
      <c r="F404" s="645" t="s">
        <v>1114</v>
      </c>
      <c r="G404" s="645" t="s">
        <v>777</v>
      </c>
      <c r="H404" s="644">
        <v>29149351700</v>
      </c>
      <c r="I404" s="644">
        <v>7253982700</v>
      </c>
      <c r="J404" s="644">
        <v>0</v>
      </c>
      <c r="K404" s="644">
        <v>0</v>
      </c>
      <c r="L404" s="644">
        <v>7253982700</v>
      </c>
      <c r="M404" s="644">
        <v>21859590000</v>
      </c>
      <c r="N404" s="644">
        <v>35779000</v>
      </c>
      <c r="O404" s="644">
        <v>0</v>
      </c>
      <c r="P404" s="644">
        <v>27091439357</v>
      </c>
      <c r="Q404" s="644">
        <v>27091439357</v>
      </c>
      <c r="R404" s="644">
        <v>0</v>
      </c>
      <c r="S404" s="644">
        <v>2057912343</v>
      </c>
      <c r="T404" s="644">
        <v>2057912343</v>
      </c>
      <c r="U404" s="644">
        <v>0</v>
      </c>
      <c r="V404" s="644">
        <v>0</v>
      </c>
      <c r="W404" s="632">
        <v>0</v>
      </c>
      <c r="X404" s="632">
        <v>0</v>
      </c>
    </row>
    <row r="405" spans="1:24" ht="22.5">
      <c r="A405" s="645">
        <v>387</v>
      </c>
      <c r="B405" s="643" t="s">
        <v>1278</v>
      </c>
      <c r="C405" s="645" t="s">
        <v>441</v>
      </c>
      <c r="D405" s="645" t="s">
        <v>1279</v>
      </c>
      <c r="E405" s="645" t="s">
        <v>903</v>
      </c>
      <c r="F405" s="645" t="s">
        <v>1114</v>
      </c>
      <c r="G405" s="645" t="s">
        <v>777</v>
      </c>
      <c r="H405" s="644">
        <v>30084074000</v>
      </c>
      <c r="I405" s="644">
        <v>9067484000</v>
      </c>
      <c r="J405" s="644">
        <v>0</v>
      </c>
      <c r="K405" s="644">
        <v>0</v>
      </c>
      <c r="L405" s="644">
        <v>9067484000</v>
      </c>
      <c r="M405" s="644">
        <v>16016590000</v>
      </c>
      <c r="N405" s="644">
        <v>5000000000</v>
      </c>
      <c r="O405" s="644">
        <v>0</v>
      </c>
      <c r="P405" s="644">
        <v>27958484000</v>
      </c>
      <c r="Q405" s="644">
        <v>27958484000</v>
      </c>
      <c r="R405" s="644">
        <v>0</v>
      </c>
      <c r="S405" s="644">
        <v>2125590000</v>
      </c>
      <c r="T405" s="644">
        <v>2125590000</v>
      </c>
      <c r="U405" s="644">
        <v>0</v>
      </c>
      <c r="V405" s="644">
        <v>0</v>
      </c>
      <c r="W405" s="632">
        <v>0</v>
      </c>
      <c r="X405" s="632">
        <v>0</v>
      </c>
    </row>
    <row r="406" spans="1:24" ht="22.5">
      <c r="A406" s="645">
        <v>388</v>
      </c>
      <c r="B406" s="643" t="s">
        <v>1278</v>
      </c>
      <c r="C406" s="645" t="s">
        <v>441</v>
      </c>
      <c r="D406" s="645" t="s">
        <v>1279</v>
      </c>
      <c r="E406" s="645" t="s">
        <v>905</v>
      </c>
      <c r="F406" s="645" t="s">
        <v>1114</v>
      </c>
      <c r="G406" s="645" t="s">
        <v>777</v>
      </c>
      <c r="H406" s="644">
        <v>1952575000</v>
      </c>
      <c r="I406" s="644">
        <v>0</v>
      </c>
      <c r="J406" s="644">
        <v>0</v>
      </c>
      <c r="K406" s="644">
        <v>0</v>
      </c>
      <c r="L406" s="644">
        <v>0</v>
      </c>
      <c r="M406" s="644">
        <v>1963244000</v>
      </c>
      <c r="N406" s="644">
        <v>-10669000</v>
      </c>
      <c r="O406" s="644">
        <v>0</v>
      </c>
      <c r="P406" s="644">
        <v>1426595450</v>
      </c>
      <c r="Q406" s="644">
        <v>1426595450</v>
      </c>
      <c r="R406" s="644">
        <v>0</v>
      </c>
      <c r="S406" s="644">
        <v>13000000</v>
      </c>
      <c r="T406" s="644">
        <v>13000000</v>
      </c>
      <c r="U406" s="644">
        <v>0</v>
      </c>
      <c r="V406" s="644">
        <v>0</v>
      </c>
      <c r="W406" s="632">
        <v>0</v>
      </c>
      <c r="X406" s="632">
        <v>0</v>
      </c>
    </row>
    <row r="407" spans="1:24" ht="22.5">
      <c r="A407" s="645">
        <v>389</v>
      </c>
      <c r="B407" s="643" t="s">
        <v>1278</v>
      </c>
      <c r="C407" s="645" t="s">
        <v>441</v>
      </c>
      <c r="D407" s="645" t="s">
        <v>1279</v>
      </c>
      <c r="E407" s="645" t="s">
        <v>1115</v>
      </c>
      <c r="F407" s="645" t="s">
        <v>1114</v>
      </c>
      <c r="G407" s="645" t="s">
        <v>777</v>
      </c>
      <c r="H407" s="644">
        <v>1500000</v>
      </c>
      <c r="I407" s="644">
        <v>0</v>
      </c>
      <c r="J407" s="644">
        <v>0</v>
      </c>
      <c r="K407" s="644">
        <v>0</v>
      </c>
      <c r="L407" s="644">
        <v>0</v>
      </c>
      <c r="M407" s="644">
        <v>1500000</v>
      </c>
      <c r="N407" s="644">
        <v>0</v>
      </c>
      <c r="O407" s="644">
        <v>0</v>
      </c>
      <c r="P407" s="644">
        <v>1500000</v>
      </c>
      <c r="Q407" s="644">
        <v>1500000</v>
      </c>
      <c r="R407" s="644">
        <v>0</v>
      </c>
      <c r="S407" s="644">
        <v>0</v>
      </c>
      <c r="T407" s="644">
        <v>0</v>
      </c>
      <c r="U407" s="644">
        <v>0</v>
      </c>
      <c r="V407" s="644">
        <v>0</v>
      </c>
      <c r="W407" s="632">
        <v>0</v>
      </c>
      <c r="X407" s="632">
        <v>0</v>
      </c>
    </row>
    <row r="408" spans="1:24" ht="22.5">
      <c r="A408" s="645">
        <v>390</v>
      </c>
      <c r="B408" s="643" t="s">
        <v>1278</v>
      </c>
      <c r="C408" s="645" t="s">
        <v>441</v>
      </c>
      <c r="D408" s="645" t="s">
        <v>1279</v>
      </c>
      <c r="E408" s="645" t="s">
        <v>1116</v>
      </c>
      <c r="F408" s="645" t="s">
        <v>1114</v>
      </c>
      <c r="G408" s="645" t="s">
        <v>777</v>
      </c>
      <c r="H408" s="644">
        <v>169451000</v>
      </c>
      <c r="I408" s="644">
        <v>0</v>
      </c>
      <c r="J408" s="644">
        <v>0</v>
      </c>
      <c r="K408" s="644">
        <v>0</v>
      </c>
      <c r="L408" s="644">
        <v>0</v>
      </c>
      <c r="M408" s="644">
        <v>0</v>
      </c>
      <c r="N408" s="644">
        <v>169451000</v>
      </c>
      <c r="O408" s="644">
        <v>0</v>
      </c>
      <c r="P408" s="644">
        <v>168213900</v>
      </c>
      <c r="Q408" s="644">
        <v>168213900</v>
      </c>
      <c r="R408" s="644">
        <v>0</v>
      </c>
      <c r="S408" s="644">
        <v>0</v>
      </c>
      <c r="T408" s="644">
        <v>0</v>
      </c>
      <c r="U408" s="644">
        <v>0</v>
      </c>
      <c r="V408" s="644">
        <v>0</v>
      </c>
      <c r="W408" s="632">
        <v>0</v>
      </c>
      <c r="X408" s="632">
        <v>0</v>
      </c>
    </row>
    <row r="409" spans="1:24" ht="22.5">
      <c r="A409" s="645">
        <v>391</v>
      </c>
      <c r="B409" s="643" t="s">
        <v>1280</v>
      </c>
      <c r="C409" s="645" t="s">
        <v>441</v>
      </c>
      <c r="D409" s="645" t="s">
        <v>1279</v>
      </c>
      <c r="E409" s="645" t="s">
        <v>904</v>
      </c>
      <c r="F409" s="645" t="s">
        <v>1114</v>
      </c>
      <c r="G409" s="645" t="s">
        <v>777</v>
      </c>
      <c r="H409" s="644">
        <v>25348000</v>
      </c>
      <c r="I409" s="644">
        <v>0</v>
      </c>
      <c r="J409" s="644">
        <v>0</v>
      </c>
      <c r="K409" s="644">
        <v>0</v>
      </c>
      <c r="L409" s="644">
        <v>0</v>
      </c>
      <c r="M409" s="644">
        <v>0</v>
      </c>
      <c r="N409" s="644">
        <v>25348000</v>
      </c>
      <c r="O409" s="644">
        <v>0</v>
      </c>
      <c r="P409" s="644">
        <v>25327156</v>
      </c>
      <c r="Q409" s="644">
        <v>25327156</v>
      </c>
      <c r="R409" s="644">
        <v>0</v>
      </c>
      <c r="S409" s="644">
        <v>0</v>
      </c>
      <c r="T409" s="644">
        <v>0</v>
      </c>
      <c r="U409" s="644">
        <v>0</v>
      </c>
      <c r="V409" s="644">
        <v>0</v>
      </c>
      <c r="W409" s="632">
        <v>0</v>
      </c>
      <c r="X409" s="632">
        <v>0</v>
      </c>
    </row>
    <row r="410" spans="1:24" ht="22.5">
      <c r="A410" s="645">
        <v>392</v>
      </c>
      <c r="B410" s="643" t="s">
        <v>1280</v>
      </c>
      <c r="C410" s="645" t="s">
        <v>441</v>
      </c>
      <c r="D410" s="645" t="s">
        <v>1279</v>
      </c>
      <c r="E410" s="645" t="s">
        <v>1116</v>
      </c>
      <c r="F410" s="645" t="s">
        <v>1114</v>
      </c>
      <c r="G410" s="645" t="s">
        <v>777</v>
      </c>
      <c r="H410" s="644">
        <v>301932000</v>
      </c>
      <c r="I410" s="644">
        <v>0</v>
      </c>
      <c r="J410" s="644">
        <v>0</v>
      </c>
      <c r="K410" s="644">
        <v>0</v>
      </c>
      <c r="L410" s="644">
        <v>0</v>
      </c>
      <c r="M410" s="644">
        <v>0</v>
      </c>
      <c r="N410" s="644">
        <v>301932000</v>
      </c>
      <c r="O410" s="644">
        <v>0</v>
      </c>
      <c r="P410" s="644">
        <v>290888763</v>
      </c>
      <c r="Q410" s="644">
        <v>290888763</v>
      </c>
      <c r="R410" s="644">
        <v>0</v>
      </c>
      <c r="S410" s="644">
        <v>0</v>
      </c>
      <c r="T410" s="644">
        <v>0</v>
      </c>
      <c r="U410" s="644">
        <v>0</v>
      </c>
      <c r="V410" s="644">
        <v>0</v>
      </c>
      <c r="W410" s="632">
        <v>0</v>
      </c>
      <c r="X410" s="632">
        <v>7185000</v>
      </c>
    </row>
    <row r="411" spans="1:24">
      <c r="A411" s="645">
        <v>393</v>
      </c>
      <c r="B411" s="643" t="s">
        <v>1281</v>
      </c>
      <c r="C411" s="645" t="s">
        <v>441</v>
      </c>
      <c r="D411" s="645" t="s">
        <v>1279</v>
      </c>
      <c r="E411" s="645" t="s">
        <v>888</v>
      </c>
      <c r="F411" s="645" t="s">
        <v>1114</v>
      </c>
      <c r="G411" s="645" t="s">
        <v>777</v>
      </c>
      <c r="H411" s="644">
        <v>1336791148</v>
      </c>
      <c r="I411" s="644">
        <v>136791148</v>
      </c>
      <c r="J411" s="644">
        <v>136191148</v>
      </c>
      <c r="K411" s="644">
        <v>0</v>
      </c>
      <c r="L411" s="644">
        <v>600000</v>
      </c>
      <c r="M411" s="644">
        <v>1200000000</v>
      </c>
      <c r="N411" s="644">
        <v>0</v>
      </c>
      <c r="O411" s="644">
        <v>0</v>
      </c>
      <c r="P411" s="644">
        <v>1279576328</v>
      </c>
      <c r="Q411" s="644">
        <v>1279576328</v>
      </c>
      <c r="R411" s="644">
        <v>0</v>
      </c>
      <c r="S411" s="644">
        <v>0</v>
      </c>
      <c r="T411" s="644">
        <v>0</v>
      </c>
      <c r="U411" s="644">
        <v>0</v>
      </c>
      <c r="V411" s="644">
        <v>0</v>
      </c>
      <c r="W411" s="632">
        <v>0</v>
      </c>
      <c r="X411" s="632">
        <v>4794900</v>
      </c>
    </row>
    <row r="412" spans="1:24">
      <c r="A412" s="645">
        <v>394</v>
      </c>
      <c r="B412" s="643" t="s">
        <v>1281</v>
      </c>
      <c r="C412" s="645" t="s">
        <v>441</v>
      </c>
      <c r="D412" s="645" t="s">
        <v>1279</v>
      </c>
      <c r="E412" s="645" t="s">
        <v>905</v>
      </c>
      <c r="F412" s="645" t="s">
        <v>1114</v>
      </c>
      <c r="G412" s="645" t="s">
        <v>777</v>
      </c>
      <c r="H412" s="644">
        <v>196600000</v>
      </c>
      <c r="I412" s="644">
        <v>0</v>
      </c>
      <c r="J412" s="644">
        <v>0</v>
      </c>
      <c r="K412" s="644">
        <v>0</v>
      </c>
      <c r="L412" s="644">
        <v>0</v>
      </c>
      <c r="M412" s="644">
        <v>196600000</v>
      </c>
      <c r="N412" s="644">
        <v>0</v>
      </c>
      <c r="O412" s="644">
        <v>0</v>
      </c>
      <c r="P412" s="644">
        <v>196600000</v>
      </c>
      <c r="Q412" s="644">
        <v>196600000</v>
      </c>
      <c r="R412" s="644">
        <v>0</v>
      </c>
      <c r="S412" s="644">
        <v>0</v>
      </c>
      <c r="T412" s="644">
        <v>0</v>
      </c>
      <c r="U412" s="644">
        <v>0</v>
      </c>
      <c r="V412" s="644">
        <v>0</v>
      </c>
      <c r="W412" s="632">
        <v>0</v>
      </c>
      <c r="X412" s="632">
        <v>0</v>
      </c>
    </row>
    <row r="413" spans="1:24">
      <c r="A413" s="645">
        <v>395</v>
      </c>
      <c r="B413" s="643" t="s">
        <v>1281</v>
      </c>
      <c r="C413" s="645" t="s">
        <v>441</v>
      </c>
      <c r="D413" s="645" t="s">
        <v>1279</v>
      </c>
      <c r="E413" s="645" t="s">
        <v>1115</v>
      </c>
      <c r="F413" s="645" t="s">
        <v>1114</v>
      </c>
      <c r="G413" s="645" t="s">
        <v>777</v>
      </c>
      <c r="H413" s="644">
        <v>1500000</v>
      </c>
      <c r="I413" s="644">
        <v>0</v>
      </c>
      <c r="J413" s="644">
        <v>0</v>
      </c>
      <c r="K413" s="644">
        <v>0</v>
      </c>
      <c r="L413" s="644">
        <v>0</v>
      </c>
      <c r="M413" s="644">
        <v>1500000</v>
      </c>
      <c r="N413" s="644">
        <v>0</v>
      </c>
      <c r="O413" s="644">
        <v>0</v>
      </c>
      <c r="P413" s="644">
        <v>1500000</v>
      </c>
      <c r="Q413" s="644">
        <v>1500000</v>
      </c>
      <c r="R413" s="644">
        <v>0</v>
      </c>
      <c r="S413" s="644">
        <v>0</v>
      </c>
      <c r="T413" s="644">
        <v>0</v>
      </c>
      <c r="U413" s="644">
        <v>0</v>
      </c>
      <c r="V413" s="644">
        <v>0</v>
      </c>
      <c r="W413" s="632">
        <v>0</v>
      </c>
      <c r="X413" s="632">
        <v>0</v>
      </c>
    </row>
    <row r="414" spans="1:24">
      <c r="A414" s="645">
        <v>396</v>
      </c>
      <c r="B414" s="643" t="s">
        <v>1282</v>
      </c>
      <c r="C414" s="645" t="s">
        <v>441</v>
      </c>
      <c r="D414" s="645" t="s">
        <v>1279</v>
      </c>
      <c r="E414" s="645" t="s">
        <v>888</v>
      </c>
      <c r="F414" s="645" t="s">
        <v>1114</v>
      </c>
      <c r="G414" s="645" t="s">
        <v>777</v>
      </c>
      <c r="H414" s="644">
        <v>550000000</v>
      </c>
      <c r="I414" s="644">
        <v>0</v>
      </c>
      <c r="J414" s="644">
        <v>0</v>
      </c>
      <c r="K414" s="644">
        <v>0</v>
      </c>
      <c r="L414" s="644">
        <v>0</v>
      </c>
      <c r="M414" s="644">
        <v>550000000</v>
      </c>
      <c r="N414" s="644">
        <v>0</v>
      </c>
      <c r="O414" s="644">
        <v>0</v>
      </c>
      <c r="P414" s="644">
        <v>530599500</v>
      </c>
      <c r="Q414" s="644">
        <v>530599500</v>
      </c>
      <c r="R414" s="644">
        <v>0</v>
      </c>
      <c r="S414" s="644">
        <v>0</v>
      </c>
      <c r="T414" s="644">
        <v>0</v>
      </c>
      <c r="U414" s="644">
        <v>0</v>
      </c>
      <c r="V414" s="644">
        <v>0</v>
      </c>
      <c r="W414" s="632">
        <v>0</v>
      </c>
      <c r="X414" s="632">
        <v>0</v>
      </c>
    </row>
    <row r="415" spans="1:24">
      <c r="A415" s="645">
        <v>397</v>
      </c>
      <c r="B415" s="643" t="s">
        <v>1282</v>
      </c>
      <c r="C415" s="645" t="s">
        <v>441</v>
      </c>
      <c r="D415" s="645" t="s">
        <v>1279</v>
      </c>
      <c r="E415" s="645" t="s">
        <v>905</v>
      </c>
      <c r="F415" s="645" t="s">
        <v>1114</v>
      </c>
      <c r="G415" s="645" t="s">
        <v>777</v>
      </c>
      <c r="H415" s="644">
        <v>89000000</v>
      </c>
      <c r="I415" s="644">
        <v>0</v>
      </c>
      <c r="J415" s="644">
        <v>0</v>
      </c>
      <c r="K415" s="644">
        <v>0</v>
      </c>
      <c r="L415" s="644">
        <v>0</v>
      </c>
      <c r="M415" s="644">
        <v>89000000</v>
      </c>
      <c r="N415" s="644">
        <v>0</v>
      </c>
      <c r="O415" s="644">
        <v>0</v>
      </c>
      <c r="P415" s="644">
        <v>88999000</v>
      </c>
      <c r="Q415" s="644">
        <v>88999000</v>
      </c>
      <c r="R415" s="644">
        <v>0</v>
      </c>
      <c r="S415" s="644">
        <v>0</v>
      </c>
      <c r="T415" s="644">
        <v>0</v>
      </c>
      <c r="U415" s="644">
        <v>0</v>
      </c>
      <c r="V415" s="644">
        <v>0</v>
      </c>
      <c r="W415" s="632">
        <v>0</v>
      </c>
      <c r="X415" s="632">
        <v>0</v>
      </c>
    </row>
    <row r="416" spans="1:24">
      <c r="A416" s="645">
        <v>398</v>
      </c>
      <c r="B416" s="643" t="s">
        <v>1282</v>
      </c>
      <c r="C416" s="645" t="s">
        <v>441</v>
      </c>
      <c r="D416" s="645" t="s">
        <v>1279</v>
      </c>
      <c r="E416" s="645" t="s">
        <v>1115</v>
      </c>
      <c r="F416" s="645" t="s">
        <v>1114</v>
      </c>
      <c r="G416" s="645" t="s">
        <v>777</v>
      </c>
      <c r="H416" s="644">
        <v>1000000</v>
      </c>
      <c r="I416" s="644">
        <v>0</v>
      </c>
      <c r="J416" s="644">
        <v>0</v>
      </c>
      <c r="K416" s="644">
        <v>0</v>
      </c>
      <c r="L416" s="644">
        <v>0</v>
      </c>
      <c r="M416" s="644">
        <v>1000000</v>
      </c>
      <c r="N416" s="644">
        <v>0</v>
      </c>
      <c r="O416" s="644">
        <v>0</v>
      </c>
      <c r="P416" s="644">
        <v>1000000</v>
      </c>
      <c r="Q416" s="644">
        <v>1000000</v>
      </c>
      <c r="R416" s="644">
        <v>0</v>
      </c>
      <c r="S416" s="644">
        <v>0</v>
      </c>
      <c r="T416" s="644">
        <v>0</v>
      </c>
      <c r="U416" s="644">
        <v>0</v>
      </c>
      <c r="V416" s="644">
        <v>0</v>
      </c>
      <c r="W416" s="632">
        <v>0</v>
      </c>
      <c r="X416" s="632">
        <v>0</v>
      </c>
    </row>
    <row r="417" spans="1:24" ht="22.5">
      <c r="A417" s="645">
        <v>399</v>
      </c>
      <c r="B417" s="643" t="s">
        <v>1283</v>
      </c>
      <c r="C417" s="645" t="s">
        <v>441</v>
      </c>
      <c r="D417" s="645" t="s">
        <v>1279</v>
      </c>
      <c r="E417" s="645" t="s">
        <v>905</v>
      </c>
      <c r="F417" s="645" t="s">
        <v>1114</v>
      </c>
      <c r="G417" s="645" t="s">
        <v>777</v>
      </c>
      <c r="H417" s="644">
        <v>80000000</v>
      </c>
      <c r="I417" s="644">
        <v>0</v>
      </c>
      <c r="J417" s="644">
        <v>0</v>
      </c>
      <c r="K417" s="644">
        <v>0</v>
      </c>
      <c r="L417" s="644">
        <v>0</v>
      </c>
      <c r="M417" s="644">
        <v>85000000</v>
      </c>
      <c r="N417" s="644">
        <v>-5000000</v>
      </c>
      <c r="O417" s="644">
        <v>0</v>
      </c>
      <c r="P417" s="644">
        <v>79330000</v>
      </c>
      <c r="Q417" s="644">
        <v>79330000</v>
      </c>
      <c r="R417" s="644">
        <v>0</v>
      </c>
      <c r="S417" s="644">
        <v>0</v>
      </c>
      <c r="T417" s="644">
        <v>0</v>
      </c>
      <c r="U417" s="644">
        <v>0</v>
      </c>
      <c r="V417" s="644">
        <v>0</v>
      </c>
      <c r="W417" s="632">
        <v>0</v>
      </c>
      <c r="X417" s="632">
        <v>1598300</v>
      </c>
    </row>
    <row r="418" spans="1:24" ht="22.5">
      <c r="A418" s="645">
        <v>400</v>
      </c>
      <c r="B418" s="643" t="s">
        <v>1283</v>
      </c>
      <c r="C418" s="645" t="s">
        <v>441</v>
      </c>
      <c r="D418" s="645" t="s">
        <v>1279</v>
      </c>
      <c r="E418" s="645" t="s">
        <v>1115</v>
      </c>
      <c r="F418" s="645" t="s">
        <v>1114</v>
      </c>
      <c r="G418" s="645" t="s">
        <v>777</v>
      </c>
      <c r="H418" s="644">
        <v>1000000</v>
      </c>
      <c r="I418" s="644">
        <v>0</v>
      </c>
      <c r="J418" s="644">
        <v>0</v>
      </c>
      <c r="K418" s="644">
        <v>0</v>
      </c>
      <c r="L418" s="644">
        <v>0</v>
      </c>
      <c r="M418" s="644">
        <v>1000000</v>
      </c>
      <c r="N418" s="644">
        <v>0</v>
      </c>
      <c r="O418" s="644">
        <v>0</v>
      </c>
      <c r="P418" s="644">
        <v>1000000</v>
      </c>
      <c r="Q418" s="644">
        <v>1000000</v>
      </c>
      <c r="R418" s="644">
        <v>0</v>
      </c>
      <c r="S418" s="644">
        <v>0</v>
      </c>
      <c r="T418" s="644">
        <v>0</v>
      </c>
      <c r="U418" s="644">
        <v>0</v>
      </c>
      <c r="V418" s="644">
        <v>0</v>
      </c>
      <c r="W418" s="632">
        <v>0</v>
      </c>
      <c r="X418" s="632">
        <v>10980000</v>
      </c>
    </row>
    <row r="419" spans="1:24" ht="22.5">
      <c r="A419" s="645">
        <v>401</v>
      </c>
      <c r="B419" s="643" t="s">
        <v>1284</v>
      </c>
      <c r="C419" s="645" t="s">
        <v>441</v>
      </c>
      <c r="D419" s="645" t="s">
        <v>1285</v>
      </c>
      <c r="E419" s="645" t="s">
        <v>1125</v>
      </c>
      <c r="F419" s="645" t="s">
        <v>1114</v>
      </c>
      <c r="G419" s="645" t="s">
        <v>777</v>
      </c>
      <c r="H419" s="644">
        <v>300000000</v>
      </c>
      <c r="I419" s="644">
        <v>0</v>
      </c>
      <c r="J419" s="644">
        <v>0</v>
      </c>
      <c r="K419" s="644">
        <v>0</v>
      </c>
      <c r="L419" s="644">
        <v>0</v>
      </c>
      <c r="M419" s="644">
        <v>300000000</v>
      </c>
      <c r="N419" s="644">
        <v>0</v>
      </c>
      <c r="O419" s="644">
        <v>0</v>
      </c>
      <c r="P419" s="644">
        <v>285200000</v>
      </c>
      <c r="Q419" s="644">
        <v>285200000</v>
      </c>
      <c r="R419" s="644">
        <v>0</v>
      </c>
      <c r="S419" s="644">
        <v>0</v>
      </c>
      <c r="T419" s="644">
        <v>0</v>
      </c>
      <c r="U419" s="644">
        <v>0</v>
      </c>
      <c r="V419" s="644">
        <v>0</v>
      </c>
      <c r="W419" s="632">
        <v>0</v>
      </c>
      <c r="X419" s="632">
        <v>0</v>
      </c>
    </row>
    <row r="420" spans="1:24" ht="22.5">
      <c r="A420" s="645">
        <v>402</v>
      </c>
      <c r="B420" s="643" t="s">
        <v>1284</v>
      </c>
      <c r="C420" s="645" t="s">
        <v>441</v>
      </c>
      <c r="D420" s="645" t="s">
        <v>1285</v>
      </c>
      <c r="E420" s="645" t="s">
        <v>900</v>
      </c>
      <c r="F420" s="645" t="s">
        <v>1114</v>
      </c>
      <c r="G420" s="645" t="s">
        <v>777</v>
      </c>
      <c r="H420" s="644">
        <v>9509323000</v>
      </c>
      <c r="I420" s="644">
        <v>306000000</v>
      </c>
      <c r="J420" s="644">
        <v>306000000</v>
      </c>
      <c r="K420" s="644">
        <v>0</v>
      </c>
      <c r="L420" s="644">
        <v>0</v>
      </c>
      <c r="M420" s="644">
        <v>9203323000</v>
      </c>
      <c r="N420" s="644">
        <v>0</v>
      </c>
      <c r="O420" s="644">
        <v>0</v>
      </c>
      <c r="P420" s="644">
        <v>7583271136</v>
      </c>
      <c r="Q420" s="644">
        <v>7583271136</v>
      </c>
      <c r="R420" s="644">
        <v>0</v>
      </c>
      <c r="S420" s="644">
        <v>839916000</v>
      </c>
      <c r="T420" s="644">
        <v>839916000</v>
      </c>
      <c r="U420" s="644">
        <v>0</v>
      </c>
      <c r="V420" s="644">
        <v>0</v>
      </c>
      <c r="W420" s="632">
        <v>0</v>
      </c>
      <c r="X420" s="632">
        <v>0</v>
      </c>
    </row>
    <row r="421" spans="1:24" ht="22.5">
      <c r="A421" s="645">
        <v>403</v>
      </c>
      <c r="B421" s="643" t="s">
        <v>1284</v>
      </c>
      <c r="C421" s="645" t="s">
        <v>441</v>
      </c>
      <c r="D421" s="645" t="s">
        <v>1285</v>
      </c>
      <c r="E421" s="645" t="s">
        <v>905</v>
      </c>
      <c r="F421" s="645" t="s">
        <v>1114</v>
      </c>
      <c r="G421" s="645" t="s">
        <v>777</v>
      </c>
      <c r="H421" s="644">
        <v>1751010000</v>
      </c>
      <c r="I421" s="644">
        <v>103410000</v>
      </c>
      <c r="J421" s="644">
        <v>103410000</v>
      </c>
      <c r="K421" s="644">
        <v>0</v>
      </c>
      <c r="L421" s="644">
        <v>0</v>
      </c>
      <c r="M421" s="644">
        <v>1627600000</v>
      </c>
      <c r="N421" s="644">
        <v>20000000</v>
      </c>
      <c r="O421" s="644">
        <v>0</v>
      </c>
      <c r="P421" s="644">
        <v>1473893789</v>
      </c>
      <c r="Q421" s="644">
        <v>1473893789</v>
      </c>
      <c r="R421" s="644">
        <v>0</v>
      </c>
      <c r="S421" s="644">
        <v>0</v>
      </c>
      <c r="T421" s="644">
        <v>0</v>
      </c>
      <c r="U421" s="644">
        <v>0</v>
      </c>
      <c r="V421" s="644">
        <v>0</v>
      </c>
      <c r="W421" s="632">
        <v>0</v>
      </c>
      <c r="X421" s="632">
        <v>0</v>
      </c>
    </row>
    <row r="422" spans="1:24" ht="22.5">
      <c r="A422" s="645">
        <v>404</v>
      </c>
      <c r="B422" s="643" t="s">
        <v>1284</v>
      </c>
      <c r="C422" s="645" t="s">
        <v>441</v>
      </c>
      <c r="D422" s="645" t="s">
        <v>1285</v>
      </c>
      <c r="E422" s="645" t="s">
        <v>1115</v>
      </c>
      <c r="F422" s="645" t="s">
        <v>1114</v>
      </c>
      <c r="G422" s="645" t="s">
        <v>777</v>
      </c>
      <c r="H422" s="644">
        <v>500000</v>
      </c>
      <c r="I422" s="644">
        <v>0</v>
      </c>
      <c r="J422" s="644">
        <v>0</v>
      </c>
      <c r="K422" s="644">
        <v>0</v>
      </c>
      <c r="L422" s="644">
        <v>0</v>
      </c>
      <c r="M422" s="644">
        <v>500000</v>
      </c>
      <c r="N422" s="644">
        <v>0</v>
      </c>
      <c r="O422" s="644">
        <v>0</v>
      </c>
      <c r="P422" s="644">
        <v>500000</v>
      </c>
      <c r="Q422" s="644">
        <v>500000</v>
      </c>
      <c r="R422" s="644">
        <v>0</v>
      </c>
      <c r="S422" s="644">
        <v>0</v>
      </c>
      <c r="T422" s="644">
        <v>0</v>
      </c>
      <c r="U422" s="644">
        <v>0</v>
      </c>
      <c r="V422" s="644">
        <v>0</v>
      </c>
      <c r="W422" s="632">
        <v>0</v>
      </c>
      <c r="X422" s="632">
        <v>0</v>
      </c>
    </row>
    <row r="423" spans="1:24" ht="22.5">
      <c r="A423" s="645">
        <v>405</v>
      </c>
      <c r="B423" s="643" t="s">
        <v>1284</v>
      </c>
      <c r="C423" s="645" t="s">
        <v>441</v>
      </c>
      <c r="D423" s="645" t="s">
        <v>1285</v>
      </c>
      <c r="E423" s="645" t="s">
        <v>1116</v>
      </c>
      <c r="F423" s="645" t="s">
        <v>1114</v>
      </c>
      <c r="G423" s="645" t="s">
        <v>777</v>
      </c>
      <c r="H423" s="644">
        <v>374000000</v>
      </c>
      <c r="I423" s="644">
        <v>0</v>
      </c>
      <c r="J423" s="644">
        <v>0</v>
      </c>
      <c r="K423" s="644">
        <v>0</v>
      </c>
      <c r="L423" s="644">
        <v>0</v>
      </c>
      <c r="M423" s="644">
        <v>0</v>
      </c>
      <c r="N423" s="644">
        <v>374000000</v>
      </c>
      <c r="O423" s="644">
        <v>0</v>
      </c>
      <c r="P423" s="644">
        <v>374000000</v>
      </c>
      <c r="Q423" s="644">
        <v>374000000</v>
      </c>
      <c r="R423" s="644">
        <v>0</v>
      </c>
      <c r="S423" s="644">
        <v>0</v>
      </c>
      <c r="T423" s="644">
        <v>0</v>
      </c>
      <c r="U423" s="644">
        <v>0</v>
      </c>
      <c r="V423" s="644">
        <v>0</v>
      </c>
      <c r="W423" s="632">
        <v>0</v>
      </c>
      <c r="X423" s="632">
        <v>0</v>
      </c>
    </row>
    <row r="424" spans="1:24" ht="22.5">
      <c r="A424" s="645">
        <v>406</v>
      </c>
      <c r="B424" s="643" t="s">
        <v>1284</v>
      </c>
      <c r="C424" s="645" t="s">
        <v>441</v>
      </c>
      <c r="D424" s="645" t="s">
        <v>1285</v>
      </c>
      <c r="E424" s="645" t="s">
        <v>904</v>
      </c>
      <c r="F424" s="645" t="s">
        <v>1260</v>
      </c>
      <c r="G424" s="645" t="s">
        <v>777</v>
      </c>
      <c r="H424" s="644">
        <v>378138000</v>
      </c>
      <c r="I424" s="644">
        <v>0</v>
      </c>
      <c r="J424" s="644">
        <v>0</v>
      </c>
      <c r="K424" s="644">
        <v>0</v>
      </c>
      <c r="L424" s="644">
        <v>0</v>
      </c>
      <c r="M424" s="644">
        <v>0</v>
      </c>
      <c r="N424" s="644">
        <v>378138000</v>
      </c>
      <c r="O424" s="644">
        <v>0</v>
      </c>
      <c r="P424" s="644">
        <v>356270000</v>
      </c>
      <c r="Q424" s="644">
        <v>356270000</v>
      </c>
      <c r="R424" s="644">
        <v>0</v>
      </c>
      <c r="S424" s="644">
        <v>0</v>
      </c>
      <c r="T424" s="644">
        <v>0</v>
      </c>
      <c r="U424" s="644">
        <v>0</v>
      </c>
      <c r="V424" s="644">
        <v>0</v>
      </c>
      <c r="W424" s="632">
        <v>0</v>
      </c>
      <c r="X424" s="632">
        <v>0</v>
      </c>
    </row>
    <row r="425" spans="1:24" ht="22.5">
      <c r="A425" s="645">
        <v>407</v>
      </c>
      <c r="B425" s="643" t="s">
        <v>1286</v>
      </c>
      <c r="C425" s="645" t="s">
        <v>441</v>
      </c>
      <c r="D425" s="645" t="s">
        <v>1285</v>
      </c>
      <c r="E425" s="645" t="s">
        <v>900</v>
      </c>
      <c r="F425" s="645" t="s">
        <v>1114</v>
      </c>
      <c r="G425" s="645" t="s">
        <v>777</v>
      </c>
      <c r="H425" s="644">
        <v>349200000</v>
      </c>
      <c r="I425" s="644">
        <v>132000000</v>
      </c>
      <c r="J425" s="644">
        <v>132000000</v>
      </c>
      <c r="K425" s="644">
        <v>0</v>
      </c>
      <c r="L425" s="644">
        <v>0</v>
      </c>
      <c r="M425" s="644">
        <v>217200000</v>
      </c>
      <c r="N425" s="644">
        <v>0</v>
      </c>
      <c r="O425" s="644">
        <v>0</v>
      </c>
      <c r="P425" s="644">
        <v>303417000</v>
      </c>
      <c r="Q425" s="644">
        <v>303417000</v>
      </c>
      <c r="R425" s="644">
        <v>0</v>
      </c>
      <c r="S425" s="644">
        <v>26000000</v>
      </c>
      <c r="T425" s="644">
        <v>26000000</v>
      </c>
      <c r="U425" s="644">
        <v>0</v>
      </c>
      <c r="V425" s="644">
        <v>0</v>
      </c>
      <c r="W425" s="632">
        <v>0</v>
      </c>
      <c r="X425" s="632">
        <v>0</v>
      </c>
    </row>
    <row r="426" spans="1:24">
      <c r="A426" s="645">
        <v>408</v>
      </c>
      <c r="B426" s="643" t="s">
        <v>1287</v>
      </c>
      <c r="C426" s="645" t="s">
        <v>441</v>
      </c>
      <c r="D426" s="645" t="s">
        <v>1288</v>
      </c>
      <c r="E426" s="645" t="s">
        <v>1289</v>
      </c>
      <c r="F426" s="645" t="s">
        <v>1114</v>
      </c>
      <c r="G426" s="645" t="s">
        <v>777</v>
      </c>
      <c r="H426" s="644">
        <v>1000000000</v>
      </c>
      <c r="I426" s="644">
        <v>0</v>
      </c>
      <c r="J426" s="644">
        <v>0</v>
      </c>
      <c r="K426" s="644">
        <v>0</v>
      </c>
      <c r="L426" s="644">
        <v>0</v>
      </c>
      <c r="M426" s="644">
        <v>1000000000</v>
      </c>
      <c r="N426" s="644">
        <v>0</v>
      </c>
      <c r="O426" s="644">
        <v>0</v>
      </c>
      <c r="P426" s="644">
        <v>871721000</v>
      </c>
      <c r="Q426" s="644">
        <v>871721000</v>
      </c>
      <c r="R426" s="644">
        <v>0</v>
      </c>
      <c r="S426" s="644">
        <v>0</v>
      </c>
      <c r="T426" s="644">
        <v>0</v>
      </c>
      <c r="U426" s="644">
        <v>0</v>
      </c>
      <c r="V426" s="644">
        <v>0</v>
      </c>
      <c r="W426" s="632">
        <v>0</v>
      </c>
      <c r="X426" s="632">
        <v>0</v>
      </c>
    </row>
    <row r="427" spans="1:24">
      <c r="A427" s="645">
        <v>409</v>
      </c>
      <c r="B427" s="643" t="s">
        <v>1287</v>
      </c>
      <c r="C427" s="645" t="s">
        <v>441</v>
      </c>
      <c r="D427" s="645" t="s">
        <v>1288</v>
      </c>
      <c r="E427" s="645" t="s">
        <v>1125</v>
      </c>
      <c r="F427" s="645" t="s">
        <v>1114</v>
      </c>
      <c r="G427" s="645" t="s">
        <v>777</v>
      </c>
      <c r="H427" s="644">
        <v>24570894000</v>
      </c>
      <c r="I427" s="644">
        <v>0</v>
      </c>
      <c r="J427" s="644">
        <v>0</v>
      </c>
      <c r="K427" s="644">
        <v>0</v>
      </c>
      <c r="L427" s="644">
        <v>0</v>
      </c>
      <c r="M427" s="644">
        <v>24570894000</v>
      </c>
      <c r="N427" s="644">
        <v>0</v>
      </c>
      <c r="O427" s="644">
        <v>0</v>
      </c>
      <c r="P427" s="644">
        <v>24490002146</v>
      </c>
      <c r="Q427" s="644">
        <v>24490002146</v>
      </c>
      <c r="R427" s="644">
        <v>0</v>
      </c>
      <c r="S427" s="644">
        <v>0</v>
      </c>
      <c r="T427" s="644">
        <v>0</v>
      </c>
      <c r="U427" s="644">
        <v>0</v>
      </c>
      <c r="V427" s="644">
        <v>0</v>
      </c>
      <c r="W427" s="632">
        <v>0</v>
      </c>
      <c r="X427" s="632">
        <v>0</v>
      </c>
    </row>
    <row r="428" spans="1:24">
      <c r="A428" s="645">
        <v>410</v>
      </c>
      <c r="B428" s="643" t="s">
        <v>1287</v>
      </c>
      <c r="C428" s="645" t="s">
        <v>441</v>
      </c>
      <c r="D428" s="645" t="s">
        <v>1288</v>
      </c>
      <c r="E428" s="645" t="s">
        <v>900</v>
      </c>
      <c r="F428" s="645" t="s">
        <v>1114</v>
      </c>
      <c r="G428" s="645" t="s">
        <v>777</v>
      </c>
      <c r="H428" s="644">
        <v>100000000</v>
      </c>
      <c r="I428" s="644">
        <v>0</v>
      </c>
      <c r="J428" s="644">
        <v>0</v>
      </c>
      <c r="K428" s="644">
        <v>0</v>
      </c>
      <c r="L428" s="644">
        <v>0</v>
      </c>
      <c r="M428" s="644">
        <v>0</v>
      </c>
      <c r="N428" s="644">
        <v>100000000</v>
      </c>
      <c r="O428" s="644">
        <v>0</v>
      </c>
      <c r="P428" s="644">
        <v>77328782</v>
      </c>
      <c r="Q428" s="644">
        <v>77328782</v>
      </c>
      <c r="R428" s="644">
        <v>0</v>
      </c>
      <c r="S428" s="644">
        <v>0</v>
      </c>
      <c r="T428" s="644">
        <v>0</v>
      </c>
      <c r="U428" s="644">
        <v>0</v>
      </c>
      <c r="V428" s="644">
        <v>0</v>
      </c>
      <c r="W428" s="632">
        <v>0</v>
      </c>
      <c r="X428" s="632">
        <v>0</v>
      </c>
    </row>
    <row r="429" spans="1:24">
      <c r="A429" s="645">
        <v>411</v>
      </c>
      <c r="B429" s="643" t="s">
        <v>1287</v>
      </c>
      <c r="C429" s="645" t="s">
        <v>441</v>
      </c>
      <c r="D429" s="645" t="s">
        <v>1288</v>
      </c>
      <c r="E429" s="645" t="s">
        <v>903</v>
      </c>
      <c r="F429" s="645" t="s">
        <v>1114</v>
      </c>
      <c r="G429" s="645" t="s">
        <v>777</v>
      </c>
      <c r="H429" s="644">
        <v>1661845532</v>
      </c>
      <c r="I429" s="644">
        <v>1661845532</v>
      </c>
      <c r="J429" s="644">
        <v>873830932</v>
      </c>
      <c r="K429" s="644">
        <v>0</v>
      </c>
      <c r="L429" s="644">
        <v>788014600</v>
      </c>
      <c r="M429" s="644">
        <v>0</v>
      </c>
      <c r="N429" s="644">
        <v>0</v>
      </c>
      <c r="O429" s="644">
        <v>0</v>
      </c>
      <c r="P429" s="644">
        <v>1661845532</v>
      </c>
      <c r="Q429" s="644">
        <v>1661845532</v>
      </c>
      <c r="R429" s="644">
        <v>0</v>
      </c>
      <c r="S429" s="644">
        <v>0</v>
      </c>
      <c r="T429" s="644">
        <v>0</v>
      </c>
      <c r="U429" s="644">
        <v>0</v>
      </c>
      <c r="V429" s="644">
        <v>0</v>
      </c>
      <c r="W429" s="632">
        <v>0</v>
      </c>
      <c r="X429" s="632">
        <v>0</v>
      </c>
    </row>
    <row r="430" spans="1:24">
      <c r="A430" s="645">
        <v>412</v>
      </c>
      <c r="B430" s="643" t="s">
        <v>1287</v>
      </c>
      <c r="C430" s="645" t="s">
        <v>441</v>
      </c>
      <c r="D430" s="645" t="s">
        <v>1288</v>
      </c>
      <c r="E430" s="645" t="s">
        <v>904</v>
      </c>
      <c r="F430" s="645" t="s">
        <v>1114</v>
      </c>
      <c r="G430" s="645" t="s">
        <v>777</v>
      </c>
      <c r="H430" s="644">
        <v>4106367000</v>
      </c>
      <c r="I430" s="644">
        <v>0</v>
      </c>
      <c r="J430" s="644">
        <v>0</v>
      </c>
      <c r="K430" s="644">
        <v>0</v>
      </c>
      <c r="L430" s="644">
        <v>0</v>
      </c>
      <c r="M430" s="644">
        <v>4106367000</v>
      </c>
      <c r="N430" s="644">
        <v>0</v>
      </c>
      <c r="O430" s="644">
        <v>0</v>
      </c>
      <c r="P430" s="644">
        <v>3906288875</v>
      </c>
      <c r="Q430" s="644">
        <v>3906288875</v>
      </c>
      <c r="R430" s="644">
        <v>0</v>
      </c>
      <c r="S430" s="644">
        <v>0</v>
      </c>
      <c r="T430" s="644">
        <v>0</v>
      </c>
      <c r="U430" s="644">
        <v>0</v>
      </c>
      <c r="V430" s="644">
        <v>0</v>
      </c>
      <c r="W430" s="632">
        <v>0</v>
      </c>
      <c r="X430" s="632">
        <v>0</v>
      </c>
    </row>
    <row r="431" spans="1:24">
      <c r="A431" s="645">
        <v>413</v>
      </c>
      <c r="B431" s="643" t="s">
        <v>1287</v>
      </c>
      <c r="C431" s="645" t="s">
        <v>441</v>
      </c>
      <c r="D431" s="645" t="s">
        <v>1288</v>
      </c>
      <c r="E431" s="645" t="s">
        <v>905</v>
      </c>
      <c r="F431" s="645" t="s">
        <v>1114</v>
      </c>
      <c r="G431" s="645" t="s">
        <v>777</v>
      </c>
      <c r="H431" s="644">
        <v>3021452500</v>
      </c>
      <c r="I431" s="644">
        <v>0</v>
      </c>
      <c r="J431" s="644">
        <v>0</v>
      </c>
      <c r="K431" s="644">
        <v>0</v>
      </c>
      <c r="L431" s="644">
        <v>0</v>
      </c>
      <c r="M431" s="644">
        <v>2548479500</v>
      </c>
      <c r="N431" s="644">
        <v>472973000</v>
      </c>
      <c r="O431" s="644">
        <v>0</v>
      </c>
      <c r="P431" s="644">
        <v>3004031500</v>
      </c>
      <c r="Q431" s="644">
        <v>3004031500</v>
      </c>
      <c r="R431" s="644">
        <v>0</v>
      </c>
      <c r="S431" s="644">
        <v>0</v>
      </c>
      <c r="T431" s="644">
        <v>0</v>
      </c>
      <c r="U431" s="644">
        <v>0</v>
      </c>
      <c r="V431" s="644">
        <v>0</v>
      </c>
      <c r="W431" s="632">
        <v>0</v>
      </c>
      <c r="X431" s="632">
        <v>0</v>
      </c>
    </row>
    <row r="432" spans="1:24">
      <c r="A432" s="645">
        <v>414</v>
      </c>
      <c r="B432" s="643" t="s">
        <v>1287</v>
      </c>
      <c r="C432" s="645" t="s">
        <v>441</v>
      </c>
      <c r="D432" s="645" t="s">
        <v>1288</v>
      </c>
      <c r="E432" s="645" t="s">
        <v>1115</v>
      </c>
      <c r="F432" s="645" t="s">
        <v>1114</v>
      </c>
      <c r="G432" s="645" t="s">
        <v>777</v>
      </c>
      <c r="H432" s="644">
        <v>1000000</v>
      </c>
      <c r="I432" s="644">
        <v>0</v>
      </c>
      <c r="J432" s="644">
        <v>0</v>
      </c>
      <c r="K432" s="644">
        <v>0</v>
      </c>
      <c r="L432" s="644">
        <v>0</v>
      </c>
      <c r="M432" s="644">
        <v>1000000</v>
      </c>
      <c r="N432" s="644">
        <v>0</v>
      </c>
      <c r="O432" s="644">
        <v>0</v>
      </c>
      <c r="P432" s="644">
        <v>1000000</v>
      </c>
      <c r="Q432" s="644">
        <v>1000000</v>
      </c>
      <c r="R432" s="644">
        <v>0</v>
      </c>
      <c r="S432" s="644">
        <v>0</v>
      </c>
      <c r="T432" s="644">
        <v>0</v>
      </c>
      <c r="U432" s="644">
        <v>0</v>
      </c>
      <c r="V432" s="644">
        <v>0</v>
      </c>
      <c r="W432" s="632">
        <v>0</v>
      </c>
      <c r="X432" s="632">
        <v>182443522</v>
      </c>
    </row>
    <row r="433" spans="1:24">
      <c r="A433" s="645">
        <v>415</v>
      </c>
      <c r="B433" s="643" t="s">
        <v>1287</v>
      </c>
      <c r="C433" s="645" t="s">
        <v>441</v>
      </c>
      <c r="D433" s="645" t="s">
        <v>1288</v>
      </c>
      <c r="E433" s="645" t="s">
        <v>1116</v>
      </c>
      <c r="F433" s="645" t="s">
        <v>1114</v>
      </c>
      <c r="G433" s="645" t="s">
        <v>777</v>
      </c>
      <c r="H433" s="644">
        <v>84906000</v>
      </c>
      <c r="I433" s="644">
        <v>0</v>
      </c>
      <c r="J433" s="644">
        <v>0</v>
      </c>
      <c r="K433" s="644">
        <v>0</v>
      </c>
      <c r="L433" s="644">
        <v>0</v>
      </c>
      <c r="M433" s="644">
        <v>0</v>
      </c>
      <c r="N433" s="644">
        <v>84906000</v>
      </c>
      <c r="O433" s="644">
        <v>0</v>
      </c>
      <c r="P433" s="644">
        <v>84906000</v>
      </c>
      <c r="Q433" s="644">
        <v>84906000</v>
      </c>
      <c r="R433" s="644">
        <v>0</v>
      </c>
      <c r="S433" s="644">
        <v>0</v>
      </c>
      <c r="T433" s="644">
        <v>0</v>
      </c>
      <c r="U433" s="644">
        <v>0</v>
      </c>
      <c r="V433" s="644">
        <v>0</v>
      </c>
      <c r="W433" s="632">
        <v>0</v>
      </c>
      <c r="X433" s="632">
        <v>227724827</v>
      </c>
    </row>
    <row r="434" spans="1:24">
      <c r="A434" s="645">
        <v>416</v>
      </c>
      <c r="B434" s="643" t="s">
        <v>1290</v>
      </c>
      <c r="C434" s="645" t="s">
        <v>441</v>
      </c>
      <c r="D434" s="645" t="s">
        <v>1288</v>
      </c>
      <c r="E434" s="645" t="s">
        <v>905</v>
      </c>
      <c r="F434" s="645" t="s">
        <v>1114</v>
      </c>
      <c r="G434" s="645" t="s">
        <v>777</v>
      </c>
      <c r="H434" s="644">
        <v>16000000000</v>
      </c>
      <c r="I434" s="644">
        <v>0</v>
      </c>
      <c r="J434" s="644">
        <v>0</v>
      </c>
      <c r="K434" s="644">
        <v>0</v>
      </c>
      <c r="L434" s="644">
        <v>0</v>
      </c>
      <c r="M434" s="644">
        <v>18000000000</v>
      </c>
      <c r="N434" s="644">
        <v>-2000000000</v>
      </c>
      <c r="O434" s="644">
        <v>0</v>
      </c>
      <c r="P434" s="644">
        <v>12788201272</v>
      </c>
      <c r="Q434" s="644">
        <v>12788201272</v>
      </c>
      <c r="R434" s="644">
        <v>0</v>
      </c>
      <c r="S434" s="644">
        <v>0</v>
      </c>
      <c r="T434" s="644">
        <v>0</v>
      </c>
      <c r="U434" s="644">
        <v>0</v>
      </c>
      <c r="V434" s="644">
        <v>0</v>
      </c>
      <c r="W434" s="632">
        <v>0</v>
      </c>
      <c r="X434" s="632">
        <v>40685495</v>
      </c>
    </row>
    <row r="435" spans="1:24">
      <c r="A435" s="645">
        <v>417</v>
      </c>
      <c r="B435" s="643" t="s">
        <v>1290</v>
      </c>
      <c r="C435" s="645" t="s">
        <v>441</v>
      </c>
      <c r="D435" s="645" t="s">
        <v>1288</v>
      </c>
      <c r="E435" s="645" t="s">
        <v>1115</v>
      </c>
      <c r="F435" s="645" t="s">
        <v>1114</v>
      </c>
      <c r="G435" s="645" t="s">
        <v>777</v>
      </c>
      <c r="H435" s="644">
        <v>500000</v>
      </c>
      <c r="I435" s="644">
        <v>0</v>
      </c>
      <c r="J435" s="644">
        <v>0</v>
      </c>
      <c r="K435" s="644">
        <v>0</v>
      </c>
      <c r="L435" s="644">
        <v>0</v>
      </c>
      <c r="M435" s="644">
        <v>500000</v>
      </c>
      <c r="N435" s="644">
        <v>0</v>
      </c>
      <c r="O435" s="644">
        <v>0</v>
      </c>
      <c r="P435" s="644">
        <v>500000</v>
      </c>
      <c r="Q435" s="644">
        <v>500000</v>
      </c>
      <c r="R435" s="644">
        <v>0</v>
      </c>
      <c r="S435" s="644">
        <v>0</v>
      </c>
      <c r="T435" s="644">
        <v>0</v>
      </c>
      <c r="U435" s="644">
        <v>0</v>
      </c>
      <c r="V435" s="644">
        <v>0</v>
      </c>
      <c r="W435" s="632">
        <v>0</v>
      </c>
      <c r="X435" s="632">
        <v>14342150</v>
      </c>
    </row>
    <row r="436" spans="1:24" ht="22.5">
      <c r="A436" s="645">
        <v>418</v>
      </c>
      <c r="B436" s="643" t="s">
        <v>1291</v>
      </c>
      <c r="C436" s="645" t="s">
        <v>441</v>
      </c>
      <c r="D436" s="645" t="s">
        <v>1288</v>
      </c>
      <c r="E436" s="645" t="s">
        <v>905</v>
      </c>
      <c r="F436" s="645" t="s">
        <v>1114</v>
      </c>
      <c r="G436" s="645" t="s">
        <v>777</v>
      </c>
      <c r="H436" s="644">
        <v>128000000</v>
      </c>
      <c r="I436" s="644">
        <v>33000000</v>
      </c>
      <c r="J436" s="644">
        <v>33000000</v>
      </c>
      <c r="K436" s="644">
        <v>0</v>
      </c>
      <c r="L436" s="644">
        <v>0</v>
      </c>
      <c r="M436" s="644">
        <v>95000000</v>
      </c>
      <c r="N436" s="644">
        <v>0</v>
      </c>
      <c r="O436" s="644">
        <v>0</v>
      </c>
      <c r="P436" s="644">
        <v>127700000</v>
      </c>
      <c r="Q436" s="644">
        <v>127700000</v>
      </c>
      <c r="R436" s="644">
        <v>0</v>
      </c>
      <c r="S436" s="644">
        <v>0</v>
      </c>
      <c r="T436" s="644">
        <v>0</v>
      </c>
      <c r="U436" s="644">
        <v>0</v>
      </c>
      <c r="V436" s="644">
        <v>0</v>
      </c>
      <c r="W436" s="632">
        <v>0</v>
      </c>
      <c r="X436" s="632">
        <v>0</v>
      </c>
    </row>
    <row r="437" spans="1:24" ht="22.5">
      <c r="A437" s="645">
        <v>419</v>
      </c>
      <c r="B437" s="643" t="s">
        <v>1291</v>
      </c>
      <c r="C437" s="645" t="s">
        <v>441</v>
      </c>
      <c r="D437" s="645" t="s">
        <v>1288</v>
      </c>
      <c r="E437" s="645" t="s">
        <v>1115</v>
      </c>
      <c r="F437" s="645" t="s">
        <v>1114</v>
      </c>
      <c r="G437" s="645" t="s">
        <v>777</v>
      </c>
      <c r="H437" s="644">
        <v>1500000</v>
      </c>
      <c r="I437" s="644">
        <v>0</v>
      </c>
      <c r="J437" s="644">
        <v>0</v>
      </c>
      <c r="K437" s="644">
        <v>0</v>
      </c>
      <c r="L437" s="644">
        <v>0</v>
      </c>
      <c r="M437" s="644">
        <v>1500000</v>
      </c>
      <c r="N437" s="644">
        <v>0</v>
      </c>
      <c r="O437" s="644">
        <v>0</v>
      </c>
      <c r="P437" s="644">
        <v>1500000</v>
      </c>
      <c r="Q437" s="644">
        <v>1500000</v>
      </c>
      <c r="R437" s="644">
        <v>0</v>
      </c>
      <c r="S437" s="644">
        <v>0</v>
      </c>
      <c r="T437" s="644">
        <v>0</v>
      </c>
      <c r="U437" s="644">
        <v>0</v>
      </c>
      <c r="V437" s="644">
        <v>0</v>
      </c>
      <c r="W437" s="632">
        <v>0</v>
      </c>
      <c r="X437" s="632">
        <v>0</v>
      </c>
    </row>
    <row r="438" spans="1:24">
      <c r="A438" s="645">
        <v>420</v>
      </c>
      <c r="B438" s="643" t="s">
        <v>1292</v>
      </c>
      <c r="C438" s="645" t="s">
        <v>441</v>
      </c>
      <c r="D438" s="645" t="s">
        <v>1288</v>
      </c>
      <c r="E438" s="645" t="s">
        <v>904</v>
      </c>
      <c r="F438" s="645" t="s">
        <v>1114</v>
      </c>
      <c r="G438" s="645" t="s">
        <v>777</v>
      </c>
      <c r="H438" s="644">
        <v>30000000</v>
      </c>
      <c r="I438" s="644">
        <v>0</v>
      </c>
      <c r="J438" s="644">
        <v>0</v>
      </c>
      <c r="K438" s="644">
        <v>0</v>
      </c>
      <c r="L438" s="644">
        <v>0</v>
      </c>
      <c r="M438" s="644">
        <v>30000000</v>
      </c>
      <c r="N438" s="644">
        <v>0</v>
      </c>
      <c r="O438" s="644">
        <v>0</v>
      </c>
      <c r="P438" s="644">
        <v>30000000</v>
      </c>
      <c r="Q438" s="644">
        <v>30000000</v>
      </c>
      <c r="R438" s="644">
        <v>0</v>
      </c>
      <c r="S438" s="644">
        <v>0</v>
      </c>
      <c r="T438" s="644">
        <v>0</v>
      </c>
      <c r="U438" s="644">
        <v>0</v>
      </c>
      <c r="V438" s="644">
        <v>0</v>
      </c>
      <c r="W438" s="632">
        <v>0</v>
      </c>
      <c r="X438" s="632">
        <v>14645000</v>
      </c>
    </row>
    <row r="439" spans="1:24">
      <c r="A439" s="645">
        <v>421</v>
      </c>
      <c r="B439" s="643" t="s">
        <v>1292</v>
      </c>
      <c r="C439" s="645" t="s">
        <v>441</v>
      </c>
      <c r="D439" s="645" t="s">
        <v>1288</v>
      </c>
      <c r="E439" s="645" t="s">
        <v>905</v>
      </c>
      <c r="F439" s="645" t="s">
        <v>1114</v>
      </c>
      <c r="G439" s="645" t="s">
        <v>777</v>
      </c>
      <c r="H439" s="644">
        <v>732916000</v>
      </c>
      <c r="I439" s="644">
        <v>75000000</v>
      </c>
      <c r="J439" s="644">
        <v>75000000</v>
      </c>
      <c r="K439" s="644">
        <v>0</v>
      </c>
      <c r="L439" s="644">
        <v>0</v>
      </c>
      <c r="M439" s="644">
        <v>450000000</v>
      </c>
      <c r="N439" s="644">
        <v>207916000</v>
      </c>
      <c r="O439" s="644">
        <v>0</v>
      </c>
      <c r="P439" s="644">
        <v>707316000</v>
      </c>
      <c r="Q439" s="644">
        <v>707316000</v>
      </c>
      <c r="R439" s="644">
        <v>0</v>
      </c>
      <c r="S439" s="644">
        <v>0</v>
      </c>
      <c r="T439" s="644">
        <v>0</v>
      </c>
      <c r="U439" s="644">
        <v>0</v>
      </c>
      <c r="V439" s="644">
        <v>0</v>
      </c>
      <c r="W439" s="632">
        <v>0</v>
      </c>
      <c r="X439" s="632">
        <v>0</v>
      </c>
    </row>
    <row r="440" spans="1:24" ht="22.5">
      <c r="A440" s="645">
        <v>422</v>
      </c>
      <c r="B440" s="643" t="s">
        <v>1293</v>
      </c>
      <c r="C440" s="645" t="s">
        <v>441</v>
      </c>
      <c r="D440" s="645" t="s">
        <v>1288</v>
      </c>
      <c r="E440" s="645" t="s">
        <v>904</v>
      </c>
      <c r="F440" s="645" t="s">
        <v>1114</v>
      </c>
      <c r="G440" s="645" t="s">
        <v>777</v>
      </c>
      <c r="H440" s="644">
        <v>3670000000</v>
      </c>
      <c r="I440" s="644">
        <v>0</v>
      </c>
      <c r="J440" s="644">
        <v>0</v>
      </c>
      <c r="K440" s="644">
        <v>0</v>
      </c>
      <c r="L440" s="644">
        <v>0</v>
      </c>
      <c r="M440" s="644">
        <v>3670000000</v>
      </c>
      <c r="N440" s="644">
        <v>0</v>
      </c>
      <c r="O440" s="644">
        <v>0</v>
      </c>
      <c r="P440" s="644">
        <v>3615732003</v>
      </c>
      <c r="Q440" s="644">
        <v>3615732003</v>
      </c>
      <c r="R440" s="644">
        <v>0</v>
      </c>
      <c r="S440" s="644">
        <v>0</v>
      </c>
      <c r="T440" s="644">
        <v>0</v>
      </c>
      <c r="U440" s="644">
        <v>0</v>
      </c>
      <c r="V440" s="644">
        <v>0</v>
      </c>
      <c r="W440" s="632">
        <v>0</v>
      </c>
      <c r="X440" s="632">
        <v>414000</v>
      </c>
    </row>
    <row r="441" spans="1:24">
      <c r="A441" s="645">
        <v>423</v>
      </c>
      <c r="B441" s="643" t="s">
        <v>1294</v>
      </c>
      <c r="C441" s="645" t="s">
        <v>441</v>
      </c>
      <c r="D441" s="645" t="s">
        <v>1295</v>
      </c>
      <c r="E441" s="645" t="s">
        <v>905</v>
      </c>
      <c r="F441" s="645" t="s">
        <v>1114</v>
      </c>
      <c r="G441" s="645" t="s">
        <v>777</v>
      </c>
      <c r="H441" s="644">
        <v>2359250000</v>
      </c>
      <c r="I441" s="644">
        <v>74000000</v>
      </c>
      <c r="J441" s="644">
        <v>74000000</v>
      </c>
      <c r="K441" s="644">
        <v>0</v>
      </c>
      <c r="L441" s="644">
        <v>0</v>
      </c>
      <c r="M441" s="644">
        <v>2016000000</v>
      </c>
      <c r="N441" s="644">
        <v>269250000</v>
      </c>
      <c r="O441" s="644">
        <v>0</v>
      </c>
      <c r="P441" s="644">
        <v>1902666868</v>
      </c>
      <c r="Q441" s="644">
        <v>1902666868</v>
      </c>
      <c r="R441" s="644">
        <v>0</v>
      </c>
      <c r="S441" s="644">
        <v>26000000</v>
      </c>
      <c r="T441" s="644">
        <v>26000000</v>
      </c>
      <c r="U441" s="644">
        <v>0</v>
      </c>
      <c r="V441" s="644">
        <v>0</v>
      </c>
      <c r="W441" s="632">
        <v>0</v>
      </c>
      <c r="X441" s="632">
        <v>13373560</v>
      </c>
    </row>
    <row r="442" spans="1:24">
      <c r="A442" s="645">
        <v>424</v>
      </c>
      <c r="B442" s="643" t="s">
        <v>1294</v>
      </c>
      <c r="C442" s="645" t="s">
        <v>441</v>
      </c>
      <c r="D442" s="645" t="s">
        <v>1295</v>
      </c>
      <c r="E442" s="645" t="s">
        <v>1115</v>
      </c>
      <c r="F442" s="645" t="s">
        <v>1114</v>
      </c>
      <c r="G442" s="645" t="s">
        <v>777</v>
      </c>
      <c r="H442" s="644">
        <v>1000000</v>
      </c>
      <c r="I442" s="644">
        <v>0</v>
      </c>
      <c r="J442" s="644">
        <v>0</v>
      </c>
      <c r="K442" s="644">
        <v>0</v>
      </c>
      <c r="L442" s="644">
        <v>0</v>
      </c>
      <c r="M442" s="644">
        <v>1000000</v>
      </c>
      <c r="N442" s="644">
        <v>0</v>
      </c>
      <c r="O442" s="644">
        <v>0</v>
      </c>
      <c r="P442" s="644">
        <v>1000000</v>
      </c>
      <c r="Q442" s="644">
        <v>1000000</v>
      </c>
      <c r="R442" s="644">
        <v>0</v>
      </c>
      <c r="S442" s="644">
        <v>0</v>
      </c>
      <c r="T442" s="644">
        <v>0</v>
      </c>
      <c r="U442" s="644">
        <v>0</v>
      </c>
      <c r="V442" s="644">
        <v>0</v>
      </c>
      <c r="W442" s="632">
        <v>0</v>
      </c>
      <c r="X442" s="632">
        <v>0</v>
      </c>
    </row>
    <row r="443" spans="1:24">
      <c r="A443" s="645">
        <v>425</v>
      </c>
      <c r="B443" s="643" t="s">
        <v>1294</v>
      </c>
      <c r="C443" s="645" t="s">
        <v>441</v>
      </c>
      <c r="D443" s="645" t="s">
        <v>1295</v>
      </c>
      <c r="E443" s="645" t="s">
        <v>1116</v>
      </c>
      <c r="F443" s="645" t="s">
        <v>1114</v>
      </c>
      <c r="G443" s="645" t="s">
        <v>777</v>
      </c>
      <c r="H443" s="644">
        <v>104760000</v>
      </c>
      <c r="I443" s="644">
        <v>0</v>
      </c>
      <c r="J443" s="644">
        <v>0</v>
      </c>
      <c r="K443" s="644">
        <v>0</v>
      </c>
      <c r="L443" s="644">
        <v>0</v>
      </c>
      <c r="M443" s="644">
        <v>0</v>
      </c>
      <c r="N443" s="644">
        <v>104760000</v>
      </c>
      <c r="O443" s="644">
        <v>0</v>
      </c>
      <c r="P443" s="644">
        <v>104760000</v>
      </c>
      <c r="Q443" s="644">
        <v>104760000</v>
      </c>
      <c r="R443" s="644">
        <v>0</v>
      </c>
      <c r="S443" s="644">
        <v>0</v>
      </c>
      <c r="T443" s="644">
        <v>0</v>
      </c>
      <c r="U443" s="644">
        <v>0</v>
      </c>
      <c r="V443" s="644">
        <v>0</v>
      </c>
      <c r="W443" s="632">
        <v>0</v>
      </c>
      <c r="X443" s="632">
        <v>0</v>
      </c>
    </row>
    <row r="444" spans="1:24" ht="22.5">
      <c r="A444" s="645">
        <v>426</v>
      </c>
      <c r="B444" s="643" t="s">
        <v>1296</v>
      </c>
      <c r="C444" s="645" t="s">
        <v>441</v>
      </c>
      <c r="D444" s="645" t="s">
        <v>1297</v>
      </c>
      <c r="E444" s="645" t="s">
        <v>904</v>
      </c>
      <c r="F444" s="645" t="s">
        <v>1114</v>
      </c>
      <c r="G444" s="645" t="s">
        <v>777</v>
      </c>
      <c r="H444" s="644">
        <v>371360000</v>
      </c>
      <c r="I444" s="644">
        <v>0</v>
      </c>
      <c r="J444" s="644">
        <v>0</v>
      </c>
      <c r="K444" s="644">
        <v>0</v>
      </c>
      <c r="L444" s="644">
        <v>0</v>
      </c>
      <c r="M444" s="644">
        <v>371360000</v>
      </c>
      <c r="N444" s="644">
        <v>0</v>
      </c>
      <c r="O444" s="644">
        <v>0</v>
      </c>
      <c r="P444" s="644">
        <v>371360000</v>
      </c>
      <c r="Q444" s="644">
        <v>371360000</v>
      </c>
      <c r="R444" s="644">
        <v>0</v>
      </c>
      <c r="S444" s="644">
        <v>0</v>
      </c>
      <c r="T444" s="644">
        <v>0</v>
      </c>
      <c r="U444" s="644">
        <v>0</v>
      </c>
      <c r="V444" s="644">
        <v>0</v>
      </c>
      <c r="W444" s="632">
        <v>0</v>
      </c>
      <c r="X444" s="632">
        <v>0</v>
      </c>
    </row>
    <row r="445" spans="1:24" ht="22.5">
      <c r="A445" s="645">
        <v>427</v>
      </c>
      <c r="B445" s="643" t="s">
        <v>1296</v>
      </c>
      <c r="C445" s="645" t="s">
        <v>441</v>
      </c>
      <c r="D445" s="645" t="s">
        <v>1297</v>
      </c>
      <c r="E445" s="645" t="s">
        <v>1115</v>
      </c>
      <c r="F445" s="645" t="s">
        <v>1114</v>
      </c>
      <c r="G445" s="645" t="s">
        <v>777</v>
      </c>
      <c r="H445" s="644">
        <v>2000000</v>
      </c>
      <c r="I445" s="644">
        <v>0</v>
      </c>
      <c r="J445" s="644">
        <v>0</v>
      </c>
      <c r="K445" s="644">
        <v>0</v>
      </c>
      <c r="L445" s="644">
        <v>0</v>
      </c>
      <c r="M445" s="644">
        <v>2000000</v>
      </c>
      <c r="N445" s="644">
        <v>0</v>
      </c>
      <c r="O445" s="644">
        <v>0</v>
      </c>
      <c r="P445" s="644">
        <v>2000000</v>
      </c>
      <c r="Q445" s="644">
        <v>2000000</v>
      </c>
      <c r="R445" s="644">
        <v>0</v>
      </c>
      <c r="S445" s="644">
        <v>0</v>
      </c>
      <c r="T445" s="644">
        <v>0</v>
      </c>
      <c r="U445" s="644">
        <v>0</v>
      </c>
      <c r="V445" s="644">
        <v>0</v>
      </c>
      <c r="W445" s="632">
        <v>0</v>
      </c>
      <c r="X445" s="632">
        <v>0</v>
      </c>
    </row>
    <row r="446" spans="1:24" ht="22.5">
      <c r="A446" s="645">
        <v>428</v>
      </c>
      <c r="B446" s="643" t="s">
        <v>1296</v>
      </c>
      <c r="C446" s="645" t="s">
        <v>441</v>
      </c>
      <c r="D446" s="645" t="s">
        <v>1297</v>
      </c>
      <c r="E446" s="645" t="s">
        <v>1116</v>
      </c>
      <c r="F446" s="645" t="s">
        <v>1114</v>
      </c>
      <c r="G446" s="645" t="s">
        <v>777</v>
      </c>
      <c r="H446" s="644">
        <v>468095000</v>
      </c>
      <c r="I446" s="644">
        <v>0</v>
      </c>
      <c r="J446" s="644">
        <v>0</v>
      </c>
      <c r="K446" s="644">
        <v>0</v>
      </c>
      <c r="L446" s="644">
        <v>0</v>
      </c>
      <c r="M446" s="644">
        <v>139700000</v>
      </c>
      <c r="N446" s="644">
        <v>328395000</v>
      </c>
      <c r="O446" s="644">
        <v>0</v>
      </c>
      <c r="P446" s="644">
        <v>454241840</v>
      </c>
      <c r="Q446" s="644">
        <v>454241840</v>
      </c>
      <c r="R446" s="644">
        <v>0</v>
      </c>
      <c r="S446" s="644">
        <v>0</v>
      </c>
      <c r="T446" s="644">
        <v>0</v>
      </c>
      <c r="U446" s="644">
        <v>0</v>
      </c>
      <c r="V446" s="644">
        <v>0</v>
      </c>
      <c r="W446" s="632">
        <v>0</v>
      </c>
      <c r="X446" s="632">
        <v>3196600</v>
      </c>
    </row>
    <row r="447" spans="1:24" ht="22.5">
      <c r="A447" s="645">
        <v>429</v>
      </c>
      <c r="B447" s="643" t="s">
        <v>1296</v>
      </c>
      <c r="C447" s="645" t="s">
        <v>441</v>
      </c>
      <c r="D447" s="645" t="s">
        <v>1297</v>
      </c>
      <c r="E447" s="645" t="s">
        <v>884</v>
      </c>
      <c r="F447" s="645" t="s">
        <v>1120</v>
      </c>
      <c r="G447" s="645" t="s">
        <v>777</v>
      </c>
      <c r="H447" s="644">
        <v>347500000</v>
      </c>
      <c r="I447" s="644">
        <v>0</v>
      </c>
      <c r="J447" s="644">
        <v>0</v>
      </c>
      <c r="K447" s="644">
        <v>0</v>
      </c>
      <c r="L447" s="644">
        <v>0</v>
      </c>
      <c r="M447" s="644">
        <v>0</v>
      </c>
      <c r="N447" s="644">
        <v>347500000</v>
      </c>
      <c r="O447" s="644">
        <v>0</v>
      </c>
      <c r="P447" s="644">
        <v>297645476</v>
      </c>
      <c r="Q447" s="644">
        <v>297645476</v>
      </c>
      <c r="R447" s="644">
        <v>0</v>
      </c>
      <c r="S447" s="644">
        <v>0</v>
      </c>
      <c r="T447" s="644">
        <v>0</v>
      </c>
      <c r="U447" s="644">
        <v>0</v>
      </c>
      <c r="V447" s="644">
        <v>0</v>
      </c>
      <c r="W447" s="632">
        <v>0</v>
      </c>
      <c r="X447" s="632">
        <v>14007164</v>
      </c>
    </row>
    <row r="448" spans="1:24" ht="22.5">
      <c r="A448" s="645">
        <v>430</v>
      </c>
      <c r="B448" s="643" t="s">
        <v>1298</v>
      </c>
      <c r="C448" s="645" t="s">
        <v>441</v>
      </c>
      <c r="D448" s="645" t="s">
        <v>1299</v>
      </c>
      <c r="E448" s="645" t="s">
        <v>1300</v>
      </c>
      <c r="F448" s="645" t="s">
        <v>1114</v>
      </c>
      <c r="G448" s="645" t="s">
        <v>777</v>
      </c>
      <c r="H448" s="644">
        <v>600000000</v>
      </c>
      <c r="I448" s="644">
        <v>0</v>
      </c>
      <c r="J448" s="644">
        <v>0</v>
      </c>
      <c r="K448" s="644">
        <v>0</v>
      </c>
      <c r="L448" s="644">
        <v>0</v>
      </c>
      <c r="M448" s="644">
        <v>600000000</v>
      </c>
      <c r="N448" s="644">
        <v>0</v>
      </c>
      <c r="O448" s="644">
        <v>0</v>
      </c>
      <c r="P448" s="644">
        <v>548349500</v>
      </c>
      <c r="Q448" s="644">
        <v>548349500</v>
      </c>
      <c r="R448" s="644">
        <v>0</v>
      </c>
      <c r="S448" s="644">
        <v>0</v>
      </c>
      <c r="T448" s="644">
        <v>0</v>
      </c>
      <c r="U448" s="644">
        <v>0</v>
      </c>
      <c r="V448" s="644">
        <v>0</v>
      </c>
      <c r="W448" s="632">
        <v>0</v>
      </c>
      <c r="X448" s="632">
        <v>0</v>
      </c>
    </row>
    <row r="449" spans="1:24" ht="22.5">
      <c r="A449" s="645">
        <v>431</v>
      </c>
      <c r="B449" s="643" t="s">
        <v>1298</v>
      </c>
      <c r="C449" s="645" t="s">
        <v>441</v>
      </c>
      <c r="D449" s="645" t="s">
        <v>1299</v>
      </c>
      <c r="E449" s="645" t="s">
        <v>1125</v>
      </c>
      <c r="F449" s="645" t="s">
        <v>1114</v>
      </c>
      <c r="G449" s="645" t="s">
        <v>777</v>
      </c>
      <c r="H449" s="644">
        <v>337500000</v>
      </c>
      <c r="I449" s="644">
        <v>0</v>
      </c>
      <c r="J449" s="644">
        <v>0</v>
      </c>
      <c r="K449" s="644">
        <v>0</v>
      </c>
      <c r="L449" s="644">
        <v>0</v>
      </c>
      <c r="M449" s="644">
        <v>337500000</v>
      </c>
      <c r="N449" s="644">
        <v>0</v>
      </c>
      <c r="O449" s="644">
        <v>0</v>
      </c>
      <c r="P449" s="644">
        <v>256032600</v>
      </c>
      <c r="Q449" s="644">
        <v>256032600</v>
      </c>
      <c r="R449" s="644">
        <v>0</v>
      </c>
      <c r="S449" s="644">
        <v>0</v>
      </c>
      <c r="T449" s="644">
        <v>0</v>
      </c>
      <c r="U449" s="644">
        <v>0</v>
      </c>
      <c r="V449" s="644">
        <v>0</v>
      </c>
      <c r="W449" s="632">
        <v>0</v>
      </c>
      <c r="X449" s="632">
        <v>0</v>
      </c>
    </row>
    <row r="450" spans="1:24" ht="22.5">
      <c r="A450" s="645">
        <v>432</v>
      </c>
      <c r="B450" s="643" t="s">
        <v>1298</v>
      </c>
      <c r="C450" s="645" t="s">
        <v>441</v>
      </c>
      <c r="D450" s="645" t="s">
        <v>1299</v>
      </c>
      <c r="E450" s="645" t="s">
        <v>900</v>
      </c>
      <c r="F450" s="645" t="s">
        <v>1114</v>
      </c>
      <c r="G450" s="645" t="s">
        <v>777</v>
      </c>
      <c r="H450" s="644">
        <v>99992000</v>
      </c>
      <c r="I450" s="644">
        <v>0</v>
      </c>
      <c r="J450" s="644">
        <v>0</v>
      </c>
      <c r="K450" s="644">
        <v>0</v>
      </c>
      <c r="L450" s="644">
        <v>0</v>
      </c>
      <c r="M450" s="644">
        <v>100000000</v>
      </c>
      <c r="N450" s="644">
        <v>-8000</v>
      </c>
      <c r="O450" s="644">
        <v>0</v>
      </c>
      <c r="P450" s="644">
        <v>94922000</v>
      </c>
      <c r="Q450" s="644">
        <v>94922000</v>
      </c>
      <c r="R450" s="644">
        <v>0</v>
      </c>
      <c r="S450" s="644">
        <v>0</v>
      </c>
      <c r="T450" s="644">
        <v>0</v>
      </c>
      <c r="U450" s="644">
        <v>0</v>
      </c>
      <c r="V450" s="644">
        <v>0</v>
      </c>
      <c r="W450" s="632">
        <v>0</v>
      </c>
      <c r="X450" s="632">
        <v>0</v>
      </c>
    </row>
    <row r="451" spans="1:24" ht="22.5">
      <c r="A451" s="645">
        <v>433</v>
      </c>
      <c r="B451" s="643" t="s">
        <v>1298</v>
      </c>
      <c r="C451" s="645" t="s">
        <v>441</v>
      </c>
      <c r="D451" s="645" t="s">
        <v>1299</v>
      </c>
      <c r="E451" s="645" t="s">
        <v>901</v>
      </c>
      <c r="F451" s="645" t="s">
        <v>1114</v>
      </c>
      <c r="G451" s="645" t="s">
        <v>777</v>
      </c>
      <c r="H451" s="644">
        <v>119455000</v>
      </c>
      <c r="I451" s="644">
        <v>0</v>
      </c>
      <c r="J451" s="644">
        <v>0</v>
      </c>
      <c r="K451" s="644">
        <v>0</v>
      </c>
      <c r="L451" s="644">
        <v>0</v>
      </c>
      <c r="M451" s="644">
        <v>121350000</v>
      </c>
      <c r="N451" s="644">
        <v>-1895000</v>
      </c>
      <c r="O451" s="644">
        <v>0</v>
      </c>
      <c r="P451" s="644">
        <v>119455000</v>
      </c>
      <c r="Q451" s="644">
        <v>119455000</v>
      </c>
      <c r="R451" s="644">
        <v>0</v>
      </c>
      <c r="S451" s="644">
        <v>0</v>
      </c>
      <c r="T451" s="644">
        <v>0</v>
      </c>
      <c r="U451" s="644">
        <v>0</v>
      </c>
      <c r="V451" s="644">
        <v>0</v>
      </c>
      <c r="W451" s="632">
        <v>0</v>
      </c>
      <c r="X451" s="632">
        <v>744919965</v>
      </c>
    </row>
    <row r="452" spans="1:24" ht="22.5">
      <c r="A452" s="645">
        <v>434</v>
      </c>
      <c r="B452" s="643" t="s">
        <v>1298</v>
      </c>
      <c r="C452" s="645" t="s">
        <v>441</v>
      </c>
      <c r="D452" s="645" t="s">
        <v>1299</v>
      </c>
      <c r="E452" s="645" t="s">
        <v>907</v>
      </c>
      <c r="F452" s="645" t="s">
        <v>1114</v>
      </c>
      <c r="G452" s="645" t="s">
        <v>777</v>
      </c>
      <c r="H452" s="644">
        <v>235020380</v>
      </c>
      <c r="I452" s="644">
        <v>0</v>
      </c>
      <c r="J452" s="644">
        <v>0</v>
      </c>
      <c r="K452" s="644">
        <v>0</v>
      </c>
      <c r="L452" s="644">
        <v>0</v>
      </c>
      <c r="M452" s="644">
        <v>254000000</v>
      </c>
      <c r="N452" s="644">
        <v>-18979620</v>
      </c>
      <c r="O452" s="644">
        <v>0</v>
      </c>
      <c r="P452" s="644">
        <v>202728680</v>
      </c>
      <c r="Q452" s="644">
        <v>202728680</v>
      </c>
      <c r="R452" s="644">
        <v>0</v>
      </c>
      <c r="S452" s="644">
        <v>0</v>
      </c>
      <c r="T452" s="644">
        <v>0</v>
      </c>
      <c r="U452" s="644">
        <v>0</v>
      </c>
      <c r="V452" s="644">
        <v>0</v>
      </c>
      <c r="W452" s="632">
        <v>0</v>
      </c>
      <c r="X452" s="632">
        <v>0</v>
      </c>
    </row>
    <row r="453" spans="1:24" ht="22.5">
      <c r="A453" s="645">
        <v>435</v>
      </c>
      <c r="B453" s="643" t="s">
        <v>1298</v>
      </c>
      <c r="C453" s="645" t="s">
        <v>441</v>
      </c>
      <c r="D453" s="645" t="s">
        <v>1299</v>
      </c>
      <c r="E453" s="645" t="s">
        <v>1115</v>
      </c>
      <c r="F453" s="645" t="s">
        <v>1114</v>
      </c>
      <c r="G453" s="645" t="s">
        <v>777</v>
      </c>
      <c r="H453" s="644">
        <v>500000</v>
      </c>
      <c r="I453" s="644">
        <v>0</v>
      </c>
      <c r="J453" s="644">
        <v>0</v>
      </c>
      <c r="K453" s="644">
        <v>0</v>
      </c>
      <c r="L453" s="644">
        <v>0</v>
      </c>
      <c r="M453" s="644">
        <v>500000</v>
      </c>
      <c r="N453" s="644">
        <v>0</v>
      </c>
      <c r="O453" s="644">
        <v>0</v>
      </c>
      <c r="P453" s="644">
        <v>500000</v>
      </c>
      <c r="Q453" s="644">
        <v>500000</v>
      </c>
      <c r="R453" s="644">
        <v>0</v>
      </c>
      <c r="S453" s="644">
        <v>0</v>
      </c>
      <c r="T453" s="644">
        <v>0</v>
      </c>
      <c r="U453" s="644">
        <v>0</v>
      </c>
      <c r="V453" s="644">
        <v>0</v>
      </c>
      <c r="W453" s="632">
        <v>0</v>
      </c>
      <c r="X453" s="632">
        <v>71220163</v>
      </c>
    </row>
    <row r="454" spans="1:24">
      <c r="A454" s="645">
        <v>436</v>
      </c>
      <c r="B454" s="643" t="s">
        <v>1301</v>
      </c>
      <c r="C454" s="645" t="s">
        <v>441</v>
      </c>
      <c r="D454" s="645" t="s">
        <v>1302</v>
      </c>
      <c r="E454" s="645" t="s">
        <v>1300</v>
      </c>
      <c r="F454" s="645" t="s">
        <v>1114</v>
      </c>
      <c r="G454" s="645" t="s">
        <v>777</v>
      </c>
      <c r="H454" s="644">
        <v>483000000</v>
      </c>
      <c r="I454" s="644">
        <v>0</v>
      </c>
      <c r="J454" s="644">
        <v>0</v>
      </c>
      <c r="K454" s="644">
        <v>0</v>
      </c>
      <c r="L454" s="644">
        <v>0</v>
      </c>
      <c r="M454" s="644">
        <v>483000000</v>
      </c>
      <c r="N454" s="644">
        <v>0</v>
      </c>
      <c r="O454" s="644">
        <v>0</v>
      </c>
      <c r="P454" s="644">
        <v>441217000</v>
      </c>
      <c r="Q454" s="644">
        <v>441217000</v>
      </c>
      <c r="R454" s="644">
        <v>0</v>
      </c>
      <c r="S454" s="644">
        <v>0</v>
      </c>
      <c r="T454" s="644">
        <v>0</v>
      </c>
      <c r="U454" s="644">
        <v>0</v>
      </c>
      <c r="V454" s="644">
        <v>0</v>
      </c>
      <c r="W454" s="632">
        <v>0</v>
      </c>
      <c r="X454" s="632">
        <v>224311100</v>
      </c>
    </row>
    <row r="455" spans="1:24">
      <c r="A455" s="645">
        <v>437</v>
      </c>
      <c r="B455" s="643" t="s">
        <v>1301</v>
      </c>
      <c r="C455" s="645" t="s">
        <v>441</v>
      </c>
      <c r="D455" s="645" t="s">
        <v>1302</v>
      </c>
      <c r="E455" s="645" t="s">
        <v>1125</v>
      </c>
      <c r="F455" s="645" t="s">
        <v>1114</v>
      </c>
      <c r="G455" s="645" t="s">
        <v>777</v>
      </c>
      <c r="H455" s="644">
        <v>209300000</v>
      </c>
      <c r="I455" s="644">
        <v>0</v>
      </c>
      <c r="J455" s="644">
        <v>0</v>
      </c>
      <c r="K455" s="644">
        <v>0</v>
      </c>
      <c r="L455" s="644">
        <v>0</v>
      </c>
      <c r="M455" s="644">
        <v>209300000</v>
      </c>
      <c r="N455" s="644">
        <v>0</v>
      </c>
      <c r="O455" s="644">
        <v>0</v>
      </c>
      <c r="P455" s="644">
        <v>142226000</v>
      </c>
      <c r="Q455" s="644">
        <v>142226000</v>
      </c>
      <c r="R455" s="644">
        <v>0</v>
      </c>
      <c r="S455" s="644">
        <v>0</v>
      </c>
      <c r="T455" s="644">
        <v>0</v>
      </c>
      <c r="U455" s="644">
        <v>0</v>
      </c>
      <c r="V455" s="644">
        <v>0</v>
      </c>
      <c r="W455" s="632">
        <v>0</v>
      </c>
      <c r="X455" s="632">
        <v>48749000</v>
      </c>
    </row>
    <row r="456" spans="1:24">
      <c r="A456" s="645">
        <v>438</v>
      </c>
      <c r="B456" s="643" t="s">
        <v>1301</v>
      </c>
      <c r="C456" s="645" t="s">
        <v>441</v>
      </c>
      <c r="D456" s="645" t="s">
        <v>1302</v>
      </c>
      <c r="E456" s="645" t="s">
        <v>900</v>
      </c>
      <c r="F456" s="645" t="s">
        <v>1114</v>
      </c>
      <c r="G456" s="645" t="s">
        <v>777</v>
      </c>
      <c r="H456" s="644">
        <v>100000000</v>
      </c>
      <c r="I456" s="644">
        <v>0</v>
      </c>
      <c r="J456" s="644">
        <v>0</v>
      </c>
      <c r="K456" s="644">
        <v>0</v>
      </c>
      <c r="L456" s="644">
        <v>0</v>
      </c>
      <c r="M456" s="644">
        <v>100000000</v>
      </c>
      <c r="N456" s="644">
        <v>0</v>
      </c>
      <c r="O456" s="644">
        <v>0</v>
      </c>
      <c r="P456" s="644">
        <v>81628000</v>
      </c>
      <c r="Q456" s="644">
        <v>81628000</v>
      </c>
      <c r="R456" s="644">
        <v>0</v>
      </c>
      <c r="S456" s="644">
        <v>0</v>
      </c>
      <c r="T456" s="644">
        <v>0</v>
      </c>
      <c r="U456" s="644">
        <v>0</v>
      </c>
      <c r="V456" s="644">
        <v>0</v>
      </c>
      <c r="W456" s="632">
        <v>0</v>
      </c>
      <c r="X456" s="632">
        <v>0</v>
      </c>
    </row>
    <row r="457" spans="1:24">
      <c r="A457" s="645">
        <v>439</v>
      </c>
      <c r="B457" s="643" t="s">
        <v>1301</v>
      </c>
      <c r="C457" s="645" t="s">
        <v>441</v>
      </c>
      <c r="D457" s="645" t="s">
        <v>1302</v>
      </c>
      <c r="E457" s="645" t="s">
        <v>905</v>
      </c>
      <c r="F457" s="645" t="s">
        <v>1114</v>
      </c>
      <c r="G457" s="645" t="s">
        <v>777</v>
      </c>
      <c r="H457" s="644">
        <v>1092350000</v>
      </c>
      <c r="I457" s="644">
        <v>0</v>
      </c>
      <c r="J457" s="644">
        <v>0</v>
      </c>
      <c r="K457" s="644">
        <v>0</v>
      </c>
      <c r="L457" s="644">
        <v>0</v>
      </c>
      <c r="M457" s="644">
        <v>1047000000</v>
      </c>
      <c r="N457" s="644">
        <v>45350000</v>
      </c>
      <c r="O457" s="644">
        <v>0</v>
      </c>
      <c r="P457" s="644">
        <v>896238500</v>
      </c>
      <c r="Q457" s="644">
        <v>896238500</v>
      </c>
      <c r="R457" s="644">
        <v>0</v>
      </c>
      <c r="S457" s="644">
        <v>13000000</v>
      </c>
      <c r="T457" s="644">
        <v>13000000</v>
      </c>
      <c r="U457" s="644">
        <v>0</v>
      </c>
      <c r="V457" s="644">
        <v>0</v>
      </c>
      <c r="W457" s="632">
        <v>0</v>
      </c>
      <c r="X457" s="632">
        <v>0</v>
      </c>
    </row>
    <row r="458" spans="1:24">
      <c r="A458" s="645">
        <v>440</v>
      </c>
      <c r="B458" s="643" t="s">
        <v>1301</v>
      </c>
      <c r="C458" s="645" t="s">
        <v>441</v>
      </c>
      <c r="D458" s="645" t="s">
        <v>1302</v>
      </c>
      <c r="E458" s="645" t="s">
        <v>1115</v>
      </c>
      <c r="F458" s="645" t="s">
        <v>1114</v>
      </c>
      <c r="G458" s="645" t="s">
        <v>777</v>
      </c>
      <c r="H458" s="644">
        <v>2955500000</v>
      </c>
      <c r="I458" s="644">
        <v>0</v>
      </c>
      <c r="J458" s="644">
        <v>0</v>
      </c>
      <c r="K458" s="644">
        <v>0</v>
      </c>
      <c r="L458" s="644">
        <v>0</v>
      </c>
      <c r="M458" s="644">
        <v>2955500000</v>
      </c>
      <c r="N458" s="644">
        <v>0</v>
      </c>
      <c r="O458" s="644">
        <v>0</v>
      </c>
      <c r="P458" s="644">
        <v>2504198800</v>
      </c>
      <c r="Q458" s="644">
        <v>2504198800</v>
      </c>
      <c r="R458" s="644">
        <v>0</v>
      </c>
      <c r="S458" s="644">
        <v>0</v>
      </c>
      <c r="T458" s="644">
        <v>0</v>
      </c>
      <c r="U458" s="644">
        <v>0</v>
      </c>
      <c r="V458" s="644">
        <v>0</v>
      </c>
      <c r="W458" s="632">
        <v>0</v>
      </c>
      <c r="X458" s="632">
        <v>0</v>
      </c>
    </row>
    <row r="459" spans="1:24">
      <c r="A459" s="645">
        <v>441</v>
      </c>
      <c r="B459" s="643" t="s">
        <v>1301</v>
      </c>
      <c r="C459" s="645" t="s">
        <v>441</v>
      </c>
      <c r="D459" s="645" t="s">
        <v>1302</v>
      </c>
      <c r="E459" s="645" t="s">
        <v>1116</v>
      </c>
      <c r="F459" s="645" t="s">
        <v>1114</v>
      </c>
      <c r="G459" s="645" t="s">
        <v>777</v>
      </c>
      <c r="H459" s="644">
        <v>725949000</v>
      </c>
      <c r="I459" s="644">
        <v>0</v>
      </c>
      <c r="J459" s="644">
        <v>0</v>
      </c>
      <c r="K459" s="644">
        <v>0</v>
      </c>
      <c r="L459" s="644">
        <v>0</v>
      </c>
      <c r="M459" s="644">
        <v>0</v>
      </c>
      <c r="N459" s="644">
        <v>725949000</v>
      </c>
      <c r="O459" s="644">
        <v>0</v>
      </c>
      <c r="P459" s="644">
        <v>596139000</v>
      </c>
      <c r="Q459" s="644">
        <v>596139000</v>
      </c>
      <c r="R459" s="644">
        <v>0</v>
      </c>
      <c r="S459" s="644">
        <v>0</v>
      </c>
      <c r="T459" s="644">
        <v>0</v>
      </c>
      <c r="U459" s="644">
        <v>0</v>
      </c>
      <c r="V459" s="644">
        <v>0</v>
      </c>
      <c r="W459" s="632">
        <v>0</v>
      </c>
      <c r="X459" s="632">
        <v>0</v>
      </c>
    </row>
    <row r="460" spans="1:24">
      <c r="A460" s="645">
        <v>442</v>
      </c>
      <c r="B460" s="643" t="s">
        <v>1301</v>
      </c>
      <c r="C460" s="645" t="s">
        <v>441</v>
      </c>
      <c r="D460" s="645" t="s">
        <v>1302</v>
      </c>
      <c r="E460" s="645" t="s">
        <v>904</v>
      </c>
      <c r="F460" s="645" t="s">
        <v>1303</v>
      </c>
      <c r="G460" s="645" t="s">
        <v>777</v>
      </c>
      <c r="H460" s="644">
        <v>1198000000</v>
      </c>
      <c r="I460" s="644">
        <v>0</v>
      </c>
      <c r="J460" s="644">
        <v>0</v>
      </c>
      <c r="K460" s="644">
        <v>0</v>
      </c>
      <c r="L460" s="644">
        <v>0</v>
      </c>
      <c r="M460" s="644">
        <v>1198000000</v>
      </c>
      <c r="N460" s="644">
        <v>0</v>
      </c>
      <c r="O460" s="644">
        <v>0</v>
      </c>
      <c r="P460" s="644">
        <v>1141730600</v>
      </c>
      <c r="Q460" s="644">
        <v>1141730600</v>
      </c>
      <c r="R460" s="644">
        <v>0</v>
      </c>
      <c r="S460" s="644">
        <v>0</v>
      </c>
      <c r="T460" s="644">
        <v>0</v>
      </c>
      <c r="U460" s="644">
        <v>0</v>
      </c>
      <c r="V460" s="644">
        <v>0</v>
      </c>
      <c r="W460" s="632">
        <v>0</v>
      </c>
      <c r="X460" s="632">
        <v>0</v>
      </c>
    </row>
    <row r="461" spans="1:24" ht="22.5">
      <c r="A461" s="645">
        <v>443</v>
      </c>
      <c r="B461" s="643" t="s">
        <v>1304</v>
      </c>
      <c r="C461" s="645" t="s">
        <v>441</v>
      </c>
      <c r="D461" s="645" t="s">
        <v>1305</v>
      </c>
      <c r="E461" s="645" t="s">
        <v>904</v>
      </c>
      <c r="F461" s="645" t="s">
        <v>1114</v>
      </c>
      <c r="G461" s="645" t="s">
        <v>777</v>
      </c>
      <c r="H461" s="644">
        <v>542000000</v>
      </c>
      <c r="I461" s="644">
        <v>0</v>
      </c>
      <c r="J461" s="644">
        <v>0</v>
      </c>
      <c r="K461" s="644">
        <v>0</v>
      </c>
      <c r="L461" s="644">
        <v>0</v>
      </c>
      <c r="M461" s="644">
        <v>690000000</v>
      </c>
      <c r="N461" s="644">
        <v>-148000000</v>
      </c>
      <c r="O461" s="644">
        <v>0</v>
      </c>
      <c r="P461" s="644">
        <v>501056968</v>
      </c>
      <c r="Q461" s="644">
        <v>501056968</v>
      </c>
      <c r="R461" s="644">
        <v>0</v>
      </c>
      <c r="S461" s="644">
        <v>25400000</v>
      </c>
      <c r="T461" s="644">
        <v>25400000</v>
      </c>
      <c r="U461" s="644">
        <v>0</v>
      </c>
      <c r="V461" s="644">
        <v>0</v>
      </c>
      <c r="W461" s="632">
        <v>0</v>
      </c>
      <c r="X461" s="632">
        <v>0</v>
      </c>
    </row>
    <row r="462" spans="1:24" ht="22.5">
      <c r="A462" s="645">
        <v>444</v>
      </c>
      <c r="B462" s="643" t="s">
        <v>1304</v>
      </c>
      <c r="C462" s="645" t="s">
        <v>441</v>
      </c>
      <c r="D462" s="645" t="s">
        <v>1305</v>
      </c>
      <c r="E462" s="645" t="s">
        <v>905</v>
      </c>
      <c r="F462" s="645" t="s">
        <v>1114</v>
      </c>
      <c r="G462" s="645" t="s">
        <v>777</v>
      </c>
      <c r="H462" s="644">
        <v>295649000</v>
      </c>
      <c r="I462" s="644">
        <v>0</v>
      </c>
      <c r="J462" s="644">
        <v>0</v>
      </c>
      <c r="K462" s="644">
        <v>0</v>
      </c>
      <c r="L462" s="644">
        <v>0</v>
      </c>
      <c r="M462" s="644">
        <v>45000000</v>
      </c>
      <c r="N462" s="644">
        <v>250649000</v>
      </c>
      <c r="O462" s="644">
        <v>0</v>
      </c>
      <c r="P462" s="644">
        <v>260428353</v>
      </c>
      <c r="Q462" s="644">
        <v>260428353</v>
      </c>
      <c r="R462" s="644">
        <v>0</v>
      </c>
      <c r="S462" s="644">
        <v>0</v>
      </c>
      <c r="T462" s="644">
        <v>0</v>
      </c>
      <c r="U462" s="644">
        <v>0</v>
      </c>
      <c r="V462" s="644">
        <v>0</v>
      </c>
      <c r="W462" s="632">
        <v>0</v>
      </c>
      <c r="X462" s="632">
        <v>257</v>
      </c>
    </row>
    <row r="463" spans="1:24" ht="22.5">
      <c r="A463" s="645">
        <v>445</v>
      </c>
      <c r="B463" s="643" t="s">
        <v>1304</v>
      </c>
      <c r="C463" s="645" t="s">
        <v>441</v>
      </c>
      <c r="D463" s="645" t="s">
        <v>1305</v>
      </c>
      <c r="E463" s="645" t="s">
        <v>1115</v>
      </c>
      <c r="F463" s="645" t="s">
        <v>1114</v>
      </c>
      <c r="G463" s="645" t="s">
        <v>777</v>
      </c>
      <c r="H463" s="644">
        <v>500000</v>
      </c>
      <c r="I463" s="644">
        <v>0</v>
      </c>
      <c r="J463" s="644">
        <v>0</v>
      </c>
      <c r="K463" s="644">
        <v>0</v>
      </c>
      <c r="L463" s="644">
        <v>0</v>
      </c>
      <c r="M463" s="644">
        <v>500000</v>
      </c>
      <c r="N463" s="644">
        <v>0</v>
      </c>
      <c r="O463" s="644">
        <v>0</v>
      </c>
      <c r="P463" s="644">
        <v>500000</v>
      </c>
      <c r="Q463" s="644">
        <v>500000</v>
      </c>
      <c r="R463" s="644">
        <v>0</v>
      </c>
      <c r="S463" s="644">
        <v>0</v>
      </c>
      <c r="T463" s="644">
        <v>0</v>
      </c>
      <c r="U463" s="644">
        <v>0</v>
      </c>
      <c r="V463" s="644">
        <v>0</v>
      </c>
      <c r="W463" s="632">
        <v>0</v>
      </c>
      <c r="X463" s="632">
        <v>0</v>
      </c>
    </row>
    <row r="464" spans="1:24" ht="22.5">
      <c r="A464" s="645">
        <v>446</v>
      </c>
      <c r="B464" s="643" t="s">
        <v>1304</v>
      </c>
      <c r="C464" s="645" t="s">
        <v>441</v>
      </c>
      <c r="D464" s="645" t="s">
        <v>1305</v>
      </c>
      <c r="E464" s="645" t="s">
        <v>1116</v>
      </c>
      <c r="F464" s="645" t="s">
        <v>1114</v>
      </c>
      <c r="G464" s="645" t="s">
        <v>777</v>
      </c>
      <c r="H464" s="644">
        <v>1502885000</v>
      </c>
      <c r="I464" s="644">
        <v>0</v>
      </c>
      <c r="J464" s="644">
        <v>0</v>
      </c>
      <c r="K464" s="644">
        <v>0</v>
      </c>
      <c r="L464" s="644">
        <v>0</v>
      </c>
      <c r="M464" s="644">
        <v>0</v>
      </c>
      <c r="N464" s="644">
        <v>1502885000</v>
      </c>
      <c r="O464" s="644">
        <v>0</v>
      </c>
      <c r="P464" s="644">
        <v>1496743658</v>
      </c>
      <c r="Q464" s="644">
        <v>1496743658</v>
      </c>
      <c r="R464" s="644">
        <v>0</v>
      </c>
      <c r="S464" s="644">
        <v>0</v>
      </c>
      <c r="T464" s="644">
        <v>0</v>
      </c>
      <c r="U464" s="644">
        <v>0</v>
      </c>
      <c r="V464" s="644">
        <v>0</v>
      </c>
      <c r="W464" s="632">
        <v>0</v>
      </c>
      <c r="X464" s="632">
        <v>206090154</v>
      </c>
    </row>
    <row r="465" spans="1:24" ht="22.5">
      <c r="A465" s="645">
        <v>447</v>
      </c>
      <c r="B465" s="643" t="s">
        <v>1306</v>
      </c>
      <c r="C465" s="645" t="s">
        <v>441</v>
      </c>
      <c r="D465" s="645" t="s">
        <v>1307</v>
      </c>
      <c r="E465" s="645" t="s">
        <v>1125</v>
      </c>
      <c r="F465" s="645" t="s">
        <v>1114</v>
      </c>
      <c r="G465" s="645" t="s">
        <v>777</v>
      </c>
      <c r="H465" s="644">
        <v>343600000</v>
      </c>
      <c r="I465" s="644">
        <v>0</v>
      </c>
      <c r="J465" s="644">
        <v>0</v>
      </c>
      <c r="K465" s="644">
        <v>0</v>
      </c>
      <c r="L465" s="644">
        <v>0</v>
      </c>
      <c r="M465" s="644">
        <v>343600000</v>
      </c>
      <c r="N465" s="644">
        <v>0</v>
      </c>
      <c r="O465" s="644">
        <v>0</v>
      </c>
      <c r="P465" s="644">
        <v>108140000</v>
      </c>
      <c r="Q465" s="644">
        <v>108140000</v>
      </c>
      <c r="R465" s="644">
        <v>0</v>
      </c>
      <c r="S465" s="644">
        <v>235460000</v>
      </c>
      <c r="T465" s="644">
        <v>0</v>
      </c>
      <c r="U465" s="644">
        <v>0</v>
      </c>
      <c r="V465" s="644">
        <v>0</v>
      </c>
      <c r="W465" s="632">
        <v>235460000</v>
      </c>
      <c r="X465" s="632">
        <v>10890000</v>
      </c>
    </row>
    <row r="466" spans="1:24" ht="22.5">
      <c r="A466" s="645">
        <v>448</v>
      </c>
      <c r="B466" s="643" t="s">
        <v>1306</v>
      </c>
      <c r="C466" s="645" t="s">
        <v>441</v>
      </c>
      <c r="D466" s="645" t="s">
        <v>1307</v>
      </c>
      <c r="E466" s="645" t="s">
        <v>906</v>
      </c>
      <c r="F466" s="645" t="s">
        <v>1114</v>
      </c>
      <c r="G466" s="645" t="s">
        <v>777</v>
      </c>
      <c r="H466" s="644">
        <v>2690140289</v>
      </c>
      <c r="I466" s="644">
        <v>0</v>
      </c>
      <c r="J466" s="644">
        <v>0</v>
      </c>
      <c r="K466" s="644">
        <v>0</v>
      </c>
      <c r="L466" s="644">
        <v>0</v>
      </c>
      <c r="M466" s="644">
        <v>2690140289</v>
      </c>
      <c r="N466" s="644">
        <v>0</v>
      </c>
      <c r="O466" s="644">
        <v>0</v>
      </c>
      <c r="P466" s="644">
        <v>2396116189</v>
      </c>
      <c r="Q466" s="644">
        <v>2396116189</v>
      </c>
      <c r="R466" s="644">
        <v>0</v>
      </c>
      <c r="S466" s="644">
        <v>0</v>
      </c>
      <c r="T466" s="644">
        <v>0</v>
      </c>
      <c r="U466" s="644">
        <v>0</v>
      </c>
      <c r="V466" s="644">
        <v>0</v>
      </c>
      <c r="W466" s="632">
        <v>0</v>
      </c>
      <c r="X466" s="632">
        <v>0</v>
      </c>
    </row>
    <row r="467" spans="1:24" ht="22.5">
      <c r="A467" s="645">
        <v>449</v>
      </c>
      <c r="B467" s="643" t="s">
        <v>1306</v>
      </c>
      <c r="C467" s="645" t="s">
        <v>441</v>
      </c>
      <c r="D467" s="645" t="s">
        <v>1307</v>
      </c>
      <c r="E467" s="645" t="s">
        <v>909</v>
      </c>
      <c r="F467" s="645" t="s">
        <v>1114</v>
      </c>
      <c r="G467" s="645" t="s">
        <v>777</v>
      </c>
      <c r="H467" s="644">
        <v>4939009103</v>
      </c>
      <c r="I467" s="644">
        <v>0</v>
      </c>
      <c r="J467" s="644">
        <v>0</v>
      </c>
      <c r="K467" s="644">
        <v>0</v>
      </c>
      <c r="L467" s="644">
        <v>0</v>
      </c>
      <c r="M467" s="644">
        <v>4939009103</v>
      </c>
      <c r="N467" s="644">
        <v>0</v>
      </c>
      <c r="O467" s="644">
        <v>0</v>
      </c>
      <c r="P467" s="644">
        <v>4939009103</v>
      </c>
      <c r="Q467" s="644">
        <v>4939009103</v>
      </c>
      <c r="R467" s="644">
        <v>0</v>
      </c>
      <c r="S467" s="644">
        <v>0</v>
      </c>
      <c r="T467" s="644">
        <v>0</v>
      </c>
      <c r="U467" s="644">
        <v>0</v>
      </c>
      <c r="V467" s="644">
        <v>0</v>
      </c>
      <c r="W467" s="632">
        <v>0</v>
      </c>
      <c r="X467" s="632">
        <v>0</v>
      </c>
    </row>
    <row r="468" spans="1:24" ht="22.5">
      <c r="A468" s="645">
        <v>450</v>
      </c>
      <c r="B468" s="643" t="s">
        <v>1306</v>
      </c>
      <c r="C468" s="645" t="s">
        <v>441</v>
      </c>
      <c r="D468" s="645" t="s">
        <v>1307</v>
      </c>
      <c r="E468" s="645" t="s">
        <v>1115</v>
      </c>
      <c r="F468" s="645" t="s">
        <v>1114</v>
      </c>
      <c r="G468" s="645" t="s">
        <v>777</v>
      </c>
      <c r="H468" s="644">
        <v>500000</v>
      </c>
      <c r="I468" s="644">
        <v>0</v>
      </c>
      <c r="J468" s="644">
        <v>0</v>
      </c>
      <c r="K468" s="644">
        <v>0</v>
      </c>
      <c r="L468" s="644">
        <v>0</v>
      </c>
      <c r="M468" s="644">
        <v>500000</v>
      </c>
      <c r="N468" s="644">
        <v>0</v>
      </c>
      <c r="O468" s="644">
        <v>0</v>
      </c>
      <c r="P468" s="644">
        <v>500000</v>
      </c>
      <c r="Q468" s="644">
        <v>500000</v>
      </c>
      <c r="R468" s="644">
        <v>0</v>
      </c>
      <c r="S468" s="644">
        <v>0</v>
      </c>
      <c r="T468" s="644">
        <v>0</v>
      </c>
      <c r="U468" s="644">
        <v>0</v>
      </c>
      <c r="V468" s="644">
        <v>0</v>
      </c>
      <c r="W468" s="632">
        <v>0</v>
      </c>
      <c r="X468" s="632">
        <v>0</v>
      </c>
    </row>
    <row r="469" spans="1:24" ht="22.5">
      <c r="A469" s="645">
        <v>451</v>
      </c>
      <c r="B469" s="643" t="s">
        <v>1306</v>
      </c>
      <c r="C469" s="645" t="s">
        <v>441</v>
      </c>
      <c r="D469" s="645" t="s">
        <v>1307</v>
      </c>
      <c r="E469" s="645" t="s">
        <v>1116</v>
      </c>
      <c r="F469" s="645" t="s">
        <v>1114</v>
      </c>
      <c r="G469" s="645" t="s">
        <v>777</v>
      </c>
      <c r="H469" s="644">
        <v>80870000</v>
      </c>
      <c r="I469" s="644">
        <v>0</v>
      </c>
      <c r="J469" s="644">
        <v>0</v>
      </c>
      <c r="K469" s="644">
        <v>0</v>
      </c>
      <c r="L469" s="644">
        <v>0</v>
      </c>
      <c r="M469" s="644">
        <v>0</v>
      </c>
      <c r="N469" s="644">
        <v>80870000</v>
      </c>
      <c r="O469" s="644">
        <v>0</v>
      </c>
      <c r="P469" s="644">
        <v>80870000</v>
      </c>
      <c r="Q469" s="644">
        <v>80870000</v>
      </c>
      <c r="R469" s="644">
        <v>0</v>
      </c>
      <c r="S469" s="644">
        <v>0</v>
      </c>
      <c r="T469" s="644">
        <v>0</v>
      </c>
      <c r="U469" s="644">
        <v>0</v>
      </c>
      <c r="V469" s="644">
        <v>0</v>
      </c>
      <c r="W469" s="632">
        <v>0</v>
      </c>
      <c r="X469" s="632">
        <v>0</v>
      </c>
    </row>
    <row r="470" spans="1:24" ht="22.5">
      <c r="A470" s="645">
        <v>452</v>
      </c>
      <c r="B470" s="643" t="s">
        <v>1306</v>
      </c>
      <c r="C470" s="645" t="s">
        <v>441</v>
      </c>
      <c r="D470" s="645" t="s">
        <v>1307</v>
      </c>
      <c r="E470" s="645" t="s">
        <v>906</v>
      </c>
      <c r="F470" s="645" t="s">
        <v>1120</v>
      </c>
      <c r="G470" s="645" t="s">
        <v>777</v>
      </c>
      <c r="H470" s="644">
        <v>100000000</v>
      </c>
      <c r="I470" s="644">
        <v>0</v>
      </c>
      <c r="J470" s="644">
        <v>0</v>
      </c>
      <c r="K470" s="644">
        <v>0</v>
      </c>
      <c r="L470" s="644">
        <v>0</v>
      </c>
      <c r="M470" s="644">
        <v>100000000</v>
      </c>
      <c r="N470" s="644">
        <v>0</v>
      </c>
      <c r="O470" s="644">
        <v>0</v>
      </c>
      <c r="P470" s="644">
        <v>100000000</v>
      </c>
      <c r="Q470" s="644">
        <v>100000000</v>
      </c>
      <c r="R470" s="644">
        <v>0</v>
      </c>
      <c r="S470" s="644">
        <v>0</v>
      </c>
      <c r="T470" s="644">
        <v>0</v>
      </c>
      <c r="U470" s="644">
        <v>0</v>
      </c>
      <c r="V470" s="644">
        <v>0</v>
      </c>
      <c r="W470" s="632">
        <v>0</v>
      </c>
      <c r="X470" s="632">
        <v>20825480</v>
      </c>
    </row>
    <row r="471" spans="1:24">
      <c r="A471" s="645">
        <v>453</v>
      </c>
      <c r="B471" s="643" t="s">
        <v>1308</v>
      </c>
      <c r="C471" s="645" t="s">
        <v>441</v>
      </c>
      <c r="D471" s="645" t="s">
        <v>1309</v>
      </c>
      <c r="E471" s="645" t="s">
        <v>904</v>
      </c>
      <c r="F471" s="645" t="s">
        <v>1114</v>
      </c>
      <c r="G471" s="645" t="s">
        <v>777</v>
      </c>
      <c r="H471" s="644">
        <v>510000000</v>
      </c>
      <c r="I471" s="644">
        <v>0</v>
      </c>
      <c r="J471" s="644">
        <v>0</v>
      </c>
      <c r="K471" s="644">
        <v>0</v>
      </c>
      <c r="L471" s="644">
        <v>0</v>
      </c>
      <c r="M471" s="644">
        <v>510000000</v>
      </c>
      <c r="N471" s="644">
        <v>0</v>
      </c>
      <c r="O471" s="644">
        <v>0</v>
      </c>
      <c r="P471" s="644">
        <v>491706000</v>
      </c>
      <c r="Q471" s="644">
        <v>491706000</v>
      </c>
      <c r="R471" s="644">
        <v>0</v>
      </c>
      <c r="S471" s="644">
        <v>0</v>
      </c>
      <c r="T471" s="644">
        <v>0</v>
      </c>
      <c r="U471" s="644">
        <v>0</v>
      </c>
      <c r="V471" s="644">
        <v>0</v>
      </c>
      <c r="W471" s="632">
        <v>0</v>
      </c>
      <c r="X471" s="632">
        <v>0</v>
      </c>
    </row>
    <row r="472" spans="1:24">
      <c r="A472" s="645">
        <v>454</v>
      </c>
      <c r="B472" s="643" t="s">
        <v>1308</v>
      </c>
      <c r="C472" s="645" t="s">
        <v>441</v>
      </c>
      <c r="D472" s="645" t="s">
        <v>1309</v>
      </c>
      <c r="E472" s="645" t="s">
        <v>1116</v>
      </c>
      <c r="F472" s="645" t="s">
        <v>1114</v>
      </c>
      <c r="G472" s="645" t="s">
        <v>777</v>
      </c>
      <c r="H472" s="644">
        <v>200000000</v>
      </c>
      <c r="I472" s="644">
        <v>0</v>
      </c>
      <c r="J472" s="644">
        <v>0</v>
      </c>
      <c r="K472" s="644">
        <v>0</v>
      </c>
      <c r="L472" s="644">
        <v>0</v>
      </c>
      <c r="M472" s="644">
        <v>0</v>
      </c>
      <c r="N472" s="644">
        <v>200000000</v>
      </c>
      <c r="O472" s="644">
        <v>0</v>
      </c>
      <c r="P472" s="644">
        <v>146849000</v>
      </c>
      <c r="Q472" s="644">
        <v>146849000</v>
      </c>
      <c r="R472" s="644">
        <v>0</v>
      </c>
      <c r="S472" s="644">
        <v>0</v>
      </c>
      <c r="T472" s="644">
        <v>0</v>
      </c>
      <c r="U472" s="644">
        <v>0</v>
      </c>
      <c r="V472" s="644">
        <v>0</v>
      </c>
      <c r="W472" s="632">
        <v>0</v>
      </c>
      <c r="X472" s="632">
        <v>0</v>
      </c>
    </row>
    <row r="473" spans="1:24">
      <c r="A473" s="645">
        <v>455</v>
      </c>
      <c r="B473" s="643" t="s">
        <v>1310</v>
      </c>
      <c r="C473" s="645" t="s">
        <v>441</v>
      </c>
      <c r="D473" s="645" t="s">
        <v>1309</v>
      </c>
      <c r="E473" s="645" t="s">
        <v>1125</v>
      </c>
      <c r="F473" s="645" t="s">
        <v>1114</v>
      </c>
      <c r="G473" s="645" t="s">
        <v>777</v>
      </c>
      <c r="H473" s="644">
        <v>338000000</v>
      </c>
      <c r="I473" s="644">
        <v>0</v>
      </c>
      <c r="J473" s="644">
        <v>0</v>
      </c>
      <c r="K473" s="644">
        <v>0</v>
      </c>
      <c r="L473" s="644">
        <v>0</v>
      </c>
      <c r="M473" s="644">
        <v>338000000</v>
      </c>
      <c r="N473" s="644">
        <v>0</v>
      </c>
      <c r="O473" s="644">
        <v>0</v>
      </c>
      <c r="P473" s="644">
        <v>336500000</v>
      </c>
      <c r="Q473" s="644">
        <v>336500000</v>
      </c>
      <c r="R473" s="644">
        <v>0</v>
      </c>
      <c r="S473" s="644">
        <v>0</v>
      </c>
      <c r="T473" s="644">
        <v>0</v>
      </c>
      <c r="U473" s="644">
        <v>0</v>
      </c>
      <c r="V473" s="644">
        <v>0</v>
      </c>
      <c r="W473" s="632">
        <v>0</v>
      </c>
      <c r="X473" s="632">
        <v>0</v>
      </c>
    </row>
    <row r="474" spans="1:24">
      <c r="A474" s="645">
        <v>456</v>
      </c>
      <c r="B474" s="643" t="s">
        <v>1310</v>
      </c>
      <c r="C474" s="645" t="s">
        <v>441</v>
      </c>
      <c r="D474" s="645" t="s">
        <v>1309</v>
      </c>
      <c r="E474" s="645" t="s">
        <v>906</v>
      </c>
      <c r="F474" s="645" t="s">
        <v>1114</v>
      </c>
      <c r="G474" s="645" t="s">
        <v>777</v>
      </c>
      <c r="H474" s="644">
        <v>3777000000</v>
      </c>
      <c r="I474" s="644">
        <v>75000000</v>
      </c>
      <c r="J474" s="644">
        <v>75000000</v>
      </c>
      <c r="K474" s="644">
        <v>0</v>
      </c>
      <c r="L474" s="644">
        <v>0</v>
      </c>
      <c r="M474" s="644">
        <v>3702000000</v>
      </c>
      <c r="N474" s="644">
        <v>0</v>
      </c>
      <c r="O474" s="644">
        <v>0</v>
      </c>
      <c r="P474" s="644">
        <v>3748629800</v>
      </c>
      <c r="Q474" s="644">
        <v>3748629800</v>
      </c>
      <c r="R474" s="644">
        <v>0</v>
      </c>
      <c r="S474" s="644">
        <v>0</v>
      </c>
      <c r="T474" s="644">
        <v>0</v>
      </c>
      <c r="U474" s="644">
        <v>0</v>
      </c>
      <c r="V474" s="644">
        <v>0</v>
      </c>
      <c r="W474" s="632">
        <v>0</v>
      </c>
      <c r="X474" s="632">
        <v>4294200</v>
      </c>
    </row>
    <row r="475" spans="1:24">
      <c r="A475" s="645">
        <v>457</v>
      </c>
      <c r="B475" s="643" t="s">
        <v>1310</v>
      </c>
      <c r="C475" s="645" t="s">
        <v>441</v>
      </c>
      <c r="D475" s="645" t="s">
        <v>1309</v>
      </c>
      <c r="E475" s="645" t="s">
        <v>1115</v>
      </c>
      <c r="F475" s="645" t="s">
        <v>1114</v>
      </c>
      <c r="G475" s="645" t="s">
        <v>777</v>
      </c>
      <c r="H475" s="644">
        <v>60000000</v>
      </c>
      <c r="I475" s="644">
        <v>0</v>
      </c>
      <c r="J475" s="644">
        <v>0</v>
      </c>
      <c r="K475" s="644">
        <v>0</v>
      </c>
      <c r="L475" s="644">
        <v>0</v>
      </c>
      <c r="M475" s="644">
        <v>60000000</v>
      </c>
      <c r="N475" s="644">
        <v>0</v>
      </c>
      <c r="O475" s="644">
        <v>0</v>
      </c>
      <c r="P475" s="644">
        <v>60000000</v>
      </c>
      <c r="Q475" s="644">
        <v>60000000</v>
      </c>
      <c r="R475" s="644">
        <v>0</v>
      </c>
      <c r="S475" s="644">
        <v>0</v>
      </c>
      <c r="T475" s="644">
        <v>0</v>
      </c>
      <c r="U475" s="644">
        <v>0</v>
      </c>
      <c r="V475" s="644">
        <v>0</v>
      </c>
      <c r="W475" s="632">
        <v>0</v>
      </c>
      <c r="X475" s="632">
        <v>0</v>
      </c>
    </row>
    <row r="476" spans="1:24">
      <c r="A476" s="645">
        <v>458</v>
      </c>
      <c r="B476" s="643" t="s">
        <v>1310</v>
      </c>
      <c r="C476" s="645" t="s">
        <v>441</v>
      </c>
      <c r="D476" s="645" t="s">
        <v>1309</v>
      </c>
      <c r="E476" s="645" t="s">
        <v>1116</v>
      </c>
      <c r="F476" s="645" t="s">
        <v>1114</v>
      </c>
      <c r="G476" s="645" t="s">
        <v>777</v>
      </c>
      <c r="H476" s="644">
        <v>49950000</v>
      </c>
      <c r="I476" s="644">
        <v>0</v>
      </c>
      <c r="J476" s="644">
        <v>0</v>
      </c>
      <c r="K476" s="644">
        <v>0</v>
      </c>
      <c r="L476" s="644">
        <v>0</v>
      </c>
      <c r="M476" s="644">
        <v>0</v>
      </c>
      <c r="N476" s="644">
        <v>49950000</v>
      </c>
      <c r="O476" s="644">
        <v>0</v>
      </c>
      <c r="P476" s="644">
        <v>49490000</v>
      </c>
      <c r="Q476" s="644">
        <v>49490000</v>
      </c>
      <c r="R476" s="644">
        <v>0</v>
      </c>
      <c r="S476" s="644">
        <v>0</v>
      </c>
      <c r="T476" s="644">
        <v>0</v>
      </c>
      <c r="U476" s="644">
        <v>0</v>
      </c>
      <c r="V476" s="644">
        <v>0</v>
      </c>
      <c r="W476" s="632">
        <v>0</v>
      </c>
      <c r="X476" s="632">
        <v>0</v>
      </c>
    </row>
    <row r="477" spans="1:24" ht="22.5">
      <c r="A477" s="645">
        <v>459</v>
      </c>
      <c r="B477" s="643" t="s">
        <v>1311</v>
      </c>
      <c r="C477" s="645" t="s">
        <v>441</v>
      </c>
      <c r="D477" s="645" t="s">
        <v>1312</v>
      </c>
      <c r="E477" s="645" t="s">
        <v>1125</v>
      </c>
      <c r="F477" s="645" t="s">
        <v>1114</v>
      </c>
      <c r="G477" s="645" t="s">
        <v>777</v>
      </c>
      <c r="H477" s="644">
        <v>79500000</v>
      </c>
      <c r="I477" s="644">
        <v>0</v>
      </c>
      <c r="J477" s="644">
        <v>0</v>
      </c>
      <c r="K477" s="644">
        <v>0</v>
      </c>
      <c r="L477" s="644">
        <v>0</v>
      </c>
      <c r="M477" s="644">
        <v>79500000</v>
      </c>
      <c r="N477" s="644">
        <v>0</v>
      </c>
      <c r="O477" s="644">
        <v>0</v>
      </c>
      <c r="P477" s="644">
        <v>64720000</v>
      </c>
      <c r="Q477" s="644">
        <v>64720000</v>
      </c>
      <c r="R477" s="644">
        <v>0</v>
      </c>
      <c r="S477" s="644">
        <v>0</v>
      </c>
      <c r="T477" s="644">
        <v>0</v>
      </c>
      <c r="U477" s="644">
        <v>0</v>
      </c>
      <c r="V477" s="644">
        <v>0</v>
      </c>
      <c r="W477" s="632">
        <v>0</v>
      </c>
      <c r="X477" s="632">
        <v>0</v>
      </c>
    </row>
    <row r="478" spans="1:24" ht="22.5">
      <c r="A478" s="645">
        <v>460</v>
      </c>
      <c r="B478" s="643" t="s">
        <v>1311</v>
      </c>
      <c r="C478" s="645" t="s">
        <v>441</v>
      </c>
      <c r="D478" s="645" t="s">
        <v>1312</v>
      </c>
      <c r="E478" s="645" t="s">
        <v>906</v>
      </c>
      <c r="F478" s="645" t="s">
        <v>1114</v>
      </c>
      <c r="G478" s="645" t="s">
        <v>777</v>
      </c>
      <c r="H478" s="644">
        <v>528975572</v>
      </c>
      <c r="I478" s="644">
        <v>46825572</v>
      </c>
      <c r="J478" s="644">
        <v>46825572</v>
      </c>
      <c r="K478" s="644">
        <v>0</v>
      </c>
      <c r="L478" s="644">
        <v>0</v>
      </c>
      <c r="M478" s="644">
        <v>482150000</v>
      </c>
      <c r="N478" s="644">
        <v>0</v>
      </c>
      <c r="O478" s="644">
        <v>0</v>
      </c>
      <c r="P478" s="644">
        <v>484825500</v>
      </c>
      <c r="Q478" s="644">
        <v>484825500</v>
      </c>
      <c r="R478" s="644">
        <v>0</v>
      </c>
      <c r="S478" s="644">
        <v>0</v>
      </c>
      <c r="T478" s="644">
        <v>0</v>
      </c>
      <c r="U478" s="644">
        <v>0</v>
      </c>
      <c r="V478" s="644">
        <v>0</v>
      </c>
      <c r="W478" s="632">
        <v>0</v>
      </c>
      <c r="X478" s="632">
        <v>0</v>
      </c>
    </row>
    <row r="479" spans="1:24" ht="22.5">
      <c r="A479" s="645">
        <v>461</v>
      </c>
      <c r="B479" s="643" t="s">
        <v>1311</v>
      </c>
      <c r="C479" s="645" t="s">
        <v>441</v>
      </c>
      <c r="D479" s="645" t="s">
        <v>1312</v>
      </c>
      <c r="E479" s="645" t="s">
        <v>1115</v>
      </c>
      <c r="F479" s="645" t="s">
        <v>1114</v>
      </c>
      <c r="G479" s="645" t="s">
        <v>777</v>
      </c>
      <c r="H479" s="644">
        <v>500000</v>
      </c>
      <c r="I479" s="644">
        <v>0</v>
      </c>
      <c r="J479" s="644">
        <v>0</v>
      </c>
      <c r="K479" s="644">
        <v>0</v>
      </c>
      <c r="L479" s="644">
        <v>0</v>
      </c>
      <c r="M479" s="644">
        <v>500000</v>
      </c>
      <c r="N479" s="644">
        <v>0</v>
      </c>
      <c r="O479" s="644">
        <v>0</v>
      </c>
      <c r="P479" s="644">
        <v>500000</v>
      </c>
      <c r="Q479" s="644">
        <v>500000</v>
      </c>
      <c r="R479" s="644">
        <v>0</v>
      </c>
      <c r="S479" s="644">
        <v>0</v>
      </c>
      <c r="T479" s="644">
        <v>0</v>
      </c>
      <c r="U479" s="644">
        <v>0</v>
      </c>
      <c r="V479" s="644">
        <v>0</v>
      </c>
      <c r="W479" s="632">
        <v>0</v>
      </c>
      <c r="X479" s="632">
        <v>0</v>
      </c>
    </row>
    <row r="480" spans="1:24" ht="22.5">
      <c r="A480" s="645">
        <v>462</v>
      </c>
      <c r="B480" s="643" t="s">
        <v>1311</v>
      </c>
      <c r="C480" s="645" t="s">
        <v>441</v>
      </c>
      <c r="D480" s="645" t="s">
        <v>1312</v>
      </c>
      <c r="E480" s="645" t="s">
        <v>1116</v>
      </c>
      <c r="F480" s="645" t="s">
        <v>1114</v>
      </c>
      <c r="G480" s="645" t="s">
        <v>777</v>
      </c>
      <c r="H480" s="644">
        <v>35000000</v>
      </c>
      <c r="I480" s="644">
        <v>0</v>
      </c>
      <c r="J480" s="644">
        <v>0</v>
      </c>
      <c r="K480" s="644">
        <v>0</v>
      </c>
      <c r="L480" s="644">
        <v>0</v>
      </c>
      <c r="M480" s="644">
        <v>0</v>
      </c>
      <c r="N480" s="644">
        <v>35000000</v>
      </c>
      <c r="O480" s="644">
        <v>0</v>
      </c>
      <c r="P480" s="644">
        <v>34304000</v>
      </c>
      <c r="Q480" s="644">
        <v>34304000</v>
      </c>
      <c r="R480" s="644">
        <v>0</v>
      </c>
      <c r="S480" s="644">
        <v>0</v>
      </c>
      <c r="T480" s="644">
        <v>0</v>
      </c>
      <c r="U480" s="644">
        <v>0</v>
      </c>
      <c r="V480" s="644">
        <v>0</v>
      </c>
      <c r="W480" s="632">
        <v>0</v>
      </c>
      <c r="X480" s="632">
        <v>0</v>
      </c>
    </row>
    <row r="481" spans="1:24" ht="22.5">
      <c r="A481" s="645">
        <v>463</v>
      </c>
      <c r="B481" s="643" t="s">
        <v>1311</v>
      </c>
      <c r="C481" s="645" t="s">
        <v>441</v>
      </c>
      <c r="D481" s="645" t="s">
        <v>1312</v>
      </c>
      <c r="E481" s="645" t="s">
        <v>906</v>
      </c>
      <c r="F481" s="645" t="s">
        <v>1313</v>
      </c>
      <c r="G481" s="645" t="s">
        <v>777</v>
      </c>
      <c r="H481" s="644">
        <v>300000000</v>
      </c>
      <c r="I481" s="644">
        <v>0</v>
      </c>
      <c r="J481" s="644">
        <v>0</v>
      </c>
      <c r="K481" s="644">
        <v>0</v>
      </c>
      <c r="L481" s="644">
        <v>0</v>
      </c>
      <c r="M481" s="644">
        <v>0</v>
      </c>
      <c r="N481" s="644">
        <v>300000000</v>
      </c>
      <c r="O481" s="644">
        <v>0</v>
      </c>
      <c r="P481" s="644">
        <v>282568000</v>
      </c>
      <c r="Q481" s="644">
        <v>282568000</v>
      </c>
      <c r="R481" s="644">
        <v>0</v>
      </c>
      <c r="S481" s="644">
        <v>0</v>
      </c>
      <c r="T481" s="644">
        <v>0</v>
      </c>
      <c r="U481" s="644">
        <v>0</v>
      </c>
      <c r="V481" s="644">
        <v>0</v>
      </c>
      <c r="W481" s="632">
        <v>0</v>
      </c>
      <c r="X481" s="632">
        <v>0</v>
      </c>
    </row>
    <row r="482" spans="1:24">
      <c r="A482" s="645">
        <v>464</v>
      </c>
      <c r="B482" s="643" t="s">
        <v>1314</v>
      </c>
      <c r="C482" s="645" t="s">
        <v>441</v>
      </c>
      <c r="D482" s="645" t="s">
        <v>1315</v>
      </c>
      <c r="E482" s="645" t="s">
        <v>1125</v>
      </c>
      <c r="F482" s="645" t="s">
        <v>1114</v>
      </c>
      <c r="G482" s="645" t="s">
        <v>777</v>
      </c>
      <c r="H482" s="644">
        <v>120800000</v>
      </c>
      <c r="I482" s="644">
        <v>0</v>
      </c>
      <c r="J482" s="644">
        <v>0</v>
      </c>
      <c r="K482" s="644">
        <v>0</v>
      </c>
      <c r="L482" s="644">
        <v>0</v>
      </c>
      <c r="M482" s="644">
        <v>120800000</v>
      </c>
      <c r="N482" s="644">
        <v>0</v>
      </c>
      <c r="O482" s="644">
        <v>0</v>
      </c>
      <c r="P482" s="644">
        <v>120800000</v>
      </c>
      <c r="Q482" s="644">
        <v>120800000</v>
      </c>
      <c r="R482" s="644">
        <v>0</v>
      </c>
      <c r="S482" s="644">
        <v>0</v>
      </c>
      <c r="T482" s="644">
        <v>0</v>
      </c>
      <c r="U482" s="644">
        <v>0</v>
      </c>
      <c r="V482" s="644">
        <v>0</v>
      </c>
      <c r="W482" s="632">
        <v>0</v>
      </c>
      <c r="X482" s="632">
        <v>3241827</v>
      </c>
    </row>
    <row r="483" spans="1:24">
      <c r="A483" s="645">
        <v>465</v>
      </c>
      <c r="B483" s="643" t="s">
        <v>1314</v>
      </c>
      <c r="C483" s="645" t="s">
        <v>441</v>
      </c>
      <c r="D483" s="645" t="s">
        <v>1315</v>
      </c>
      <c r="E483" s="645" t="s">
        <v>906</v>
      </c>
      <c r="F483" s="645" t="s">
        <v>1114</v>
      </c>
      <c r="G483" s="645" t="s">
        <v>777</v>
      </c>
      <c r="H483" s="644">
        <v>2322700000</v>
      </c>
      <c r="I483" s="644">
        <v>256000000</v>
      </c>
      <c r="J483" s="644">
        <v>256000000</v>
      </c>
      <c r="K483" s="644">
        <v>0</v>
      </c>
      <c r="L483" s="644">
        <v>0</v>
      </c>
      <c r="M483" s="644">
        <v>2440000000</v>
      </c>
      <c r="N483" s="644">
        <v>-373300000</v>
      </c>
      <c r="O483" s="644">
        <v>0</v>
      </c>
      <c r="P483" s="644">
        <v>2233893428</v>
      </c>
      <c r="Q483" s="644">
        <v>2233893428</v>
      </c>
      <c r="R483" s="644">
        <v>0</v>
      </c>
      <c r="S483" s="644">
        <v>0</v>
      </c>
      <c r="T483" s="644">
        <v>0</v>
      </c>
      <c r="U483" s="644">
        <v>0</v>
      </c>
      <c r="V483" s="644">
        <v>0</v>
      </c>
      <c r="W483" s="632">
        <v>0</v>
      </c>
      <c r="X483" s="632">
        <v>7623411</v>
      </c>
    </row>
    <row r="484" spans="1:24" ht="22.5">
      <c r="A484" s="645">
        <v>466</v>
      </c>
      <c r="B484" s="643" t="s">
        <v>1316</v>
      </c>
      <c r="C484" s="645" t="s">
        <v>441</v>
      </c>
      <c r="D484" s="645" t="s">
        <v>1315</v>
      </c>
      <c r="E484" s="645" t="s">
        <v>1132</v>
      </c>
      <c r="F484" s="645" t="s">
        <v>1114</v>
      </c>
      <c r="G484" s="645" t="s">
        <v>777</v>
      </c>
      <c r="H484" s="644">
        <v>249200000</v>
      </c>
      <c r="I484" s="644">
        <v>0</v>
      </c>
      <c r="J484" s="644">
        <v>0</v>
      </c>
      <c r="K484" s="644">
        <v>0</v>
      </c>
      <c r="L484" s="644">
        <v>0</v>
      </c>
      <c r="M484" s="644">
        <v>249200000</v>
      </c>
      <c r="N484" s="644">
        <v>0</v>
      </c>
      <c r="O484" s="644">
        <v>0</v>
      </c>
      <c r="P484" s="644">
        <v>232483400</v>
      </c>
      <c r="Q484" s="644">
        <v>232483400</v>
      </c>
      <c r="R484" s="644">
        <v>0</v>
      </c>
      <c r="S484" s="644">
        <v>0</v>
      </c>
      <c r="T484" s="644">
        <v>0</v>
      </c>
      <c r="U484" s="644">
        <v>0</v>
      </c>
      <c r="V484" s="644">
        <v>0</v>
      </c>
      <c r="W484" s="632">
        <v>0</v>
      </c>
      <c r="X484" s="632">
        <v>781962726</v>
      </c>
    </row>
    <row r="485" spans="1:24">
      <c r="A485" s="645">
        <v>467</v>
      </c>
      <c r="B485" s="643" t="s">
        <v>1317</v>
      </c>
      <c r="C485" s="645" t="s">
        <v>441</v>
      </c>
      <c r="D485" s="645" t="s">
        <v>1318</v>
      </c>
      <c r="E485" s="645" t="s">
        <v>904</v>
      </c>
      <c r="F485" s="645" t="s">
        <v>1114</v>
      </c>
      <c r="G485" s="645" t="s">
        <v>777</v>
      </c>
      <c r="H485" s="644">
        <v>250000000</v>
      </c>
      <c r="I485" s="644">
        <v>0</v>
      </c>
      <c r="J485" s="644">
        <v>0</v>
      </c>
      <c r="K485" s="644">
        <v>0</v>
      </c>
      <c r="L485" s="644">
        <v>0</v>
      </c>
      <c r="M485" s="644">
        <v>250000000</v>
      </c>
      <c r="N485" s="644">
        <v>0</v>
      </c>
      <c r="O485" s="644">
        <v>0</v>
      </c>
      <c r="P485" s="644">
        <v>206542000</v>
      </c>
      <c r="Q485" s="644">
        <v>206542000</v>
      </c>
      <c r="R485" s="644">
        <v>0</v>
      </c>
      <c r="S485" s="644">
        <v>0</v>
      </c>
      <c r="T485" s="644">
        <v>0</v>
      </c>
      <c r="U485" s="644">
        <v>0</v>
      </c>
      <c r="V485" s="644">
        <v>0</v>
      </c>
      <c r="W485" s="632">
        <v>0</v>
      </c>
      <c r="X485" s="632">
        <v>0</v>
      </c>
    </row>
    <row r="486" spans="1:24">
      <c r="A486" s="645">
        <v>468</v>
      </c>
      <c r="B486" s="643" t="s">
        <v>1317</v>
      </c>
      <c r="C486" s="645" t="s">
        <v>441</v>
      </c>
      <c r="D486" s="645" t="s">
        <v>1318</v>
      </c>
      <c r="E486" s="645" t="s">
        <v>906</v>
      </c>
      <c r="F486" s="645" t="s">
        <v>1114</v>
      </c>
      <c r="G486" s="645" t="s">
        <v>777</v>
      </c>
      <c r="H486" s="644">
        <v>220000000</v>
      </c>
      <c r="I486" s="644">
        <v>0</v>
      </c>
      <c r="J486" s="644">
        <v>0</v>
      </c>
      <c r="K486" s="644">
        <v>0</v>
      </c>
      <c r="L486" s="644">
        <v>0</v>
      </c>
      <c r="M486" s="644">
        <v>205000000</v>
      </c>
      <c r="N486" s="644">
        <v>15000000</v>
      </c>
      <c r="O486" s="644">
        <v>0</v>
      </c>
      <c r="P486" s="644">
        <v>218930000</v>
      </c>
      <c r="Q486" s="644">
        <v>218930000</v>
      </c>
      <c r="R486" s="644">
        <v>0</v>
      </c>
      <c r="S486" s="644">
        <v>0</v>
      </c>
      <c r="T486" s="644">
        <v>0</v>
      </c>
      <c r="U486" s="644">
        <v>0</v>
      </c>
      <c r="V486" s="644">
        <v>0</v>
      </c>
      <c r="W486" s="632">
        <v>0</v>
      </c>
      <c r="X486" s="632">
        <v>0</v>
      </c>
    </row>
    <row r="487" spans="1:24">
      <c r="A487" s="645">
        <v>469</v>
      </c>
      <c r="B487" s="643" t="s">
        <v>1317</v>
      </c>
      <c r="C487" s="645" t="s">
        <v>441</v>
      </c>
      <c r="D487" s="645" t="s">
        <v>1318</v>
      </c>
      <c r="E487" s="645" t="s">
        <v>1116</v>
      </c>
      <c r="F487" s="645" t="s">
        <v>1114</v>
      </c>
      <c r="G487" s="645" t="s">
        <v>777</v>
      </c>
      <c r="H487" s="644">
        <v>74250000</v>
      </c>
      <c r="I487" s="644">
        <v>0</v>
      </c>
      <c r="J487" s="644">
        <v>0</v>
      </c>
      <c r="K487" s="644">
        <v>0</v>
      </c>
      <c r="L487" s="644">
        <v>0</v>
      </c>
      <c r="M487" s="644">
        <v>0</v>
      </c>
      <c r="N487" s="644">
        <v>74250000</v>
      </c>
      <c r="O487" s="644">
        <v>0</v>
      </c>
      <c r="P487" s="644">
        <v>74250000</v>
      </c>
      <c r="Q487" s="644">
        <v>74250000</v>
      </c>
      <c r="R487" s="644">
        <v>0</v>
      </c>
      <c r="S487" s="644">
        <v>0</v>
      </c>
      <c r="T487" s="644">
        <v>0</v>
      </c>
      <c r="U487" s="644">
        <v>0</v>
      </c>
      <c r="V487" s="644">
        <v>0</v>
      </c>
      <c r="W487" s="632">
        <v>0</v>
      </c>
      <c r="X487" s="632">
        <v>118855992</v>
      </c>
    </row>
    <row r="488" spans="1:24" ht="22.5">
      <c r="A488" s="645">
        <v>470</v>
      </c>
      <c r="B488" s="643" t="s">
        <v>1319</v>
      </c>
      <c r="C488" s="645" t="s">
        <v>441</v>
      </c>
      <c r="D488" s="645" t="s">
        <v>1320</v>
      </c>
      <c r="E488" s="645" t="s">
        <v>641</v>
      </c>
      <c r="F488" s="645" t="s">
        <v>1114</v>
      </c>
      <c r="G488" s="645" t="s">
        <v>777</v>
      </c>
      <c r="H488" s="644">
        <v>873000000</v>
      </c>
      <c r="I488" s="644">
        <v>0</v>
      </c>
      <c r="J488" s="644">
        <v>0</v>
      </c>
      <c r="K488" s="644">
        <v>0</v>
      </c>
      <c r="L488" s="644">
        <v>0</v>
      </c>
      <c r="M488" s="644">
        <v>873000000</v>
      </c>
      <c r="N488" s="644">
        <v>0</v>
      </c>
      <c r="O488" s="644">
        <v>0</v>
      </c>
      <c r="P488" s="644">
        <v>651629000</v>
      </c>
      <c r="Q488" s="644">
        <v>651629000</v>
      </c>
      <c r="R488" s="644">
        <v>0</v>
      </c>
      <c r="S488" s="644">
        <v>0</v>
      </c>
      <c r="T488" s="644">
        <v>0</v>
      </c>
      <c r="U488" s="644">
        <v>0</v>
      </c>
      <c r="V488" s="644">
        <v>0</v>
      </c>
      <c r="W488" s="632">
        <v>0</v>
      </c>
      <c r="X488" s="632">
        <v>0</v>
      </c>
    </row>
    <row r="489" spans="1:24" ht="22.5">
      <c r="A489" s="645">
        <v>471</v>
      </c>
      <c r="B489" s="643" t="s">
        <v>1319</v>
      </c>
      <c r="C489" s="645" t="s">
        <v>441</v>
      </c>
      <c r="D489" s="645" t="s">
        <v>1320</v>
      </c>
      <c r="E489" s="645" t="s">
        <v>904</v>
      </c>
      <c r="F489" s="645" t="s">
        <v>1114</v>
      </c>
      <c r="G489" s="645" t="s">
        <v>777</v>
      </c>
      <c r="H489" s="644">
        <v>180500000</v>
      </c>
      <c r="I489" s="644">
        <v>0</v>
      </c>
      <c r="J489" s="644">
        <v>0</v>
      </c>
      <c r="K489" s="644">
        <v>0</v>
      </c>
      <c r="L489" s="644">
        <v>0</v>
      </c>
      <c r="M489" s="644">
        <v>180500000</v>
      </c>
      <c r="N489" s="644">
        <v>0</v>
      </c>
      <c r="O489" s="644">
        <v>0</v>
      </c>
      <c r="P489" s="644">
        <v>175000100</v>
      </c>
      <c r="Q489" s="644">
        <v>175000100</v>
      </c>
      <c r="R489" s="644">
        <v>0</v>
      </c>
      <c r="S489" s="644">
        <v>0</v>
      </c>
      <c r="T489" s="644">
        <v>0</v>
      </c>
      <c r="U489" s="644">
        <v>0</v>
      </c>
      <c r="V489" s="644">
        <v>0</v>
      </c>
      <c r="W489" s="632">
        <v>0</v>
      </c>
      <c r="X489" s="632">
        <v>0</v>
      </c>
    </row>
    <row r="490" spans="1:24" ht="22.5">
      <c r="A490" s="645">
        <v>472</v>
      </c>
      <c r="B490" s="643" t="s">
        <v>1319</v>
      </c>
      <c r="C490" s="645" t="s">
        <v>441</v>
      </c>
      <c r="D490" s="645" t="s">
        <v>1320</v>
      </c>
      <c r="E490" s="645" t="s">
        <v>907</v>
      </c>
      <c r="F490" s="645" t="s">
        <v>1114</v>
      </c>
      <c r="G490" s="645" t="s">
        <v>777</v>
      </c>
      <c r="H490" s="644">
        <v>40000000</v>
      </c>
      <c r="I490" s="644">
        <v>0</v>
      </c>
      <c r="J490" s="644">
        <v>0</v>
      </c>
      <c r="K490" s="644">
        <v>0</v>
      </c>
      <c r="L490" s="644">
        <v>0</v>
      </c>
      <c r="M490" s="644">
        <v>40000000</v>
      </c>
      <c r="N490" s="644">
        <v>0</v>
      </c>
      <c r="O490" s="644">
        <v>0</v>
      </c>
      <c r="P490" s="644">
        <v>40000000</v>
      </c>
      <c r="Q490" s="644">
        <v>40000000</v>
      </c>
      <c r="R490" s="644">
        <v>0</v>
      </c>
      <c r="S490" s="644">
        <v>0</v>
      </c>
      <c r="T490" s="644">
        <v>0</v>
      </c>
      <c r="U490" s="644">
        <v>0</v>
      </c>
      <c r="V490" s="644">
        <v>0</v>
      </c>
      <c r="W490" s="632">
        <v>0</v>
      </c>
      <c r="X490" s="632">
        <v>0</v>
      </c>
    </row>
    <row r="491" spans="1:24" ht="22.5">
      <c r="A491" s="645">
        <v>473</v>
      </c>
      <c r="B491" s="643" t="s">
        <v>1321</v>
      </c>
      <c r="C491" s="645" t="s">
        <v>441</v>
      </c>
      <c r="D491" s="645" t="s">
        <v>1322</v>
      </c>
      <c r="E491" s="645" t="s">
        <v>907</v>
      </c>
      <c r="F491" s="645" t="s">
        <v>1114</v>
      </c>
      <c r="G491" s="645" t="s">
        <v>777</v>
      </c>
      <c r="H491" s="644">
        <v>324500000</v>
      </c>
      <c r="I491" s="644">
        <v>0</v>
      </c>
      <c r="J491" s="644">
        <v>0</v>
      </c>
      <c r="K491" s="644">
        <v>0</v>
      </c>
      <c r="L491" s="644">
        <v>0</v>
      </c>
      <c r="M491" s="644">
        <v>414500000</v>
      </c>
      <c r="N491" s="644">
        <v>-90000000</v>
      </c>
      <c r="O491" s="644">
        <v>0</v>
      </c>
      <c r="P491" s="644">
        <v>314033680</v>
      </c>
      <c r="Q491" s="644">
        <v>314033680</v>
      </c>
      <c r="R491" s="644">
        <v>0</v>
      </c>
      <c r="S491" s="644">
        <v>0</v>
      </c>
      <c r="T491" s="644">
        <v>0</v>
      </c>
      <c r="U491" s="644">
        <v>0</v>
      </c>
      <c r="V491" s="644">
        <v>0</v>
      </c>
      <c r="W491" s="632">
        <v>0</v>
      </c>
      <c r="X491" s="632">
        <v>24106180</v>
      </c>
    </row>
    <row r="492" spans="1:24" ht="22.5">
      <c r="A492" s="645">
        <v>474</v>
      </c>
      <c r="B492" s="643" t="s">
        <v>1321</v>
      </c>
      <c r="C492" s="645" t="s">
        <v>441</v>
      </c>
      <c r="D492" s="645" t="s">
        <v>1322</v>
      </c>
      <c r="E492" s="645" t="s">
        <v>1115</v>
      </c>
      <c r="F492" s="645" t="s">
        <v>1114</v>
      </c>
      <c r="G492" s="645" t="s">
        <v>777</v>
      </c>
      <c r="H492" s="644">
        <v>500000</v>
      </c>
      <c r="I492" s="644">
        <v>0</v>
      </c>
      <c r="J492" s="644">
        <v>0</v>
      </c>
      <c r="K492" s="644">
        <v>0</v>
      </c>
      <c r="L492" s="644">
        <v>0</v>
      </c>
      <c r="M492" s="644">
        <v>500000</v>
      </c>
      <c r="N492" s="644">
        <v>0</v>
      </c>
      <c r="O492" s="644">
        <v>0</v>
      </c>
      <c r="P492" s="644">
        <v>500000</v>
      </c>
      <c r="Q492" s="644">
        <v>500000</v>
      </c>
      <c r="R492" s="644">
        <v>0</v>
      </c>
      <c r="S492" s="644">
        <v>0</v>
      </c>
      <c r="T492" s="644">
        <v>0</v>
      </c>
      <c r="U492" s="644">
        <v>0</v>
      </c>
      <c r="V492" s="644">
        <v>0</v>
      </c>
      <c r="W492" s="632">
        <v>0</v>
      </c>
      <c r="X492" s="632">
        <v>30415850</v>
      </c>
    </row>
    <row r="493" spans="1:24" ht="22.5">
      <c r="A493" s="645">
        <v>475</v>
      </c>
      <c r="B493" s="643" t="s">
        <v>1323</v>
      </c>
      <c r="C493" s="645" t="s">
        <v>441</v>
      </c>
      <c r="D493" s="645" t="s">
        <v>1324</v>
      </c>
      <c r="E493" s="645" t="s">
        <v>1125</v>
      </c>
      <c r="F493" s="645" t="s">
        <v>1114</v>
      </c>
      <c r="G493" s="645" t="s">
        <v>777</v>
      </c>
      <c r="H493" s="644">
        <v>116765000</v>
      </c>
      <c r="I493" s="644">
        <v>0</v>
      </c>
      <c r="J493" s="644">
        <v>0</v>
      </c>
      <c r="K493" s="644">
        <v>0</v>
      </c>
      <c r="L493" s="644">
        <v>0</v>
      </c>
      <c r="M493" s="644">
        <v>116765000</v>
      </c>
      <c r="N493" s="644">
        <v>0</v>
      </c>
      <c r="O493" s="644">
        <v>0</v>
      </c>
      <c r="P493" s="644">
        <v>116765000</v>
      </c>
      <c r="Q493" s="644">
        <v>116765000</v>
      </c>
      <c r="R493" s="644">
        <v>0</v>
      </c>
      <c r="S493" s="644">
        <v>0</v>
      </c>
      <c r="T493" s="644">
        <v>0</v>
      </c>
      <c r="U493" s="644">
        <v>0</v>
      </c>
      <c r="V493" s="644">
        <v>0</v>
      </c>
      <c r="W493" s="632">
        <v>0</v>
      </c>
      <c r="X493" s="632">
        <v>0</v>
      </c>
    </row>
    <row r="494" spans="1:24" ht="22.5">
      <c r="A494" s="645">
        <v>476</v>
      </c>
      <c r="B494" s="643" t="s">
        <v>1323</v>
      </c>
      <c r="C494" s="645" t="s">
        <v>441</v>
      </c>
      <c r="D494" s="645" t="s">
        <v>1324</v>
      </c>
      <c r="E494" s="645" t="s">
        <v>700</v>
      </c>
      <c r="F494" s="645" t="s">
        <v>1114</v>
      </c>
      <c r="G494" s="645" t="s">
        <v>777</v>
      </c>
      <c r="H494" s="644">
        <v>560000000</v>
      </c>
      <c r="I494" s="644">
        <v>0</v>
      </c>
      <c r="J494" s="644">
        <v>0</v>
      </c>
      <c r="K494" s="644">
        <v>0</v>
      </c>
      <c r="L494" s="644">
        <v>0</v>
      </c>
      <c r="M494" s="644">
        <v>0</v>
      </c>
      <c r="N494" s="644">
        <v>560000000</v>
      </c>
      <c r="O494" s="644">
        <v>0</v>
      </c>
      <c r="P494" s="644">
        <v>560000000</v>
      </c>
      <c r="Q494" s="644">
        <v>560000000</v>
      </c>
      <c r="R494" s="644">
        <v>0</v>
      </c>
      <c r="S494" s="644">
        <v>0</v>
      </c>
      <c r="T494" s="644">
        <v>0</v>
      </c>
      <c r="U494" s="644">
        <v>0</v>
      </c>
      <c r="V494" s="644">
        <v>0</v>
      </c>
      <c r="W494" s="632">
        <v>0</v>
      </c>
      <c r="X494" s="632">
        <v>0</v>
      </c>
    </row>
    <row r="495" spans="1:24" ht="22.5">
      <c r="A495" s="645">
        <v>477</v>
      </c>
      <c r="B495" s="643" t="s">
        <v>1323</v>
      </c>
      <c r="C495" s="645" t="s">
        <v>441</v>
      </c>
      <c r="D495" s="645" t="s">
        <v>1324</v>
      </c>
      <c r="E495" s="645" t="s">
        <v>907</v>
      </c>
      <c r="F495" s="645" t="s">
        <v>1114</v>
      </c>
      <c r="G495" s="645" t="s">
        <v>777</v>
      </c>
      <c r="H495" s="644">
        <v>817000000</v>
      </c>
      <c r="I495" s="644">
        <v>0</v>
      </c>
      <c r="J495" s="644">
        <v>0</v>
      </c>
      <c r="K495" s="644">
        <v>0</v>
      </c>
      <c r="L495" s="644">
        <v>0</v>
      </c>
      <c r="M495" s="644">
        <v>817000000</v>
      </c>
      <c r="N495" s="644">
        <v>0</v>
      </c>
      <c r="O495" s="644">
        <v>0</v>
      </c>
      <c r="P495" s="644">
        <v>812718400</v>
      </c>
      <c r="Q495" s="644">
        <v>812718400</v>
      </c>
      <c r="R495" s="644">
        <v>0</v>
      </c>
      <c r="S495" s="644">
        <v>0</v>
      </c>
      <c r="T495" s="644">
        <v>0</v>
      </c>
      <c r="U495" s="644">
        <v>0</v>
      </c>
      <c r="V495" s="644">
        <v>0</v>
      </c>
      <c r="W495" s="632">
        <v>0</v>
      </c>
      <c r="X495" s="632">
        <v>433468177</v>
      </c>
    </row>
    <row r="496" spans="1:24" ht="22.5">
      <c r="A496" s="645">
        <v>478</v>
      </c>
      <c r="B496" s="643" t="s">
        <v>1325</v>
      </c>
      <c r="C496" s="645" t="s">
        <v>441</v>
      </c>
      <c r="D496" s="645" t="s">
        <v>1326</v>
      </c>
      <c r="E496" s="645" t="s">
        <v>1125</v>
      </c>
      <c r="F496" s="645" t="s">
        <v>1114</v>
      </c>
      <c r="G496" s="645" t="s">
        <v>777</v>
      </c>
      <c r="H496" s="644">
        <v>35200000</v>
      </c>
      <c r="I496" s="644">
        <v>0</v>
      </c>
      <c r="J496" s="644">
        <v>0</v>
      </c>
      <c r="K496" s="644">
        <v>0</v>
      </c>
      <c r="L496" s="644">
        <v>0</v>
      </c>
      <c r="M496" s="644">
        <v>35200000</v>
      </c>
      <c r="N496" s="644">
        <v>0</v>
      </c>
      <c r="O496" s="644">
        <v>0</v>
      </c>
      <c r="P496" s="644">
        <v>35200000</v>
      </c>
      <c r="Q496" s="644">
        <v>35200000</v>
      </c>
      <c r="R496" s="644">
        <v>0</v>
      </c>
      <c r="S496" s="644">
        <v>0</v>
      </c>
      <c r="T496" s="644">
        <v>0</v>
      </c>
      <c r="U496" s="644">
        <v>0</v>
      </c>
      <c r="V496" s="644">
        <v>0</v>
      </c>
      <c r="W496" s="632">
        <v>0</v>
      </c>
      <c r="X496" s="632">
        <v>141842476</v>
      </c>
    </row>
    <row r="497" spans="1:24" ht="22.5">
      <c r="A497" s="645">
        <v>479</v>
      </c>
      <c r="B497" s="643" t="s">
        <v>1325</v>
      </c>
      <c r="C497" s="645" t="s">
        <v>441</v>
      </c>
      <c r="D497" s="645" t="s">
        <v>1326</v>
      </c>
      <c r="E497" s="645" t="s">
        <v>700</v>
      </c>
      <c r="F497" s="645" t="s">
        <v>1114</v>
      </c>
      <c r="G497" s="645" t="s">
        <v>777</v>
      </c>
      <c r="H497" s="644">
        <v>110000000</v>
      </c>
      <c r="I497" s="644">
        <v>0</v>
      </c>
      <c r="J497" s="644">
        <v>0</v>
      </c>
      <c r="K497" s="644">
        <v>0</v>
      </c>
      <c r="L497" s="644">
        <v>0</v>
      </c>
      <c r="M497" s="644">
        <v>0</v>
      </c>
      <c r="N497" s="644">
        <v>110000000</v>
      </c>
      <c r="O497" s="644">
        <v>0</v>
      </c>
      <c r="P497" s="644">
        <v>110000000</v>
      </c>
      <c r="Q497" s="644">
        <v>110000000</v>
      </c>
      <c r="R497" s="644">
        <v>0</v>
      </c>
      <c r="S497" s="644">
        <v>0</v>
      </c>
      <c r="T497" s="644">
        <v>0</v>
      </c>
      <c r="U497" s="644">
        <v>0</v>
      </c>
      <c r="V497" s="644">
        <v>0</v>
      </c>
      <c r="W497" s="632">
        <v>0</v>
      </c>
      <c r="X497" s="632">
        <v>0</v>
      </c>
    </row>
    <row r="498" spans="1:24" ht="22.5">
      <c r="A498" s="645">
        <v>480</v>
      </c>
      <c r="B498" s="643" t="s">
        <v>1325</v>
      </c>
      <c r="C498" s="645" t="s">
        <v>441</v>
      </c>
      <c r="D498" s="645" t="s">
        <v>1326</v>
      </c>
      <c r="E498" s="645" t="s">
        <v>907</v>
      </c>
      <c r="F498" s="645" t="s">
        <v>1114</v>
      </c>
      <c r="G498" s="645" t="s">
        <v>777</v>
      </c>
      <c r="H498" s="644">
        <v>680000000</v>
      </c>
      <c r="I498" s="644">
        <v>0</v>
      </c>
      <c r="J498" s="644">
        <v>0</v>
      </c>
      <c r="K498" s="644">
        <v>0</v>
      </c>
      <c r="L498" s="644">
        <v>0</v>
      </c>
      <c r="M498" s="644">
        <v>680000000</v>
      </c>
      <c r="N498" s="644">
        <v>0</v>
      </c>
      <c r="O498" s="644">
        <v>0</v>
      </c>
      <c r="P498" s="644">
        <v>656018400</v>
      </c>
      <c r="Q498" s="644">
        <v>656018400</v>
      </c>
      <c r="R498" s="644">
        <v>0</v>
      </c>
      <c r="S498" s="644">
        <v>0</v>
      </c>
      <c r="T498" s="644">
        <v>0</v>
      </c>
      <c r="U498" s="644">
        <v>0</v>
      </c>
      <c r="V498" s="644">
        <v>0</v>
      </c>
      <c r="W498" s="632">
        <v>0</v>
      </c>
      <c r="X498" s="632">
        <v>1170000</v>
      </c>
    </row>
    <row r="499" spans="1:24">
      <c r="A499" s="645">
        <v>481</v>
      </c>
      <c r="B499" s="643" t="s">
        <v>1327</v>
      </c>
      <c r="C499" s="645" t="s">
        <v>441</v>
      </c>
      <c r="D499" s="645" t="s">
        <v>1328</v>
      </c>
      <c r="E499" s="645" t="s">
        <v>907</v>
      </c>
      <c r="F499" s="645" t="s">
        <v>1114</v>
      </c>
      <c r="G499" s="645" t="s">
        <v>777</v>
      </c>
      <c r="H499" s="644">
        <v>164000000</v>
      </c>
      <c r="I499" s="644">
        <v>0</v>
      </c>
      <c r="J499" s="644">
        <v>0</v>
      </c>
      <c r="K499" s="644">
        <v>0</v>
      </c>
      <c r="L499" s="644">
        <v>0</v>
      </c>
      <c r="M499" s="644">
        <v>150000000</v>
      </c>
      <c r="N499" s="644">
        <v>14000000</v>
      </c>
      <c r="O499" s="644">
        <v>0</v>
      </c>
      <c r="P499" s="644">
        <v>163703149</v>
      </c>
      <c r="Q499" s="644">
        <v>163703149</v>
      </c>
      <c r="R499" s="644">
        <v>0</v>
      </c>
      <c r="S499" s="644">
        <v>0</v>
      </c>
      <c r="T499" s="644">
        <v>0</v>
      </c>
      <c r="U499" s="644">
        <v>0</v>
      </c>
      <c r="V499" s="644">
        <v>0</v>
      </c>
      <c r="W499" s="632">
        <v>0</v>
      </c>
      <c r="X499" s="632">
        <v>27947220</v>
      </c>
    </row>
    <row r="500" spans="1:24">
      <c r="A500" s="645">
        <v>482</v>
      </c>
      <c r="B500" s="643" t="s">
        <v>1329</v>
      </c>
      <c r="C500" s="645" t="s">
        <v>441</v>
      </c>
      <c r="D500" s="645" t="s">
        <v>1330</v>
      </c>
      <c r="E500" s="645" t="s">
        <v>907</v>
      </c>
      <c r="F500" s="645" t="s">
        <v>1114</v>
      </c>
      <c r="G500" s="645" t="s">
        <v>777</v>
      </c>
      <c r="H500" s="644">
        <v>302000000</v>
      </c>
      <c r="I500" s="644">
        <v>0</v>
      </c>
      <c r="J500" s="644">
        <v>0</v>
      </c>
      <c r="K500" s="644">
        <v>0</v>
      </c>
      <c r="L500" s="644">
        <v>0</v>
      </c>
      <c r="M500" s="644">
        <v>302000000</v>
      </c>
      <c r="N500" s="644">
        <v>0</v>
      </c>
      <c r="O500" s="644">
        <v>0</v>
      </c>
      <c r="P500" s="644">
        <v>289791100</v>
      </c>
      <c r="Q500" s="644">
        <v>289791100</v>
      </c>
      <c r="R500" s="644">
        <v>0</v>
      </c>
      <c r="S500" s="644">
        <v>0</v>
      </c>
      <c r="T500" s="644">
        <v>0</v>
      </c>
      <c r="U500" s="644">
        <v>0</v>
      </c>
      <c r="V500" s="644">
        <v>0</v>
      </c>
      <c r="W500" s="632">
        <v>0</v>
      </c>
      <c r="X500" s="632">
        <v>0</v>
      </c>
    </row>
    <row r="501" spans="1:24">
      <c r="A501" s="645">
        <v>483</v>
      </c>
      <c r="B501" s="643" t="s">
        <v>1329</v>
      </c>
      <c r="C501" s="645" t="s">
        <v>441</v>
      </c>
      <c r="D501" s="645" t="s">
        <v>1330</v>
      </c>
      <c r="E501" s="645" t="s">
        <v>1116</v>
      </c>
      <c r="F501" s="645" t="s">
        <v>1114</v>
      </c>
      <c r="G501" s="645" t="s">
        <v>777</v>
      </c>
      <c r="H501" s="644">
        <v>96100000</v>
      </c>
      <c r="I501" s="644">
        <v>0</v>
      </c>
      <c r="J501" s="644">
        <v>0</v>
      </c>
      <c r="K501" s="644">
        <v>0</v>
      </c>
      <c r="L501" s="644">
        <v>0</v>
      </c>
      <c r="M501" s="644">
        <v>0</v>
      </c>
      <c r="N501" s="644">
        <v>96100000</v>
      </c>
      <c r="O501" s="644">
        <v>0</v>
      </c>
      <c r="P501" s="644">
        <v>95976900</v>
      </c>
      <c r="Q501" s="644">
        <v>95976900</v>
      </c>
      <c r="R501" s="644">
        <v>0</v>
      </c>
      <c r="S501" s="644">
        <v>0</v>
      </c>
      <c r="T501" s="644">
        <v>0</v>
      </c>
      <c r="U501" s="644">
        <v>0</v>
      </c>
      <c r="V501" s="644">
        <v>0</v>
      </c>
      <c r="W501" s="632">
        <v>0</v>
      </c>
      <c r="X501" s="632">
        <v>0</v>
      </c>
    </row>
    <row r="502" spans="1:24" ht="22.5">
      <c r="A502" s="645">
        <v>484</v>
      </c>
      <c r="B502" s="643" t="s">
        <v>1331</v>
      </c>
      <c r="C502" s="645" t="s">
        <v>441</v>
      </c>
      <c r="D502" s="645" t="s">
        <v>1332</v>
      </c>
      <c r="E502" s="645" t="s">
        <v>907</v>
      </c>
      <c r="F502" s="645" t="s">
        <v>1114</v>
      </c>
      <c r="G502" s="645" t="s">
        <v>777</v>
      </c>
      <c r="H502" s="644">
        <v>85000000</v>
      </c>
      <c r="I502" s="644">
        <v>0</v>
      </c>
      <c r="J502" s="644">
        <v>0</v>
      </c>
      <c r="K502" s="644">
        <v>0</v>
      </c>
      <c r="L502" s="644">
        <v>0</v>
      </c>
      <c r="M502" s="644">
        <v>0</v>
      </c>
      <c r="N502" s="644">
        <v>85000000</v>
      </c>
      <c r="O502" s="644">
        <v>0</v>
      </c>
      <c r="P502" s="644">
        <v>84350000</v>
      </c>
      <c r="Q502" s="644">
        <v>84350000</v>
      </c>
      <c r="R502" s="644">
        <v>0</v>
      </c>
      <c r="S502" s="644">
        <v>0</v>
      </c>
      <c r="T502" s="644">
        <v>0</v>
      </c>
      <c r="U502" s="644">
        <v>0</v>
      </c>
      <c r="V502" s="644">
        <v>0</v>
      </c>
      <c r="W502" s="632">
        <v>0</v>
      </c>
      <c r="X502" s="632">
        <v>0</v>
      </c>
    </row>
    <row r="503" spans="1:24">
      <c r="A503" s="645">
        <v>485</v>
      </c>
      <c r="B503" s="643" t="s">
        <v>1333</v>
      </c>
      <c r="C503" s="645" t="s">
        <v>441</v>
      </c>
      <c r="D503" s="645" t="s">
        <v>1334</v>
      </c>
      <c r="E503" s="645" t="s">
        <v>904</v>
      </c>
      <c r="F503" s="645" t="s">
        <v>1114</v>
      </c>
      <c r="G503" s="645" t="s">
        <v>777</v>
      </c>
      <c r="H503" s="644">
        <v>39000000</v>
      </c>
      <c r="I503" s="644">
        <v>0</v>
      </c>
      <c r="J503" s="644">
        <v>0</v>
      </c>
      <c r="K503" s="644">
        <v>0</v>
      </c>
      <c r="L503" s="644">
        <v>0</v>
      </c>
      <c r="M503" s="644">
        <v>39000000</v>
      </c>
      <c r="N503" s="644">
        <v>0</v>
      </c>
      <c r="O503" s="644">
        <v>0</v>
      </c>
      <c r="P503" s="644">
        <v>37401700</v>
      </c>
      <c r="Q503" s="644">
        <v>37401700</v>
      </c>
      <c r="R503" s="644">
        <v>0</v>
      </c>
      <c r="S503" s="644">
        <v>0</v>
      </c>
      <c r="T503" s="644">
        <v>0</v>
      </c>
      <c r="U503" s="644">
        <v>0</v>
      </c>
      <c r="V503" s="644">
        <v>0</v>
      </c>
      <c r="W503" s="632">
        <v>0</v>
      </c>
      <c r="X503" s="632">
        <v>0</v>
      </c>
    </row>
    <row r="504" spans="1:24">
      <c r="A504" s="645">
        <v>486</v>
      </c>
      <c r="B504" s="643" t="s">
        <v>1333</v>
      </c>
      <c r="C504" s="645" t="s">
        <v>441</v>
      </c>
      <c r="D504" s="645" t="s">
        <v>1334</v>
      </c>
      <c r="E504" s="645" t="s">
        <v>907</v>
      </c>
      <c r="F504" s="645" t="s">
        <v>1114</v>
      </c>
      <c r="G504" s="645" t="s">
        <v>777</v>
      </c>
      <c r="H504" s="644">
        <v>97730000</v>
      </c>
      <c r="I504" s="644">
        <v>0</v>
      </c>
      <c r="J504" s="644">
        <v>0</v>
      </c>
      <c r="K504" s="644">
        <v>0</v>
      </c>
      <c r="L504" s="644">
        <v>0</v>
      </c>
      <c r="M504" s="644">
        <v>40000000</v>
      </c>
      <c r="N504" s="644">
        <v>57730000</v>
      </c>
      <c r="O504" s="644">
        <v>0</v>
      </c>
      <c r="P504" s="644">
        <v>86750000</v>
      </c>
      <c r="Q504" s="644">
        <v>86750000</v>
      </c>
      <c r="R504" s="644">
        <v>0</v>
      </c>
      <c r="S504" s="644">
        <v>0</v>
      </c>
      <c r="T504" s="644">
        <v>0</v>
      </c>
      <c r="U504" s="644">
        <v>0</v>
      </c>
      <c r="V504" s="644">
        <v>0</v>
      </c>
      <c r="W504" s="632">
        <v>0</v>
      </c>
      <c r="X504" s="632">
        <v>88806572</v>
      </c>
    </row>
    <row r="505" spans="1:24">
      <c r="A505" s="645">
        <v>487</v>
      </c>
      <c r="B505" s="643" t="s">
        <v>1333</v>
      </c>
      <c r="C505" s="645" t="s">
        <v>441</v>
      </c>
      <c r="D505" s="645" t="s">
        <v>1334</v>
      </c>
      <c r="E505" s="645" t="s">
        <v>1116</v>
      </c>
      <c r="F505" s="645" t="s">
        <v>1114</v>
      </c>
      <c r="G505" s="645" t="s">
        <v>777</v>
      </c>
      <c r="H505" s="644">
        <v>13350000</v>
      </c>
      <c r="I505" s="644">
        <v>0</v>
      </c>
      <c r="J505" s="644">
        <v>0</v>
      </c>
      <c r="K505" s="644">
        <v>0</v>
      </c>
      <c r="L505" s="644">
        <v>0</v>
      </c>
      <c r="M505" s="644">
        <v>0</v>
      </c>
      <c r="N505" s="644">
        <v>13350000</v>
      </c>
      <c r="O505" s="644">
        <v>0</v>
      </c>
      <c r="P505" s="644">
        <v>13350000</v>
      </c>
      <c r="Q505" s="644">
        <v>13350000</v>
      </c>
      <c r="R505" s="644">
        <v>0</v>
      </c>
      <c r="S505" s="644">
        <v>0</v>
      </c>
      <c r="T505" s="644">
        <v>0</v>
      </c>
      <c r="U505" s="644">
        <v>0</v>
      </c>
      <c r="V505" s="644">
        <v>0</v>
      </c>
      <c r="W505" s="632">
        <v>0</v>
      </c>
      <c r="X505" s="632">
        <v>0</v>
      </c>
    </row>
    <row r="506" spans="1:24" ht="22.5">
      <c r="A506" s="645">
        <v>488</v>
      </c>
      <c r="B506" s="643" t="s">
        <v>1335</v>
      </c>
      <c r="C506" s="645" t="s">
        <v>441</v>
      </c>
      <c r="D506" s="645" t="s">
        <v>1336</v>
      </c>
      <c r="E506" s="645" t="s">
        <v>907</v>
      </c>
      <c r="F506" s="645" t="s">
        <v>1114</v>
      </c>
      <c r="G506" s="645" t="s">
        <v>777</v>
      </c>
      <c r="H506" s="644">
        <v>32850000</v>
      </c>
      <c r="I506" s="644">
        <v>0</v>
      </c>
      <c r="J506" s="644">
        <v>0</v>
      </c>
      <c r="K506" s="644">
        <v>0</v>
      </c>
      <c r="L506" s="644">
        <v>0</v>
      </c>
      <c r="M506" s="644">
        <v>0</v>
      </c>
      <c r="N506" s="644">
        <v>32850000</v>
      </c>
      <c r="O506" s="644">
        <v>0</v>
      </c>
      <c r="P506" s="644">
        <v>32235000</v>
      </c>
      <c r="Q506" s="644">
        <v>32235000</v>
      </c>
      <c r="R506" s="644">
        <v>0</v>
      </c>
      <c r="S506" s="644">
        <v>0</v>
      </c>
      <c r="T506" s="644">
        <v>0</v>
      </c>
      <c r="U506" s="644">
        <v>0</v>
      </c>
      <c r="V506" s="644">
        <v>0</v>
      </c>
      <c r="W506" s="632">
        <v>0</v>
      </c>
      <c r="X506" s="632">
        <v>0</v>
      </c>
    </row>
    <row r="507" spans="1:24" ht="22.5">
      <c r="A507" s="645">
        <v>489</v>
      </c>
      <c r="B507" s="643" t="s">
        <v>1335</v>
      </c>
      <c r="C507" s="645" t="s">
        <v>441</v>
      </c>
      <c r="D507" s="645" t="s">
        <v>1336</v>
      </c>
      <c r="E507" s="645" t="s">
        <v>1116</v>
      </c>
      <c r="F507" s="645" t="s">
        <v>1114</v>
      </c>
      <c r="G507" s="645" t="s">
        <v>777</v>
      </c>
      <c r="H507" s="644">
        <v>5200000</v>
      </c>
      <c r="I507" s="644">
        <v>0</v>
      </c>
      <c r="J507" s="644">
        <v>0</v>
      </c>
      <c r="K507" s="644">
        <v>0</v>
      </c>
      <c r="L507" s="644">
        <v>0</v>
      </c>
      <c r="M507" s="644">
        <v>5200000</v>
      </c>
      <c r="N507" s="644">
        <v>0</v>
      </c>
      <c r="O507" s="644">
        <v>0</v>
      </c>
      <c r="P507" s="644">
        <v>5200000</v>
      </c>
      <c r="Q507" s="644">
        <v>5200000</v>
      </c>
      <c r="R507" s="644">
        <v>0</v>
      </c>
      <c r="S507" s="644">
        <v>0</v>
      </c>
      <c r="T507" s="644">
        <v>0</v>
      </c>
      <c r="U507" s="644">
        <v>0</v>
      </c>
      <c r="V507" s="644">
        <v>0</v>
      </c>
      <c r="W507" s="632">
        <v>0</v>
      </c>
      <c r="X507" s="632">
        <v>0</v>
      </c>
    </row>
    <row r="508" spans="1:24" ht="22.5">
      <c r="A508" s="645">
        <v>490</v>
      </c>
      <c r="B508" s="643" t="s">
        <v>1337</v>
      </c>
      <c r="C508" s="645" t="s">
        <v>441</v>
      </c>
      <c r="D508" s="645" t="s">
        <v>1338</v>
      </c>
      <c r="E508" s="645" t="s">
        <v>907</v>
      </c>
      <c r="F508" s="645" t="s">
        <v>1114</v>
      </c>
      <c r="G508" s="645" t="s">
        <v>777</v>
      </c>
      <c r="H508" s="644">
        <v>17000000</v>
      </c>
      <c r="I508" s="644">
        <v>0</v>
      </c>
      <c r="J508" s="644">
        <v>0</v>
      </c>
      <c r="K508" s="644">
        <v>0</v>
      </c>
      <c r="L508" s="644">
        <v>0</v>
      </c>
      <c r="M508" s="644">
        <v>17000000</v>
      </c>
      <c r="N508" s="644">
        <v>0</v>
      </c>
      <c r="O508" s="644">
        <v>0</v>
      </c>
      <c r="P508" s="644">
        <v>15401700</v>
      </c>
      <c r="Q508" s="644">
        <v>15401700</v>
      </c>
      <c r="R508" s="644">
        <v>0</v>
      </c>
      <c r="S508" s="644">
        <v>0</v>
      </c>
      <c r="T508" s="644">
        <v>0</v>
      </c>
      <c r="U508" s="644">
        <v>0</v>
      </c>
      <c r="V508" s="644">
        <v>0</v>
      </c>
      <c r="W508" s="632">
        <v>0</v>
      </c>
      <c r="X508" s="632">
        <v>0</v>
      </c>
    </row>
    <row r="509" spans="1:24" ht="22.5">
      <c r="A509" s="645">
        <v>491</v>
      </c>
      <c r="B509" s="643" t="s">
        <v>1339</v>
      </c>
      <c r="C509" s="645" t="s">
        <v>441</v>
      </c>
      <c r="D509" s="645" t="s">
        <v>1340</v>
      </c>
      <c r="E509" s="645" t="s">
        <v>1116</v>
      </c>
      <c r="F509" s="645" t="s">
        <v>1114</v>
      </c>
      <c r="G509" s="645" t="s">
        <v>777</v>
      </c>
      <c r="H509" s="644">
        <v>13000000</v>
      </c>
      <c r="I509" s="644">
        <v>0</v>
      </c>
      <c r="J509" s="644">
        <v>0</v>
      </c>
      <c r="K509" s="644">
        <v>0</v>
      </c>
      <c r="L509" s="644">
        <v>0</v>
      </c>
      <c r="M509" s="644">
        <v>0</v>
      </c>
      <c r="N509" s="644">
        <v>13000000</v>
      </c>
      <c r="O509" s="644">
        <v>0</v>
      </c>
      <c r="P509" s="644">
        <v>13000000</v>
      </c>
      <c r="Q509" s="644">
        <v>13000000</v>
      </c>
      <c r="R509" s="644">
        <v>0</v>
      </c>
      <c r="S509" s="644">
        <v>0</v>
      </c>
      <c r="T509" s="644">
        <v>0</v>
      </c>
      <c r="U509" s="644">
        <v>0</v>
      </c>
      <c r="V509" s="644">
        <v>0</v>
      </c>
      <c r="W509" s="632">
        <v>0</v>
      </c>
      <c r="X509" s="632">
        <v>0</v>
      </c>
    </row>
    <row r="510" spans="1:24">
      <c r="A510" s="645">
        <v>492</v>
      </c>
      <c r="B510" s="643" t="s">
        <v>1341</v>
      </c>
      <c r="C510" s="645" t="s">
        <v>441</v>
      </c>
      <c r="D510" s="645" t="s">
        <v>1342</v>
      </c>
      <c r="E510" s="645" t="s">
        <v>1343</v>
      </c>
      <c r="F510" s="645" t="s">
        <v>1114</v>
      </c>
      <c r="G510" s="645" t="s">
        <v>777</v>
      </c>
      <c r="H510" s="644">
        <v>0</v>
      </c>
      <c r="I510" s="644">
        <v>0</v>
      </c>
      <c r="J510" s="644">
        <v>0</v>
      </c>
      <c r="K510" s="644">
        <v>0</v>
      </c>
      <c r="L510" s="644">
        <v>0</v>
      </c>
      <c r="M510" s="644">
        <v>13611000000</v>
      </c>
      <c r="N510" s="644">
        <v>-13611000000</v>
      </c>
      <c r="O510" s="644">
        <v>0</v>
      </c>
      <c r="P510" s="644">
        <v>0</v>
      </c>
      <c r="Q510" s="644">
        <v>0</v>
      </c>
      <c r="R510" s="644">
        <v>0</v>
      </c>
      <c r="S510" s="644">
        <v>0</v>
      </c>
      <c r="T510" s="644">
        <v>0</v>
      </c>
      <c r="U510" s="644">
        <v>0</v>
      </c>
      <c r="V510" s="644">
        <v>0</v>
      </c>
      <c r="W510" s="632">
        <v>0</v>
      </c>
      <c r="X510" s="632">
        <v>280862629</v>
      </c>
    </row>
    <row r="511" spans="1:24">
      <c r="A511" s="645">
        <v>493</v>
      </c>
      <c r="B511" s="643" t="s">
        <v>1344</v>
      </c>
      <c r="C511" s="645" t="s">
        <v>441</v>
      </c>
      <c r="D511" s="645" t="s">
        <v>1345</v>
      </c>
      <c r="E511" s="645" t="s">
        <v>1300</v>
      </c>
      <c r="F511" s="645" t="s">
        <v>1114</v>
      </c>
      <c r="G511" s="645" t="s">
        <v>777</v>
      </c>
      <c r="H511" s="644">
        <v>3387600000</v>
      </c>
      <c r="I511" s="644">
        <v>32400000</v>
      </c>
      <c r="J511" s="644">
        <v>32400000</v>
      </c>
      <c r="K511" s="644">
        <v>0</v>
      </c>
      <c r="L511" s="644">
        <v>0</v>
      </c>
      <c r="M511" s="644">
        <v>3355200000</v>
      </c>
      <c r="N511" s="644">
        <v>0</v>
      </c>
      <c r="O511" s="644">
        <v>0</v>
      </c>
      <c r="P511" s="644">
        <v>3387600000</v>
      </c>
      <c r="Q511" s="644">
        <v>3387600000</v>
      </c>
      <c r="R511" s="644">
        <v>0</v>
      </c>
      <c r="S511" s="644">
        <v>0</v>
      </c>
      <c r="T511" s="644">
        <v>0</v>
      </c>
      <c r="U511" s="644">
        <v>0</v>
      </c>
      <c r="V511" s="644">
        <v>0</v>
      </c>
      <c r="W511" s="632">
        <v>0</v>
      </c>
      <c r="X511" s="632">
        <v>136957200</v>
      </c>
    </row>
    <row r="512" spans="1:24">
      <c r="A512" s="645">
        <v>494</v>
      </c>
      <c r="B512" s="643" t="s">
        <v>1344</v>
      </c>
      <c r="C512" s="645" t="s">
        <v>441</v>
      </c>
      <c r="D512" s="645" t="s">
        <v>1345</v>
      </c>
      <c r="E512" s="645" t="s">
        <v>1125</v>
      </c>
      <c r="F512" s="645" t="s">
        <v>1114</v>
      </c>
      <c r="G512" s="645" t="s">
        <v>777</v>
      </c>
      <c r="H512" s="644">
        <v>467000000</v>
      </c>
      <c r="I512" s="644">
        <v>0</v>
      </c>
      <c r="J512" s="644">
        <v>0</v>
      </c>
      <c r="K512" s="644">
        <v>0</v>
      </c>
      <c r="L512" s="644">
        <v>0</v>
      </c>
      <c r="M512" s="644">
        <v>467000000</v>
      </c>
      <c r="N512" s="644">
        <v>0</v>
      </c>
      <c r="O512" s="644">
        <v>0</v>
      </c>
      <c r="P512" s="644">
        <v>467000000</v>
      </c>
      <c r="Q512" s="644">
        <v>467000000</v>
      </c>
      <c r="R512" s="644">
        <v>0</v>
      </c>
      <c r="S512" s="644">
        <v>0</v>
      </c>
      <c r="T512" s="644">
        <v>0</v>
      </c>
      <c r="U512" s="644">
        <v>0</v>
      </c>
      <c r="V512" s="644">
        <v>0</v>
      </c>
      <c r="W512" s="632">
        <v>0</v>
      </c>
      <c r="X512" s="632">
        <v>468348696</v>
      </c>
    </row>
    <row r="513" spans="1:24">
      <c r="A513" s="645">
        <v>495</v>
      </c>
      <c r="B513" s="643" t="s">
        <v>1344</v>
      </c>
      <c r="C513" s="645" t="s">
        <v>441</v>
      </c>
      <c r="D513" s="645" t="s">
        <v>1345</v>
      </c>
      <c r="E513" s="645" t="s">
        <v>904</v>
      </c>
      <c r="F513" s="645" t="s">
        <v>1114</v>
      </c>
      <c r="G513" s="645" t="s">
        <v>777</v>
      </c>
      <c r="H513" s="644">
        <v>1256600000</v>
      </c>
      <c r="I513" s="644">
        <v>0</v>
      </c>
      <c r="J513" s="644">
        <v>0</v>
      </c>
      <c r="K513" s="644">
        <v>0</v>
      </c>
      <c r="L513" s="644">
        <v>0</v>
      </c>
      <c r="M513" s="644">
        <v>1556400000</v>
      </c>
      <c r="N513" s="644">
        <v>-299800000</v>
      </c>
      <c r="O513" s="644">
        <v>0</v>
      </c>
      <c r="P513" s="644">
        <v>1170194100</v>
      </c>
      <c r="Q513" s="644">
        <v>1170194100</v>
      </c>
      <c r="R513" s="644">
        <v>0</v>
      </c>
      <c r="S513" s="644">
        <v>52000000</v>
      </c>
      <c r="T513" s="644">
        <v>52000000</v>
      </c>
      <c r="U513" s="644">
        <v>0</v>
      </c>
      <c r="V513" s="644">
        <v>0</v>
      </c>
      <c r="W513" s="632">
        <v>0</v>
      </c>
      <c r="X513" s="632">
        <v>0</v>
      </c>
    </row>
    <row r="514" spans="1:24">
      <c r="A514" s="645">
        <v>496</v>
      </c>
      <c r="B514" s="643" t="s">
        <v>1344</v>
      </c>
      <c r="C514" s="645" t="s">
        <v>441</v>
      </c>
      <c r="D514" s="645" t="s">
        <v>1345</v>
      </c>
      <c r="E514" s="645" t="s">
        <v>1116</v>
      </c>
      <c r="F514" s="645" t="s">
        <v>1114</v>
      </c>
      <c r="G514" s="645" t="s">
        <v>777</v>
      </c>
      <c r="H514" s="644">
        <v>385091000</v>
      </c>
      <c r="I514" s="644">
        <v>0</v>
      </c>
      <c r="J514" s="644">
        <v>0</v>
      </c>
      <c r="K514" s="644">
        <v>0</v>
      </c>
      <c r="L514" s="644">
        <v>0</v>
      </c>
      <c r="M514" s="644">
        <v>385091000</v>
      </c>
      <c r="N514" s="644">
        <v>0</v>
      </c>
      <c r="O514" s="644">
        <v>0</v>
      </c>
      <c r="P514" s="644">
        <v>385091000</v>
      </c>
      <c r="Q514" s="644">
        <v>385091000</v>
      </c>
      <c r="R514" s="644">
        <v>0</v>
      </c>
      <c r="S514" s="644">
        <v>0</v>
      </c>
      <c r="T514" s="644">
        <v>0</v>
      </c>
      <c r="U514" s="644">
        <v>0</v>
      </c>
      <c r="V514" s="644">
        <v>0</v>
      </c>
      <c r="W514" s="632">
        <v>0</v>
      </c>
      <c r="X514" s="632">
        <v>0</v>
      </c>
    </row>
    <row r="515" spans="1:24">
      <c r="A515" s="645">
        <v>497</v>
      </c>
      <c r="B515" s="643" t="s">
        <v>1346</v>
      </c>
      <c r="C515" s="645" t="s">
        <v>441</v>
      </c>
      <c r="D515" s="645" t="s">
        <v>1345</v>
      </c>
      <c r="E515" s="645" t="s">
        <v>890</v>
      </c>
      <c r="F515" s="645" t="s">
        <v>1114</v>
      </c>
      <c r="G515" s="645" t="s">
        <v>777</v>
      </c>
      <c r="H515" s="644">
        <v>4242100000</v>
      </c>
      <c r="I515" s="644">
        <v>0</v>
      </c>
      <c r="J515" s="644">
        <v>0</v>
      </c>
      <c r="K515" s="644">
        <v>0</v>
      </c>
      <c r="L515" s="644">
        <v>0</v>
      </c>
      <c r="M515" s="644">
        <v>4825000000</v>
      </c>
      <c r="N515" s="644">
        <v>-582900000</v>
      </c>
      <c r="O515" s="644">
        <v>0</v>
      </c>
      <c r="P515" s="644">
        <v>4162369156</v>
      </c>
      <c r="Q515" s="644">
        <v>4162369156</v>
      </c>
      <c r="R515" s="644">
        <v>0</v>
      </c>
      <c r="S515" s="644">
        <v>0</v>
      </c>
      <c r="T515" s="644">
        <v>0</v>
      </c>
      <c r="U515" s="644">
        <v>0</v>
      </c>
      <c r="V515" s="644">
        <v>0</v>
      </c>
      <c r="W515" s="632">
        <v>0</v>
      </c>
      <c r="X515" s="632">
        <v>0</v>
      </c>
    </row>
    <row r="516" spans="1:24">
      <c r="A516" s="645">
        <v>498</v>
      </c>
      <c r="B516" s="643" t="s">
        <v>1346</v>
      </c>
      <c r="C516" s="645" t="s">
        <v>441</v>
      </c>
      <c r="D516" s="645" t="s">
        <v>1345</v>
      </c>
      <c r="E516" s="645" t="s">
        <v>902</v>
      </c>
      <c r="F516" s="645" t="s">
        <v>1114</v>
      </c>
      <c r="G516" s="645" t="s">
        <v>777</v>
      </c>
      <c r="H516" s="644">
        <v>494000000</v>
      </c>
      <c r="I516" s="644">
        <v>0</v>
      </c>
      <c r="J516" s="644">
        <v>0</v>
      </c>
      <c r="K516" s="644">
        <v>0</v>
      </c>
      <c r="L516" s="644">
        <v>0</v>
      </c>
      <c r="M516" s="644">
        <v>494000000</v>
      </c>
      <c r="N516" s="644">
        <v>0</v>
      </c>
      <c r="O516" s="644">
        <v>0</v>
      </c>
      <c r="P516" s="644">
        <v>466005000</v>
      </c>
      <c r="Q516" s="644">
        <v>466005000</v>
      </c>
      <c r="R516" s="644">
        <v>0</v>
      </c>
      <c r="S516" s="644">
        <v>0</v>
      </c>
      <c r="T516" s="644">
        <v>0</v>
      </c>
      <c r="U516" s="644">
        <v>0</v>
      </c>
      <c r="V516" s="644">
        <v>0</v>
      </c>
      <c r="W516" s="632">
        <v>0</v>
      </c>
      <c r="X516" s="632">
        <v>65776965</v>
      </c>
    </row>
    <row r="517" spans="1:24">
      <c r="A517" s="645">
        <v>499</v>
      </c>
      <c r="B517" s="643" t="s">
        <v>1346</v>
      </c>
      <c r="C517" s="645" t="s">
        <v>441</v>
      </c>
      <c r="D517" s="645" t="s">
        <v>1345</v>
      </c>
      <c r="E517" s="645" t="s">
        <v>1115</v>
      </c>
      <c r="F517" s="645" t="s">
        <v>1114</v>
      </c>
      <c r="G517" s="645" t="s">
        <v>777</v>
      </c>
      <c r="H517" s="644">
        <v>9000000</v>
      </c>
      <c r="I517" s="644">
        <v>0</v>
      </c>
      <c r="J517" s="644">
        <v>0</v>
      </c>
      <c r="K517" s="644">
        <v>0</v>
      </c>
      <c r="L517" s="644">
        <v>0</v>
      </c>
      <c r="M517" s="644">
        <v>9000000</v>
      </c>
      <c r="N517" s="644">
        <v>0</v>
      </c>
      <c r="O517" s="644">
        <v>0</v>
      </c>
      <c r="P517" s="644">
        <v>9000000</v>
      </c>
      <c r="Q517" s="644">
        <v>9000000</v>
      </c>
      <c r="R517" s="644">
        <v>0</v>
      </c>
      <c r="S517" s="644">
        <v>0</v>
      </c>
      <c r="T517" s="644">
        <v>0</v>
      </c>
      <c r="U517" s="644">
        <v>0</v>
      </c>
      <c r="V517" s="644">
        <v>0</v>
      </c>
      <c r="W517" s="632">
        <v>0</v>
      </c>
      <c r="X517" s="632">
        <v>0</v>
      </c>
    </row>
    <row r="518" spans="1:24">
      <c r="A518" s="645">
        <v>500</v>
      </c>
      <c r="B518" s="643" t="s">
        <v>1347</v>
      </c>
      <c r="C518" s="645" t="s">
        <v>441</v>
      </c>
      <c r="D518" s="645" t="s">
        <v>1345</v>
      </c>
      <c r="E518" s="645" t="s">
        <v>710</v>
      </c>
      <c r="F518" s="645" t="s">
        <v>1114</v>
      </c>
      <c r="G518" s="645" t="s">
        <v>777</v>
      </c>
      <c r="H518" s="644">
        <v>2391485000</v>
      </c>
      <c r="I518" s="644">
        <v>24585000</v>
      </c>
      <c r="J518" s="644">
        <v>24585000</v>
      </c>
      <c r="K518" s="644">
        <v>0</v>
      </c>
      <c r="L518" s="644">
        <v>0</v>
      </c>
      <c r="M518" s="644">
        <v>2450000000</v>
      </c>
      <c r="N518" s="644">
        <v>-83100000</v>
      </c>
      <c r="O518" s="644">
        <v>0</v>
      </c>
      <c r="P518" s="644">
        <v>2384300000</v>
      </c>
      <c r="Q518" s="644">
        <v>2384300000</v>
      </c>
      <c r="R518" s="644">
        <v>0</v>
      </c>
      <c r="S518" s="644">
        <v>0</v>
      </c>
      <c r="T518" s="644">
        <v>0</v>
      </c>
      <c r="U518" s="644">
        <v>0</v>
      </c>
      <c r="V518" s="644">
        <v>0</v>
      </c>
      <c r="W518" s="632">
        <v>0</v>
      </c>
      <c r="X518" s="632">
        <v>5400000</v>
      </c>
    </row>
    <row r="519" spans="1:24">
      <c r="A519" s="645">
        <v>501</v>
      </c>
      <c r="B519" s="643" t="s">
        <v>1347</v>
      </c>
      <c r="C519" s="645" t="s">
        <v>441</v>
      </c>
      <c r="D519" s="645" t="s">
        <v>1345</v>
      </c>
      <c r="E519" s="645" t="s">
        <v>904</v>
      </c>
      <c r="F519" s="645" t="s">
        <v>1114</v>
      </c>
      <c r="G519" s="645" t="s">
        <v>777</v>
      </c>
      <c r="H519" s="644">
        <v>284600000</v>
      </c>
      <c r="I519" s="644">
        <v>0</v>
      </c>
      <c r="J519" s="644">
        <v>0</v>
      </c>
      <c r="K519" s="644">
        <v>0</v>
      </c>
      <c r="L519" s="644">
        <v>0</v>
      </c>
      <c r="M519" s="644">
        <v>284600000</v>
      </c>
      <c r="N519" s="644">
        <v>0</v>
      </c>
      <c r="O519" s="644">
        <v>0</v>
      </c>
      <c r="P519" s="644">
        <v>266805100</v>
      </c>
      <c r="Q519" s="644">
        <v>266805100</v>
      </c>
      <c r="R519" s="644">
        <v>0</v>
      </c>
      <c r="S519" s="644">
        <v>13000000</v>
      </c>
      <c r="T519" s="644">
        <v>13000000</v>
      </c>
      <c r="U519" s="644">
        <v>0</v>
      </c>
      <c r="V519" s="644">
        <v>0</v>
      </c>
      <c r="W519" s="632">
        <v>0</v>
      </c>
      <c r="X519" s="632">
        <v>0</v>
      </c>
    </row>
    <row r="520" spans="1:24">
      <c r="A520" s="645">
        <v>502</v>
      </c>
      <c r="B520" s="643" t="s">
        <v>1347</v>
      </c>
      <c r="C520" s="645" t="s">
        <v>441</v>
      </c>
      <c r="D520" s="645" t="s">
        <v>1345</v>
      </c>
      <c r="E520" s="645" t="s">
        <v>1115</v>
      </c>
      <c r="F520" s="645" t="s">
        <v>1114</v>
      </c>
      <c r="G520" s="645" t="s">
        <v>777</v>
      </c>
      <c r="H520" s="644">
        <v>1000000</v>
      </c>
      <c r="I520" s="644">
        <v>0</v>
      </c>
      <c r="J520" s="644">
        <v>0</v>
      </c>
      <c r="K520" s="644">
        <v>0</v>
      </c>
      <c r="L520" s="644">
        <v>0</v>
      </c>
      <c r="M520" s="644">
        <v>1000000</v>
      </c>
      <c r="N520" s="644">
        <v>0</v>
      </c>
      <c r="O520" s="644">
        <v>0</v>
      </c>
      <c r="P520" s="644">
        <v>1000000</v>
      </c>
      <c r="Q520" s="644">
        <v>1000000</v>
      </c>
      <c r="R520" s="644">
        <v>0</v>
      </c>
      <c r="S520" s="644">
        <v>0</v>
      </c>
      <c r="T520" s="644">
        <v>0</v>
      </c>
      <c r="U520" s="644">
        <v>0</v>
      </c>
      <c r="V520" s="644">
        <v>0</v>
      </c>
      <c r="W520" s="632">
        <v>0</v>
      </c>
      <c r="X520" s="632">
        <v>0</v>
      </c>
    </row>
    <row r="521" spans="1:24">
      <c r="A521" s="645">
        <v>503</v>
      </c>
      <c r="B521" s="643" t="s">
        <v>1347</v>
      </c>
      <c r="C521" s="645" t="s">
        <v>441</v>
      </c>
      <c r="D521" s="645" t="s">
        <v>1345</v>
      </c>
      <c r="E521" s="645" t="s">
        <v>710</v>
      </c>
      <c r="F521" s="645" t="s">
        <v>1120</v>
      </c>
      <c r="G521" s="645" t="s">
        <v>777</v>
      </c>
      <c r="H521" s="644">
        <v>70000000</v>
      </c>
      <c r="I521" s="644">
        <v>0</v>
      </c>
      <c r="J521" s="644">
        <v>0</v>
      </c>
      <c r="K521" s="644">
        <v>0</v>
      </c>
      <c r="L521" s="644">
        <v>0</v>
      </c>
      <c r="M521" s="644">
        <v>0</v>
      </c>
      <c r="N521" s="644">
        <v>70000000</v>
      </c>
      <c r="O521" s="644">
        <v>0</v>
      </c>
      <c r="P521" s="644">
        <v>70000000</v>
      </c>
      <c r="Q521" s="644">
        <v>70000000</v>
      </c>
      <c r="R521" s="644">
        <v>0</v>
      </c>
      <c r="S521" s="644">
        <v>0</v>
      </c>
      <c r="T521" s="644">
        <v>0</v>
      </c>
      <c r="U521" s="644">
        <v>0</v>
      </c>
      <c r="V521" s="644">
        <v>0</v>
      </c>
      <c r="W521" s="632">
        <v>0</v>
      </c>
      <c r="X521" s="632">
        <v>0</v>
      </c>
    </row>
    <row r="522" spans="1:24">
      <c r="A522" s="645">
        <v>504</v>
      </c>
      <c r="B522" s="643" t="s">
        <v>1348</v>
      </c>
      <c r="C522" s="645" t="s">
        <v>441</v>
      </c>
      <c r="D522" s="645" t="s">
        <v>1345</v>
      </c>
      <c r="E522" s="645" t="s">
        <v>886</v>
      </c>
      <c r="F522" s="645" t="s">
        <v>1114</v>
      </c>
      <c r="G522" s="645" t="s">
        <v>777</v>
      </c>
      <c r="H522" s="644">
        <v>54800000</v>
      </c>
      <c r="I522" s="644">
        <v>97000000</v>
      </c>
      <c r="J522" s="644">
        <v>97000000</v>
      </c>
      <c r="K522" s="644">
        <v>0</v>
      </c>
      <c r="L522" s="644">
        <v>0</v>
      </c>
      <c r="M522" s="644">
        <v>0</v>
      </c>
      <c r="N522" s="644">
        <v>-42200000</v>
      </c>
      <c r="O522" s="644">
        <v>0</v>
      </c>
      <c r="P522" s="644">
        <v>54800000</v>
      </c>
      <c r="Q522" s="644">
        <v>54800000</v>
      </c>
      <c r="R522" s="644">
        <v>0</v>
      </c>
      <c r="S522" s="644">
        <v>0</v>
      </c>
      <c r="T522" s="644">
        <v>0</v>
      </c>
      <c r="U522" s="644">
        <v>0</v>
      </c>
      <c r="V522" s="644">
        <v>0</v>
      </c>
      <c r="W522" s="632">
        <v>0</v>
      </c>
      <c r="X522" s="632">
        <v>1474346</v>
      </c>
    </row>
    <row r="523" spans="1:24">
      <c r="A523" s="645">
        <v>505</v>
      </c>
      <c r="B523" s="643" t="s">
        <v>1348</v>
      </c>
      <c r="C523" s="645" t="s">
        <v>441</v>
      </c>
      <c r="D523" s="645" t="s">
        <v>1345</v>
      </c>
      <c r="E523" s="645" t="s">
        <v>888</v>
      </c>
      <c r="F523" s="645" t="s">
        <v>1114</v>
      </c>
      <c r="G523" s="645" t="s">
        <v>777</v>
      </c>
      <c r="H523" s="644">
        <v>438000000</v>
      </c>
      <c r="I523" s="644">
        <v>0</v>
      </c>
      <c r="J523" s="644">
        <v>0</v>
      </c>
      <c r="K523" s="644">
        <v>0</v>
      </c>
      <c r="L523" s="644">
        <v>0</v>
      </c>
      <c r="M523" s="644">
        <v>310000000</v>
      </c>
      <c r="N523" s="644">
        <v>128000000</v>
      </c>
      <c r="O523" s="644">
        <v>0</v>
      </c>
      <c r="P523" s="644">
        <v>438000000</v>
      </c>
      <c r="Q523" s="644">
        <v>438000000</v>
      </c>
      <c r="R523" s="644">
        <v>0</v>
      </c>
      <c r="S523" s="644">
        <v>0</v>
      </c>
      <c r="T523" s="644">
        <v>0</v>
      </c>
      <c r="U523" s="644">
        <v>0</v>
      </c>
      <c r="V523" s="644">
        <v>0</v>
      </c>
      <c r="W523" s="632">
        <v>0</v>
      </c>
      <c r="X523" s="632">
        <v>0</v>
      </c>
    </row>
    <row r="524" spans="1:24">
      <c r="A524" s="645">
        <v>506</v>
      </c>
      <c r="B524" s="643" t="s">
        <v>1348</v>
      </c>
      <c r="C524" s="645" t="s">
        <v>441</v>
      </c>
      <c r="D524" s="645" t="s">
        <v>1345</v>
      </c>
      <c r="E524" s="645" t="s">
        <v>890</v>
      </c>
      <c r="F524" s="645" t="s">
        <v>1114</v>
      </c>
      <c r="G524" s="645" t="s">
        <v>777</v>
      </c>
      <c r="H524" s="644">
        <v>4904000000</v>
      </c>
      <c r="I524" s="644">
        <v>0</v>
      </c>
      <c r="J524" s="644">
        <v>0</v>
      </c>
      <c r="K524" s="644">
        <v>0</v>
      </c>
      <c r="L524" s="644">
        <v>0</v>
      </c>
      <c r="M524" s="644">
        <v>4904000000</v>
      </c>
      <c r="N524" s="644">
        <v>0</v>
      </c>
      <c r="O524" s="644">
        <v>0</v>
      </c>
      <c r="P524" s="644">
        <v>4815856000</v>
      </c>
      <c r="Q524" s="644">
        <v>4815856000</v>
      </c>
      <c r="R524" s="644">
        <v>0</v>
      </c>
      <c r="S524" s="644">
        <v>0</v>
      </c>
      <c r="T524" s="644">
        <v>0</v>
      </c>
      <c r="U524" s="644">
        <v>0</v>
      </c>
      <c r="V524" s="644">
        <v>0</v>
      </c>
      <c r="W524" s="632">
        <v>0</v>
      </c>
      <c r="X524" s="632">
        <v>0</v>
      </c>
    </row>
    <row r="525" spans="1:24">
      <c r="A525" s="645">
        <v>507</v>
      </c>
      <c r="B525" s="643" t="s">
        <v>1348</v>
      </c>
      <c r="C525" s="645" t="s">
        <v>441</v>
      </c>
      <c r="D525" s="645" t="s">
        <v>1345</v>
      </c>
      <c r="E525" s="645" t="s">
        <v>908</v>
      </c>
      <c r="F525" s="645" t="s">
        <v>1114</v>
      </c>
      <c r="G525" s="645" t="s">
        <v>777</v>
      </c>
      <c r="H525" s="644">
        <v>1041100000</v>
      </c>
      <c r="I525" s="644">
        <v>0</v>
      </c>
      <c r="J525" s="644">
        <v>0</v>
      </c>
      <c r="K525" s="644">
        <v>0</v>
      </c>
      <c r="L525" s="644">
        <v>0</v>
      </c>
      <c r="M525" s="644">
        <v>1041100000</v>
      </c>
      <c r="N525" s="644">
        <v>0</v>
      </c>
      <c r="O525" s="644">
        <v>0</v>
      </c>
      <c r="P525" s="644">
        <v>996572100</v>
      </c>
      <c r="Q525" s="644">
        <v>996572100</v>
      </c>
      <c r="R525" s="644">
        <v>0</v>
      </c>
      <c r="S525" s="644">
        <v>0</v>
      </c>
      <c r="T525" s="644">
        <v>0</v>
      </c>
      <c r="U525" s="644">
        <v>0</v>
      </c>
      <c r="V525" s="644">
        <v>0</v>
      </c>
      <c r="W525" s="632">
        <v>0</v>
      </c>
      <c r="X525" s="632">
        <v>23564700</v>
      </c>
    </row>
    <row r="526" spans="1:24">
      <c r="A526" s="645">
        <v>508</v>
      </c>
      <c r="B526" s="643" t="s">
        <v>1348</v>
      </c>
      <c r="C526" s="645" t="s">
        <v>441</v>
      </c>
      <c r="D526" s="645" t="s">
        <v>1345</v>
      </c>
      <c r="E526" s="645" t="s">
        <v>1115</v>
      </c>
      <c r="F526" s="645" t="s">
        <v>1114</v>
      </c>
      <c r="G526" s="645" t="s">
        <v>777</v>
      </c>
      <c r="H526" s="644">
        <v>8500000</v>
      </c>
      <c r="I526" s="644">
        <v>0</v>
      </c>
      <c r="J526" s="644">
        <v>0</v>
      </c>
      <c r="K526" s="644">
        <v>0</v>
      </c>
      <c r="L526" s="644">
        <v>0</v>
      </c>
      <c r="M526" s="644">
        <v>8500000</v>
      </c>
      <c r="N526" s="644">
        <v>0</v>
      </c>
      <c r="O526" s="644">
        <v>0</v>
      </c>
      <c r="P526" s="644">
        <v>8500000</v>
      </c>
      <c r="Q526" s="644">
        <v>8500000</v>
      </c>
      <c r="R526" s="644">
        <v>0</v>
      </c>
      <c r="S526" s="644">
        <v>0</v>
      </c>
      <c r="T526" s="644">
        <v>0</v>
      </c>
      <c r="U526" s="644">
        <v>0</v>
      </c>
      <c r="V526" s="644">
        <v>0</v>
      </c>
      <c r="W526" s="632">
        <v>0</v>
      </c>
      <c r="X526" s="632">
        <v>0</v>
      </c>
    </row>
    <row r="527" spans="1:24" ht="22.5">
      <c r="A527" s="645">
        <v>509</v>
      </c>
      <c r="B527" s="643" t="s">
        <v>1349</v>
      </c>
      <c r="C527" s="645" t="s">
        <v>441</v>
      </c>
      <c r="D527" s="645" t="s">
        <v>1345</v>
      </c>
      <c r="E527" s="645" t="s">
        <v>904</v>
      </c>
      <c r="F527" s="645" t="s">
        <v>1114</v>
      </c>
      <c r="G527" s="645" t="s">
        <v>777</v>
      </c>
      <c r="H527" s="644">
        <v>0</v>
      </c>
      <c r="I527" s="644">
        <v>0</v>
      </c>
      <c r="J527" s="644">
        <v>0</v>
      </c>
      <c r="K527" s="644">
        <v>0</v>
      </c>
      <c r="L527" s="644">
        <v>0</v>
      </c>
      <c r="M527" s="644">
        <v>311000000</v>
      </c>
      <c r="N527" s="644">
        <v>-311000000</v>
      </c>
      <c r="O527" s="644">
        <v>0</v>
      </c>
      <c r="P527" s="644">
        <v>0</v>
      </c>
      <c r="Q527" s="644">
        <v>0</v>
      </c>
      <c r="R527" s="644">
        <v>0</v>
      </c>
      <c r="S527" s="644">
        <v>0</v>
      </c>
      <c r="T527" s="644">
        <v>0</v>
      </c>
      <c r="U527" s="644">
        <v>0</v>
      </c>
      <c r="V527" s="644">
        <v>0</v>
      </c>
      <c r="W527" s="632">
        <v>0</v>
      </c>
      <c r="X527" s="632">
        <v>91304000</v>
      </c>
    </row>
    <row r="528" spans="1:24" ht="22.5">
      <c r="A528" s="645">
        <v>510</v>
      </c>
      <c r="B528" s="643" t="s">
        <v>1349</v>
      </c>
      <c r="C528" s="645" t="s">
        <v>441</v>
      </c>
      <c r="D528" s="645" t="s">
        <v>1345</v>
      </c>
      <c r="E528" s="645" t="s">
        <v>1116</v>
      </c>
      <c r="F528" s="645" t="s">
        <v>1114</v>
      </c>
      <c r="G528" s="645" t="s">
        <v>777</v>
      </c>
      <c r="H528" s="644">
        <v>192140000</v>
      </c>
      <c r="I528" s="644">
        <v>0</v>
      </c>
      <c r="J528" s="644">
        <v>0</v>
      </c>
      <c r="K528" s="644">
        <v>0</v>
      </c>
      <c r="L528" s="644">
        <v>0</v>
      </c>
      <c r="M528" s="644">
        <v>0</v>
      </c>
      <c r="N528" s="644">
        <v>192140000</v>
      </c>
      <c r="O528" s="644">
        <v>0</v>
      </c>
      <c r="P528" s="644">
        <v>90000000</v>
      </c>
      <c r="Q528" s="644">
        <v>90000000</v>
      </c>
      <c r="R528" s="644">
        <v>0</v>
      </c>
      <c r="S528" s="644">
        <v>0</v>
      </c>
      <c r="T528" s="644">
        <v>0</v>
      </c>
      <c r="U528" s="644">
        <v>0</v>
      </c>
      <c r="V528" s="644">
        <v>0</v>
      </c>
      <c r="W528" s="632">
        <v>0</v>
      </c>
      <c r="X528" s="632">
        <v>0</v>
      </c>
    </row>
    <row r="529" spans="1:24" ht="22.5">
      <c r="A529" s="645">
        <v>511</v>
      </c>
      <c r="B529" s="643" t="s">
        <v>1350</v>
      </c>
      <c r="C529" s="645" t="s">
        <v>441</v>
      </c>
      <c r="D529" s="645" t="s">
        <v>1345</v>
      </c>
      <c r="E529" s="645" t="s">
        <v>905</v>
      </c>
      <c r="F529" s="645" t="s">
        <v>1114</v>
      </c>
      <c r="G529" s="645" t="s">
        <v>777</v>
      </c>
      <c r="H529" s="644">
        <v>273000000</v>
      </c>
      <c r="I529" s="644">
        <v>0</v>
      </c>
      <c r="J529" s="644">
        <v>0</v>
      </c>
      <c r="K529" s="644">
        <v>0</v>
      </c>
      <c r="L529" s="644">
        <v>0</v>
      </c>
      <c r="M529" s="644">
        <v>273000000</v>
      </c>
      <c r="N529" s="644">
        <v>0</v>
      </c>
      <c r="O529" s="644">
        <v>0</v>
      </c>
      <c r="P529" s="644">
        <v>267091060</v>
      </c>
      <c r="Q529" s="644">
        <v>267091060</v>
      </c>
      <c r="R529" s="644">
        <v>0</v>
      </c>
      <c r="S529" s="644">
        <v>0</v>
      </c>
      <c r="T529" s="644">
        <v>0</v>
      </c>
      <c r="U529" s="644">
        <v>0</v>
      </c>
      <c r="V529" s="644">
        <v>0</v>
      </c>
      <c r="W529" s="632">
        <v>0</v>
      </c>
      <c r="X529" s="632">
        <v>0</v>
      </c>
    </row>
    <row r="530" spans="1:24" ht="22.5">
      <c r="A530" s="645">
        <v>512</v>
      </c>
      <c r="B530" s="643" t="s">
        <v>1350</v>
      </c>
      <c r="C530" s="645" t="s">
        <v>441</v>
      </c>
      <c r="D530" s="645" t="s">
        <v>1345</v>
      </c>
      <c r="E530" s="645" t="s">
        <v>1115</v>
      </c>
      <c r="F530" s="645" t="s">
        <v>1114</v>
      </c>
      <c r="G530" s="645" t="s">
        <v>777</v>
      </c>
      <c r="H530" s="644">
        <v>1000000</v>
      </c>
      <c r="I530" s="644">
        <v>0</v>
      </c>
      <c r="J530" s="644">
        <v>0</v>
      </c>
      <c r="K530" s="644">
        <v>0</v>
      </c>
      <c r="L530" s="644">
        <v>0</v>
      </c>
      <c r="M530" s="644">
        <v>1000000</v>
      </c>
      <c r="N530" s="644">
        <v>0</v>
      </c>
      <c r="O530" s="644">
        <v>0</v>
      </c>
      <c r="P530" s="644">
        <v>1000000</v>
      </c>
      <c r="Q530" s="644">
        <v>1000000</v>
      </c>
      <c r="R530" s="644">
        <v>0</v>
      </c>
      <c r="S530" s="644">
        <v>0</v>
      </c>
      <c r="T530" s="644">
        <v>0</v>
      </c>
      <c r="U530" s="644">
        <v>0</v>
      </c>
      <c r="V530" s="644">
        <v>0</v>
      </c>
      <c r="W530" s="632">
        <v>0</v>
      </c>
      <c r="X530" s="632">
        <v>0</v>
      </c>
    </row>
    <row r="531" spans="1:24" ht="22.5">
      <c r="A531" s="645">
        <v>513</v>
      </c>
      <c r="B531" s="643" t="s">
        <v>1350</v>
      </c>
      <c r="C531" s="645" t="s">
        <v>441</v>
      </c>
      <c r="D531" s="645" t="s">
        <v>1345</v>
      </c>
      <c r="E531" s="645" t="s">
        <v>905</v>
      </c>
      <c r="F531" s="645" t="s">
        <v>1120</v>
      </c>
      <c r="G531" s="645" t="s">
        <v>777</v>
      </c>
      <c r="H531" s="644">
        <v>2375000000</v>
      </c>
      <c r="I531" s="644">
        <v>0</v>
      </c>
      <c r="J531" s="644">
        <v>0</v>
      </c>
      <c r="K531" s="644">
        <v>0</v>
      </c>
      <c r="L531" s="644">
        <v>0</v>
      </c>
      <c r="M531" s="644">
        <v>2375000000</v>
      </c>
      <c r="N531" s="644">
        <v>0</v>
      </c>
      <c r="O531" s="644">
        <v>0</v>
      </c>
      <c r="P531" s="644">
        <v>2005280800</v>
      </c>
      <c r="Q531" s="644">
        <v>2005280800</v>
      </c>
      <c r="R531" s="644">
        <v>0</v>
      </c>
      <c r="S531" s="644">
        <v>0</v>
      </c>
      <c r="T531" s="644">
        <v>0</v>
      </c>
      <c r="U531" s="644">
        <v>0</v>
      </c>
      <c r="V531" s="644">
        <v>0</v>
      </c>
      <c r="W531" s="632">
        <v>0</v>
      </c>
      <c r="X531" s="632">
        <v>430583132</v>
      </c>
    </row>
    <row r="532" spans="1:24" ht="22.5">
      <c r="A532" s="645">
        <v>514</v>
      </c>
      <c r="B532" s="643" t="s">
        <v>1350</v>
      </c>
      <c r="C532" s="645" t="s">
        <v>441</v>
      </c>
      <c r="D532" s="645" t="s">
        <v>1345</v>
      </c>
      <c r="E532" s="645" t="s">
        <v>905</v>
      </c>
      <c r="F532" s="645" t="s">
        <v>1351</v>
      </c>
      <c r="G532" s="645" t="s">
        <v>777</v>
      </c>
      <c r="H532" s="644">
        <v>400000000</v>
      </c>
      <c r="I532" s="644">
        <v>0</v>
      </c>
      <c r="J532" s="644">
        <v>0</v>
      </c>
      <c r="K532" s="644">
        <v>0</v>
      </c>
      <c r="L532" s="644">
        <v>0</v>
      </c>
      <c r="M532" s="644">
        <v>400000000</v>
      </c>
      <c r="N532" s="644">
        <v>0</v>
      </c>
      <c r="O532" s="644">
        <v>0</v>
      </c>
      <c r="P532" s="644">
        <v>244325650</v>
      </c>
      <c r="Q532" s="644">
        <v>244325650</v>
      </c>
      <c r="R532" s="644">
        <v>0</v>
      </c>
      <c r="S532" s="644">
        <v>0</v>
      </c>
      <c r="T532" s="644">
        <v>0</v>
      </c>
      <c r="U532" s="644">
        <v>0</v>
      </c>
      <c r="V532" s="644">
        <v>0</v>
      </c>
      <c r="W532" s="632">
        <v>0</v>
      </c>
      <c r="X532" s="632">
        <v>0</v>
      </c>
    </row>
    <row r="533" spans="1:24" ht="22.5">
      <c r="A533" s="645">
        <v>515</v>
      </c>
      <c r="B533" s="643" t="s">
        <v>1352</v>
      </c>
      <c r="C533" s="645" t="s">
        <v>441</v>
      </c>
      <c r="D533" s="645" t="s">
        <v>1345</v>
      </c>
      <c r="E533" s="645" t="s">
        <v>670</v>
      </c>
      <c r="F533" s="645" t="s">
        <v>1114</v>
      </c>
      <c r="G533" s="645" t="s">
        <v>777</v>
      </c>
      <c r="H533" s="644">
        <v>85937000</v>
      </c>
      <c r="I533" s="644">
        <v>0</v>
      </c>
      <c r="J533" s="644">
        <v>0</v>
      </c>
      <c r="K533" s="644">
        <v>0</v>
      </c>
      <c r="L533" s="644">
        <v>0</v>
      </c>
      <c r="M533" s="644">
        <v>0</v>
      </c>
      <c r="N533" s="644">
        <v>85937000</v>
      </c>
      <c r="O533" s="644">
        <v>0</v>
      </c>
      <c r="P533" s="644">
        <v>82337100</v>
      </c>
      <c r="Q533" s="644">
        <v>82337100</v>
      </c>
      <c r="R533" s="644">
        <v>0</v>
      </c>
      <c r="S533" s="644">
        <v>0</v>
      </c>
      <c r="T533" s="644">
        <v>0</v>
      </c>
      <c r="U533" s="644">
        <v>0</v>
      </c>
      <c r="V533" s="644">
        <v>0</v>
      </c>
      <c r="W533" s="632">
        <v>0</v>
      </c>
      <c r="X533" s="632">
        <v>0</v>
      </c>
    </row>
    <row r="534" spans="1:24" ht="45">
      <c r="A534" s="645">
        <v>516</v>
      </c>
      <c r="B534" s="643" t="s">
        <v>1353</v>
      </c>
      <c r="C534" s="645" t="s">
        <v>441</v>
      </c>
      <c r="D534" s="645" t="s">
        <v>1345</v>
      </c>
      <c r="E534" s="645" t="s">
        <v>1116</v>
      </c>
      <c r="F534" s="645" t="s">
        <v>1114</v>
      </c>
      <c r="G534" s="645" t="s">
        <v>777</v>
      </c>
      <c r="H534" s="644">
        <v>219131000</v>
      </c>
      <c r="I534" s="644">
        <v>0</v>
      </c>
      <c r="J534" s="644">
        <v>0</v>
      </c>
      <c r="K534" s="644">
        <v>0</v>
      </c>
      <c r="L534" s="644">
        <v>0</v>
      </c>
      <c r="M534" s="644">
        <v>0</v>
      </c>
      <c r="N534" s="644">
        <v>219131000</v>
      </c>
      <c r="O534" s="644">
        <v>0</v>
      </c>
      <c r="P534" s="644">
        <v>219131000</v>
      </c>
      <c r="Q534" s="644">
        <v>219131000</v>
      </c>
      <c r="R534" s="644">
        <v>0</v>
      </c>
      <c r="S534" s="644">
        <v>0</v>
      </c>
      <c r="T534" s="644">
        <v>0</v>
      </c>
      <c r="U534" s="644">
        <v>0</v>
      </c>
      <c r="V534" s="644">
        <v>0</v>
      </c>
      <c r="W534" s="632">
        <v>0</v>
      </c>
      <c r="X534" s="632">
        <v>0</v>
      </c>
    </row>
    <row r="535" spans="1:24" ht="22.5">
      <c r="A535" s="645">
        <v>517</v>
      </c>
      <c r="B535" s="643" t="s">
        <v>1112</v>
      </c>
      <c r="C535" s="645" t="s">
        <v>442</v>
      </c>
      <c r="D535" s="645" t="s">
        <v>1113</v>
      </c>
      <c r="E535" s="645" t="s">
        <v>905</v>
      </c>
      <c r="F535" s="645" t="s">
        <v>1114</v>
      </c>
      <c r="G535" s="645" t="s">
        <v>777</v>
      </c>
      <c r="H535" s="644">
        <v>4270859000</v>
      </c>
      <c r="I535" s="644">
        <v>0</v>
      </c>
      <c r="J535" s="644">
        <v>0</v>
      </c>
      <c r="K535" s="644">
        <v>0</v>
      </c>
      <c r="L535" s="644">
        <v>0</v>
      </c>
      <c r="M535" s="644">
        <v>4270859000</v>
      </c>
      <c r="N535" s="644">
        <v>0</v>
      </c>
      <c r="O535" s="644">
        <v>0</v>
      </c>
      <c r="P535" s="644">
        <v>4270859000</v>
      </c>
      <c r="Q535" s="644">
        <v>4270859000</v>
      </c>
      <c r="R535" s="644">
        <v>0</v>
      </c>
      <c r="S535" s="644">
        <v>0</v>
      </c>
      <c r="T535" s="644">
        <v>0</v>
      </c>
      <c r="U535" s="644">
        <v>0</v>
      </c>
      <c r="V535" s="644">
        <v>0</v>
      </c>
      <c r="W535" s="632">
        <v>0</v>
      </c>
      <c r="X535" s="632">
        <v>0</v>
      </c>
    </row>
    <row r="536" spans="1:24">
      <c r="A536" s="645">
        <v>518</v>
      </c>
      <c r="B536" s="643" t="s">
        <v>1117</v>
      </c>
      <c r="C536" s="645" t="s">
        <v>442</v>
      </c>
      <c r="D536" s="645" t="s">
        <v>1118</v>
      </c>
      <c r="E536" s="645" t="s">
        <v>905</v>
      </c>
      <c r="F536" s="645" t="s">
        <v>1114</v>
      </c>
      <c r="G536" s="645" t="s">
        <v>777</v>
      </c>
      <c r="H536" s="644">
        <v>9409687207</v>
      </c>
      <c r="I536" s="644">
        <v>694332207</v>
      </c>
      <c r="J536" s="644">
        <v>486735207</v>
      </c>
      <c r="K536" s="644">
        <v>0</v>
      </c>
      <c r="L536" s="644">
        <v>207597000</v>
      </c>
      <c r="M536" s="644">
        <v>8693841000</v>
      </c>
      <c r="N536" s="644">
        <v>21514000</v>
      </c>
      <c r="O536" s="644">
        <v>0</v>
      </c>
      <c r="P536" s="644">
        <v>8732543348</v>
      </c>
      <c r="Q536" s="644">
        <v>8732543348</v>
      </c>
      <c r="R536" s="644">
        <v>0</v>
      </c>
      <c r="S536" s="644">
        <v>677143859</v>
      </c>
      <c r="T536" s="644">
        <v>486123859</v>
      </c>
      <c r="U536" s="644">
        <v>0</v>
      </c>
      <c r="V536" s="644">
        <v>191020000</v>
      </c>
      <c r="W536" s="632">
        <v>0</v>
      </c>
      <c r="X536" s="632">
        <v>0</v>
      </c>
    </row>
    <row r="537" spans="1:24" ht="22.5">
      <c r="A537" s="645">
        <v>519</v>
      </c>
      <c r="B537" s="643" t="s">
        <v>1119</v>
      </c>
      <c r="C537" s="645" t="s">
        <v>442</v>
      </c>
      <c r="D537" s="645" t="s">
        <v>1118</v>
      </c>
      <c r="E537" s="645" t="s">
        <v>641</v>
      </c>
      <c r="F537" s="645" t="s">
        <v>1114</v>
      </c>
      <c r="G537" s="645" t="s">
        <v>777</v>
      </c>
      <c r="H537" s="644">
        <v>83794731</v>
      </c>
      <c r="I537" s="644">
        <v>83794731</v>
      </c>
      <c r="J537" s="644">
        <v>74229871</v>
      </c>
      <c r="K537" s="644">
        <v>0</v>
      </c>
      <c r="L537" s="644">
        <v>9564860</v>
      </c>
      <c r="M537" s="644">
        <v>0</v>
      </c>
      <c r="N537" s="644">
        <v>0</v>
      </c>
      <c r="O537" s="644">
        <v>0</v>
      </c>
      <c r="P537" s="644">
        <v>66825860</v>
      </c>
      <c r="Q537" s="644">
        <v>66825860</v>
      </c>
      <c r="R537" s="644">
        <v>0</v>
      </c>
      <c r="S537" s="644">
        <v>16968871</v>
      </c>
      <c r="T537" s="644">
        <v>16968871</v>
      </c>
      <c r="U537" s="644">
        <v>0</v>
      </c>
      <c r="V537" s="644">
        <v>0</v>
      </c>
      <c r="W537" s="632">
        <v>0</v>
      </c>
      <c r="X537" s="632">
        <v>100000000</v>
      </c>
    </row>
    <row r="538" spans="1:24" ht="22.5">
      <c r="A538" s="645">
        <v>520</v>
      </c>
      <c r="B538" s="643" t="s">
        <v>1119</v>
      </c>
      <c r="C538" s="645" t="s">
        <v>442</v>
      </c>
      <c r="D538" s="645" t="s">
        <v>1118</v>
      </c>
      <c r="E538" s="645" t="s">
        <v>710</v>
      </c>
      <c r="F538" s="645" t="s">
        <v>1114</v>
      </c>
      <c r="G538" s="645" t="s">
        <v>777</v>
      </c>
      <c r="H538" s="644">
        <v>412881345</v>
      </c>
      <c r="I538" s="644">
        <v>412881345</v>
      </c>
      <c r="J538" s="644">
        <v>412881345</v>
      </c>
      <c r="K538" s="644">
        <v>0</v>
      </c>
      <c r="L538" s="644">
        <v>0</v>
      </c>
      <c r="M538" s="644">
        <v>0</v>
      </c>
      <c r="N538" s="644">
        <v>0</v>
      </c>
      <c r="O538" s="644">
        <v>0</v>
      </c>
      <c r="P538" s="644">
        <v>365086900</v>
      </c>
      <c r="Q538" s="644">
        <v>365086900</v>
      </c>
      <c r="R538" s="644">
        <v>0</v>
      </c>
      <c r="S538" s="644">
        <v>47794445</v>
      </c>
      <c r="T538" s="644">
        <v>47794445</v>
      </c>
      <c r="U538" s="644">
        <v>0</v>
      </c>
      <c r="V538" s="644">
        <v>0</v>
      </c>
      <c r="W538" s="632">
        <v>0</v>
      </c>
      <c r="X538" s="632">
        <v>323663921</v>
      </c>
    </row>
    <row r="539" spans="1:24" ht="22.5">
      <c r="A539" s="645">
        <v>521</v>
      </c>
      <c r="B539" s="643" t="s">
        <v>1119</v>
      </c>
      <c r="C539" s="645" t="s">
        <v>442</v>
      </c>
      <c r="D539" s="645" t="s">
        <v>1118</v>
      </c>
      <c r="E539" s="645" t="s">
        <v>900</v>
      </c>
      <c r="F539" s="645" t="s">
        <v>1114</v>
      </c>
      <c r="G539" s="645" t="s">
        <v>777</v>
      </c>
      <c r="H539" s="644">
        <v>1905108197</v>
      </c>
      <c r="I539" s="644">
        <v>82774197</v>
      </c>
      <c r="J539" s="644">
        <v>61579667</v>
      </c>
      <c r="K539" s="644">
        <v>0</v>
      </c>
      <c r="L539" s="644">
        <v>21194530</v>
      </c>
      <c r="M539" s="644">
        <v>1865000000</v>
      </c>
      <c r="N539" s="644">
        <v>-42666000</v>
      </c>
      <c r="O539" s="644">
        <v>0</v>
      </c>
      <c r="P539" s="644">
        <v>1889502772</v>
      </c>
      <c r="Q539" s="644">
        <v>1889502772</v>
      </c>
      <c r="R539" s="644">
        <v>0</v>
      </c>
      <c r="S539" s="644">
        <v>15605425</v>
      </c>
      <c r="T539" s="644">
        <v>15605425</v>
      </c>
      <c r="U539" s="644">
        <v>0</v>
      </c>
      <c r="V539" s="644">
        <v>0</v>
      </c>
      <c r="W539" s="632">
        <v>0</v>
      </c>
      <c r="X539" s="632">
        <v>0</v>
      </c>
    </row>
    <row r="540" spans="1:24">
      <c r="A540" s="645">
        <v>522</v>
      </c>
      <c r="B540" s="643" t="s">
        <v>1121</v>
      </c>
      <c r="C540" s="645" t="s">
        <v>442</v>
      </c>
      <c r="D540" s="645" t="s">
        <v>1118</v>
      </c>
      <c r="E540" s="645" t="s">
        <v>905</v>
      </c>
      <c r="F540" s="645" t="s">
        <v>1114</v>
      </c>
      <c r="G540" s="645" t="s">
        <v>777</v>
      </c>
      <c r="H540" s="644">
        <v>865045392</v>
      </c>
      <c r="I540" s="644">
        <v>131886392</v>
      </c>
      <c r="J540" s="644">
        <v>131886392</v>
      </c>
      <c r="K540" s="644">
        <v>0</v>
      </c>
      <c r="L540" s="644">
        <v>0</v>
      </c>
      <c r="M540" s="644">
        <v>733159000</v>
      </c>
      <c r="N540" s="644">
        <v>0</v>
      </c>
      <c r="O540" s="644">
        <v>0</v>
      </c>
      <c r="P540" s="644">
        <v>686846570</v>
      </c>
      <c r="Q540" s="644">
        <v>686846570</v>
      </c>
      <c r="R540" s="644">
        <v>0</v>
      </c>
      <c r="S540" s="644">
        <v>178198822</v>
      </c>
      <c r="T540" s="644">
        <v>178198822</v>
      </c>
      <c r="U540" s="644">
        <v>0</v>
      </c>
      <c r="V540" s="644">
        <v>0</v>
      </c>
      <c r="W540" s="632">
        <v>0</v>
      </c>
      <c r="X540" s="632">
        <v>0</v>
      </c>
    </row>
    <row r="541" spans="1:24" ht="22.5">
      <c r="A541" s="645">
        <v>523</v>
      </c>
      <c r="B541" s="643" t="s">
        <v>1122</v>
      </c>
      <c r="C541" s="645" t="s">
        <v>442</v>
      </c>
      <c r="D541" s="645" t="s">
        <v>1118</v>
      </c>
      <c r="E541" s="645" t="s">
        <v>904</v>
      </c>
      <c r="F541" s="645" t="s">
        <v>1114</v>
      </c>
      <c r="G541" s="645" t="s">
        <v>777</v>
      </c>
      <c r="H541" s="644">
        <v>1389975869</v>
      </c>
      <c r="I541" s="644">
        <v>45975869</v>
      </c>
      <c r="J541" s="644">
        <v>45975869</v>
      </c>
      <c r="K541" s="644">
        <v>0</v>
      </c>
      <c r="L541" s="644">
        <v>0</v>
      </c>
      <c r="M541" s="644">
        <v>1344000000</v>
      </c>
      <c r="N541" s="644">
        <v>0</v>
      </c>
      <c r="O541" s="644">
        <v>0</v>
      </c>
      <c r="P541" s="644">
        <v>1385366589</v>
      </c>
      <c r="Q541" s="644">
        <v>1385366589</v>
      </c>
      <c r="R541" s="644">
        <v>0</v>
      </c>
      <c r="S541" s="644">
        <v>4609280</v>
      </c>
      <c r="T541" s="644">
        <v>4609280</v>
      </c>
      <c r="U541" s="644">
        <v>0</v>
      </c>
      <c r="V541" s="644">
        <v>0</v>
      </c>
      <c r="W541" s="632">
        <v>0</v>
      </c>
      <c r="X541" s="632">
        <v>0</v>
      </c>
    </row>
    <row r="542" spans="1:24">
      <c r="A542" s="645">
        <v>524</v>
      </c>
      <c r="B542" s="643" t="s">
        <v>1123</v>
      </c>
      <c r="C542" s="645" t="s">
        <v>442</v>
      </c>
      <c r="D542" s="645" t="s">
        <v>1124</v>
      </c>
      <c r="E542" s="645" t="s">
        <v>905</v>
      </c>
      <c r="F542" s="645" t="s">
        <v>1114</v>
      </c>
      <c r="G542" s="645" t="s">
        <v>777</v>
      </c>
      <c r="H542" s="644">
        <v>2475580000</v>
      </c>
      <c r="I542" s="644">
        <v>0</v>
      </c>
      <c r="J542" s="644">
        <v>0</v>
      </c>
      <c r="K542" s="644">
        <v>0</v>
      </c>
      <c r="L542" s="644">
        <v>0</v>
      </c>
      <c r="M542" s="644">
        <v>2475580000</v>
      </c>
      <c r="N542" s="644">
        <v>0</v>
      </c>
      <c r="O542" s="644">
        <v>0</v>
      </c>
      <c r="P542" s="644">
        <v>2475580000</v>
      </c>
      <c r="Q542" s="644">
        <v>2475580000</v>
      </c>
      <c r="R542" s="644">
        <v>0</v>
      </c>
      <c r="S542" s="644">
        <v>0</v>
      </c>
      <c r="T542" s="644">
        <v>0</v>
      </c>
      <c r="U542" s="644">
        <v>0</v>
      </c>
      <c r="V542" s="644">
        <v>0</v>
      </c>
      <c r="W542" s="632">
        <v>0</v>
      </c>
      <c r="X542" s="632">
        <v>132599506</v>
      </c>
    </row>
    <row r="543" spans="1:24">
      <c r="A543" s="645">
        <v>525</v>
      </c>
      <c r="B543" s="643" t="s">
        <v>1126</v>
      </c>
      <c r="C543" s="645" t="s">
        <v>442</v>
      </c>
      <c r="D543" s="645" t="s">
        <v>1127</v>
      </c>
      <c r="E543" s="645" t="s">
        <v>890</v>
      </c>
      <c r="F543" s="645" t="s">
        <v>1114</v>
      </c>
      <c r="G543" s="645" t="s">
        <v>777</v>
      </c>
      <c r="H543" s="644">
        <v>25527480165</v>
      </c>
      <c r="I543" s="644">
        <v>405630025</v>
      </c>
      <c r="J543" s="644">
        <v>393921565</v>
      </c>
      <c r="K543" s="644">
        <v>0</v>
      </c>
      <c r="L543" s="644">
        <v>11708460</v>
      </c>
      <c r="M543" s="644">
        <v>23655490225</v>
      </c>
      <c r="N543" s="644">
        <v>1466359915</v>
      </c>
      <c r="O543" s="644">
        <v>0</v>
      </c>
      <c r="P543" s="644">
        <v>25468427379</v>
      </c>
      <c r="Q543" s="644">
        <v>25468427379</v>
      </c>
      <c r="R543" s="644">
        <v>0</v>
      </c>
      <c r="S543" s="644">
        <v>59052786</v>
      </c>
      <c r="T543" s="644">
        <v>58790251</v>
      </c>
      <c r="U543" s="644">
        <v>0</v>
      </c>
      <c r="V543" s="644">
        <v>262535</v>
      </c>
      <c r="W543" s="632">
        <v>0</v>
      </c>
      <c r="X543" s="632">
        <v>18483000</v>
      </c>
    </row>
    <row r="544" spans="1:24" ht="22.5">
      <c r="A544" s="645">
        <v>526</v>
      </c>
      <c r="B544" s="643" t="s">
        <v>1130</v>
      </c>
      <c r="C544" s="645" t="s">
        <v>442</v>
      </c>
      <c r="D544" s="645" t="s">
        <v>1127</v>
      </c>
      <c r="E544" s="645" t="s">
        <v>889</v>
      </c>
      <c r="F544" s="645" t="s">
        <v>1114</v>
      </c>
      <c r="G544" s="645" t="s">
        <v>777</v>
      </c>
      <c r="H544" s="644">
        <v>2241724578</v>
      </c>
      <c r="I544" s="644">
        <v>0</v>
      </c>
      <c r="J544" s="644">
        <v>0</v>
      </c>
      <c r="K544" s="644">
        <v>0</v>
      </c>
      <c r="L544" s="644">
        <v>0</v>
      </c>
      <c r="M544" s="644">
        <v>2048543000</v>
      </c>
      <c r="N544" s="644">
        <v>193181578</v>
      </c>
      <c r="O544" s="644">
        <v>0</v>
      </c>
      <c r="P544" s="644">
        <v>2241724578</v>
      </c>
      <c r="Q544" s="644">
        <v>2241724578</v>
      </c>
      <c r="R544" s="644">
        <v>0</v>
      </c>
      <c r="S544" s="644">
        <v>0</v>
      </c>
      <c r="T544" s="644">
        <v>0</v>
      </c>
      <c r="U544" s="644">
        <v>0</v>
      </c>
      <c r="V544" s="644">
        <v>0</v>
      </c>
      <c r="W544" s="632">
        <v>0</v>
      </c>
      <c r="X544" s="632">
        <v>0</v>
      </c>
    </row>
    <row r="545" spans="1:24" ht="22.5">
      <c r="A545" s="645">
        <v>527</v>
      </c>
      <c r="B545" s="643" t="s">
        <v>1131</v>
      </c>
      <c r="C545" s="645" t="s">
        <v>442</v>
      </c>
      <c r="D545" s="645" t="s">
        <v>1127</v>
      </c>
      <c r="E545" s="645" t="s">
        <v>889</v>
      </c>
      <c r="F545" s="645" t="s">
        <v>1114</v>
      </c>
      <c r="G545" s="645" t="s">
        <v>777</v>
      </c>
      <c r="H545" s="644">
        <v>13812952166</v>
      </c>
      <c r="I545" s="644">
        <v>89541516</v>
      </c>
      <c r="J545" s="644">
        <v>0</v>
      </c>
      <c r="K545" s="644">
        <v>0</v>
      </c>
      <c r="L545" s="644">
        <v>89541516</v>
      </c>
      <c r="M545" s="644">
        <v>13124744000</v>
      </c>
      <c r="N545" s="644">
        <v>598666650</v>
      </c>
      <c r="O545" s="644">
        <v>0</v>
      </c>
      <c r="P545" s="644">
        <v>13730285194</v>
      </c>
      <c r="Q545" s="644">
        <v>13730285194</v>
      </c>
      <c r="R545" s="644">
        <v>0</v>
      </c>
      <c r="S545" s="644">
        <v>82666972</v>
      </c>
      <c r="T545" s="644">
        <v>71785000</v>
      </c>
      <c r="U545" s="644">
        <v>0</v>
      </c>
      <c r="V545" s="644">
        <v>10881972</v>
      </c>
      <c r="W545" s="632">
        <v>0</v>
      </c>
      <c r="X545" s="632">
        <v>0</v>
      </c>
    </row>
    <row r="546" spans="1:24">
      <c r="A546" s="645">
        <v>528</v>
      </c>
      <c r="B546" s="643" t="s">
        <v>1135</v>
      </c>
      <c r="C546" s="645" t="s">
        <v>442</v>
      </c>
      <c r="D546" s="645" t="s">
        <v>1127</v>
      </c>
      <c r="E546" s="645" t="s">
        <v>890</v>
      </c>
      <c r="F546" s="645" t="s">
        <v>1114</v>
      </c>
      <c r="G546" s="645" t="s">
        <v>777</v>
      </c>
      <c r="H546" s="644">
        <v>3406449207</v>
      </c>
      <c r="I546" s="644">
        <v>0</v>
      </c>
      <c r="J546" s="644">
        <v>0</v>
      </c>
      <c r="K546" s="644">
        <v>0</v>
      </c>
      <c r="L546" s="644">
        <v>0</v>
      </c>
      <c r="M546" s="644">
        <v>2462860000</v>
      </c>
      <c r="N546" s="644">
        <v>943589207</v>
      </c>
      <c r="O546" s="644">
        <v>0</v>
      </c>
      <c r="P546" s="644">
        <v>3406449207</v>
      </c>
      <c r="Q546" s="644">
        <v>3406449207</v>
      </c>
      <c r="R546" s="644">
        <v>0</v>
      </c>
      <c r="S546" s="644">
        <v>0</v>
      </c>
      <c r="T546" s="644">
        <v>0</v>
      </c>
      <c r="U546" s="644">
        <v>0</v>
      </c>
      <c r="V546" s="644">
        <v>0</v>
      </c>
      <c r="W546" s="632">
        <v>0</v>
      </c>
      <c r="X546" s="632">
        <v>0</v>
      </c>
    </row>
    <row r="547" spans="1:24">
      <c r="A547" s="645">
        <v>529</v>
      </c>
      <c r="B547" s="643" t="s">
        <v>1136</v>
      </c>
      <c r="C547" s="645" t="s">
        <v>442</v>
      </c>
      <c r="D547" s="645" t="s">
        <v>1127</v>
      </c>
      <c r="E547" s="645" t="s">
        <v>890</v>
      </c>
      <c r="F547" s="645" t="s">
        <v>1114</v>
      </c>
      <c r="G547" s="645" t="s">
        <v>777</v>
      </c>
      <c r="H547" s="644">
        <v>3475688330</v>
      </c>
      <c r="I547" s="644">
        <v>153424000</v>
      </c>
      <c r="J547" s="644">
        <v>0</v>
      </c>
      <c r="K547" s="644">
        <v>0</v>
      </c>
      <c r="L547" s="644">
        <v>153424000</v>
      </c>
      <c r="M547" s="644">
        <v>2292541000</v>
      </c>
      <c r="N547" s="644">
        <v>1029723330</v>
      </c>
      <c r="O547" s="644">
        <v>0</v>
      </c>
      <c r="P547" s="644">
        <v>3474751625</v>
      </c>
      <c r="Q547" s="644">
        <v>3474751625</v>
      </c>
      <c r="R547" s="644">
        <v>0</v>
      </c>
      <c r="S547" s="644">
        <v>0</v>
      </c>
      <c r="T547" s="644">
        <v>0</v>
      </c>
      <c r="U547" s="644">
        <v>0</v>
      </c>
      <c r="V547" s="644">
        <v>0</v>
      </c>
      <c r="W547" s="632">
        <v>0</v>
      </c>
      <c r="X547" s="632">
        <v>0</v>
      </c>
    </row>
    <row r="548" spans="1:24">
      <c r="A548" s="645">
        <v>530</v>
      </c>
      <c r="B548" s="643" t="s">
        <v>1137</v>
      </c>
      <c r="C548" s="645" t="s">
        <v>442</v>
      </c>
      <c r="D548" s="645" t="s">
        <v>1127</v>
      </c>
      <c r="E548" s="645" t="s">
        <v>890</v>
      </c>
      <c r="F548" s="645" t="s">
        <v>1114</v>
      </c>
      <c r="G548" s="645" t="s">
        <v>777</v>
      </c>
      <c r="H548" s="644">
        <v>1594513377</v>
      </c>
      <c r="I548" s="644">
        <v>0</v>
      </c>
      <c r="J548" s="644">
        <v>0</v>
      </c>
      <c r="K548" s="644">
        <v>0</v>
      </c>
      <c r="L548" s="644">
        <v>0</v>
      </c>
      <c r="M548" s="644">
        <v>952172304</v>
      </c>
      <c r="N548" s="644">
        <v>642341073</v>
      </c>
      <c r="O548" s="644">
        <v>0</v>
      </c>
      <c r="P548" s="644">
        <v>1594513377</v>
      </c>
      <c r="Q548" s="644">
        <v>1594513377</v>
      </c>
      <c r="R548" s="644">
        <v>0</v>
      </c>
      <c r="S548" s="644">
        <v>0</v>
      </c>
      <c r="T548" s="644">
        <v>0</v>
      </c>
      <c r="U548" s="644">
        <v>0</v>
      </c>
      <c r="V548" s="644">
        <v>0</v>
      </c>
      <c r="W548" s="632">
        <v>0</v>
      </c>
      <c r="X548" s="632">
        <v>434293100</v>
      </c>
    </row>
    <row r="549" spans="1:24">
      <c r="A549" s="645">
        <v>531</v>
      </c>
      <c r="B549" s="643" t="s">
        <v>1138</v>
      </c>
      <c r="C549" s="645" t="s">
        <v>442</v>
      </c>
      <c r="D549" s="645" t="s">
        <v>1127</v>
      </c>
      <c r="E549" s="645" t="s">
        <v>890</v>
      </c>
      <c r="F549" s="645" t="s">
        <v>1114</v>
      </c>
      <c r="G549" s="645" t="s">
        <v>777</v>
      </c>
      <c r="H549" s="644">
        <v>4800035265</v>
      </c>
      <c r="I549" s="644">
        <v>0</v>
      </c>
      <c r="J549" s="644">
        <v>0</v>
      </c>
      <c r="K549" s="644">
        <v>0</v>
      </c>
      <c r="L549" s="644">
        <v>0</v>
      </c>
      <c r="M549" s="644">
        <v>3618402411</v>
      </c>
      <c r="N549" s="644">
        <v>1181632854</v>
      </c>
      <c r="O549" s="644">
        <v>0</v>
      </c>
      <c r="P549" s="644">
        <v>4800035265</v>
      </c>
      <c r="Q549" s="644">
        <v>4800035265</v>
      </c>
      <c r="R549" s="644">
        <v>0</v>
      </c>
      <c r="S549" s="644">
        <v>0</v>
      </c>
      <c r="T549" s="644">
        <v>0</v>
      </c>
      <c r="U549" s="644">
        <v>0</v>
      </c>
      <c r="V549" s="644">
        <v>0</v>
      </c>
      <c r="W549" s="632">
        <v>0</v>
      </c>
      <c r="X549" s="632">
        <v>15678200</v>
      </c>
    </row>
    <row r="550" spans="1:24">
      <c r="A550" s="645">
        <v>532</v>
      </c>
      <c r="B550" s="643" t="s">
        <v>1139</v>
      </c>
      <c r="C550" s="645" t="s">
        <v>442</v>
      </c>
      <c r="D550" s="645" t="s">
        <v>1127</v>
      </c>
      <c r="E550" s="645" t="s">
        <v>890</v>
      </c>
      <c r="F550" s="645" t="s">
        <v>1114</v>
      </c>
      <c r="G550" s="645" t="s">
        <v>777</v>
      </c>
      <c r="H550" s="644">
        <v>3317053785</v>
      </c>
      <c r="I550" s="644">
        <v>10665</v>
      </c>
      <c r="J550" s="644">
        <v>10665</v>
      </c>
      <c r="K550" s="644">
        <v>0</v>
      </c>
      <c r="L550" s="644">
        <v>0</v>
      </c>
      <c r="M550" s="644">
        <v>2862127000</v>
      </c>
      <c r="N550" s="644">
        <v>454916120</v>
      </c>
      <c r="O550" s="644">
        <v>0</v>
      </c>
      <c r="P550" s="644">
        <v>3317053785</v>
      </c>
      <c r="Q550" s="644">
        <v>3317053785</v>
      </c>
      <c r="R550" s="644">
        <v>0</v>
      </c>
      <c r="S550" s="644">
        <v>0</v>
      </c>
      <c r="T550" s="644">
        <v>0</v>
      </c>
      <c r="U550" s="644">
        <v>0</v>
      </c>
      <c r="V550" s="644">
        <v>0</v>
      </c>
      <c r="W550" s="632">
        <v>0</v>
      </c>
      <c r="X550" s="632">
        <v>0</v>
      </c>
    </row>
    <row r="551" spans="1:24">
      <c r="A551" s="645">
        <v>533</v>
      </c>
      <c r="B551" s="643" t="s">
        <v>1140</v>
      </c>
      <c r="C551" s="645" t="s">
        <v>442</v>
      </c>
      <c r="D551" s="645" t="s">
        <v>1127</v>
      </c>
      <c r="E551" s="645" t="s">
        <v>892</v>
      </c>
      <c r="F551" s="645" t="s">
        <v>1114</v>
      </c>
      <c r="G551" s="645" t="s">
        <v>777</v>
      </c>
      <c r="H551" s="644">
        <v>9016215620</v>
      </c>
      <c r="I551" s="644">
        <v>53791220</v>
      </c>
      <c r="J551" s="644">
        <v>53791220</v>
      </c>
      <c r="K551" s="644">
        <v>0</v>
      </c>
      <c r="L551" s="644">
        <v>0</v>
      </c>
      <c r="M551" s="644">
        <v>8306306000</v>
      </c>
      <c r="N551" s="644">
        <v>656118400</v>
      </c>
      <c r="O551" s="644">
        <v>0</v>
      </c>
      <c r="P551" s="644">
        <v>9016215620</v>
      </c>
      <c r="Q551" s="644">
        <v>9016215620</v>
      </c>
      <c r="R551" s="644">
        <v>0</v>
      </c>
      <c r="S551" s="644">
        <v>0</v>
      </c>
      <c r="T551" s="644">
        <v>0</v>
      </c>
      <c r="U551" s="644">
        <v>0</v>
      </c>
      <c r="V551" s="644">
        <v>0</v>
      </c>
      <c r="W551" s="632">
        <v>0</v>
      </c>
      <c r="X551" s="632">
        <v>0</v>
      </c>
    </row>
    <row r="552" spans="1:24">
      <c r="A552" s="645">
        <v>534</v>
      </c>
      <c r="B552" s="643" t="s">
        <v>1141</v>
      </c>
      <c r="C552" s="645" t="s">
        <v>442</v>
      </c>
      <c r="D552" s="645" t="s">
        <v>1127</v>
      </c>
      <c r="E552" s="645" t="s">
        <v>890</v>
      </c>
      <c r="F552" s="645" t="s">
        <v>1114</v>
      </c>
      <c r="G552" s="645" t="s">
        <v>777</v>
      </c>
      <c r="H552" s="644">
        <v>2473342000</v>
      </c>
      <c r="I552" s="644">
        <v>0</v>
      </c>
      <c r="J552" s="644">
        <v>0</v>
      </c>
      <c r="K552" s="644">
        <v>0</v>
      </c>
      <c r="L552" s="644">
        <v>0</v>
      </c>
      <c r="M552" s="644">
        <v>2377033000</v>
      </c>
      <c r="N552" s="644">
        <v>96309000</v>
      </c>
      <c r="O552" s="644">
        <v>0</v>
      </c>
      <c r="P552" s="644">
        <v>2473342000</v>
      </c>
      <c r="Q552" s="644">
        <v>2473342000</v>
      </c>
      <c r="R552" s="644">
        <v>0</v>
      </c>
      <c r="S552" s="644">
        <v>0</v>
      </c>
      <c r="T552" s="644">
        <v>0</v>
      </c>
      <c r="U552" s="644">
        <v>0</v>
      </c>
      <c r="V552" s="644">
        <v>0</v>
      </c>
      <c r="W552" s="632">
        <v>0</v>
      </c>
      <c r="X552" s="632">
        <v>0</v>
      </c>
    </row>
    <row r="553" spans="1:24">
      <c r="A553" s="645">
        <v>535</v>
      </c>
      <c r="B553" s="643" t="s">
        <v>1142</v>
      </c>
      <c r="C553" s="645" t="s">
        <v>442</v>
      </c>
      <c r="D553" s="645" t="s">
        <v>1127</v>
      </c>
      <c r="E553" s="645" t="s">
        <v>890</v>
      </c>
      <c r="F553" s="645" t="s">
        <v>1114</v>
      </c>
      <c r="G553" s="645" t="s">
        <v>777</v>
      </c>
      <c r="H553" s="644">
        <v>3628533000</v>
      </c>
      <c r="I553" s="644">
        <v>0</v>
      </c>
      <c r="J553" s="644">
        <v>0</v>
      </c>
      <c r="K553" s="644">
        <v>0</v>
      </c>
      <c r="L553" s="644">
        <v>0</v>
      </c>
      <c r="M553" s="644">
        <v>3628533000</v>
      </c>
      <c r="N553" s="644">
        <v>0</v>
      </c>
      <c r="O553" s="644">
        <v>0</v>
      </c>
      <c r="P553" s="644">
        <v>3628533000</v>
      </c>
      <c r="Q553" s="644">
        <v>3628533000</v>
      </c>
      <c r="R553" s="644">
        <v>0</v>
      </c>
      <c r="S553" s="644">
        <v>0</v>
      </c>
      <c r="T553" s="644">
        <v>0</v>
      </c>
      <c r="U553" s="644">
        <v>0</v>
      </c>
      <c r="V553" s="644">
        <v>0</v>
      </c>
      <c r="W553" s="632">
        <v>0</v>
      </c>
      <c r="X553" s="632">
        <v>1503065000</v>
      </c>
    </row>
    <row r="554" spans="1:24" ht="22.5">
      <c r="A554" s="645">
        <v>536</v>
      </c>
      <c r="B554" s="643" t="s">
        <v>1143</v>
      </c>
      <c r="C554" s="645" t="s">
        <v>442</v>
      </c>
      <c r="D554" s="645" t="s">
        <v>1127</v>
      </c>
      <c r="E554" s="645" t="s">
        <v>905</v>
      </c>
      <c r="F554" s="645" t="s">
        <v>1114</v>
      </c>
      <c r="G554" s="645" t="s">
        <v>777</v>
      </c>
      <c r="H554" s="644">
        <v>8500921000</v>
      </c>
      <c r="I554" s="644">
        <v>0</v>
      </c>
      <c r="J554" s="644">
        <v>0</v>
      </c>
      <c r="K554" s="644">
        <v>0</v>
      </c>
      <c r="L554" s="644">
        <v>0</v>
      </c>
      <c r="M554" s="644">
        <v>8500921000</v>
      </c>
      <c r="N554" s="644">
        <v>0</v>
      </c>
      <c r="O554" s="644">
        <v>0</v>
      </c>
      <c r="P554" s="644">
        <v>8500921000</v>
      </c>
      <c r="Q554" s="644">
        <v>8500921000</v>
      </c>
      <c r="R554" s="644">
        <v>0</v>
      </c>
      <c r="S554" s="644">
        <v>0</v>
      </c>
      <c r="T554" s="644">
        <v>0</v>
      </c>
      <c r="U554" s="644">
        <v>0</v>
      </c>
      <c r="V554" s="644">
        <v>0</v>
      </c>
      <c r="W554" s="632">
        <v>0</v>
      </c>
      <c r="X554" s="632">
        <v>20500000</v>
      </c>
    </row>
    <row r="555" spans="1:24" ht="22.5">
      <c r="A555" s="645">
        <v>537</v>
      </c>
      <c r="B555" s="643" t="s">
        <v>1144</v>
      </c>
      <c r="C555" s="645" t="s">
        <v>442</v>
      </c>
      <c r="D555" s="645" t="s">
        <v>1127</v>
      </c>
      <c r="E555" s="645" t="s">
        <v>889</v>
      </c>
      <c r="F555" s="645" t="s">
        <v>1114</v>
      </c>
      <c r="G555" s="645" t="s">
        <v>777</v>
      </c>
      <c r="H555" s="644">
        <v>3030323648</v>
      </c>
      <c r="I555" s="644">
        <v>2300648</v>
      </c>
      <c r="J555" s="644">
        <v>2300648</v>
      </c>
      <c r="K555" s="644">
        <v>0</v>
      </c>
      <c r="L555" s="644">
        <v>0</v>
      </c>
      <c r="M555" s="644">
        <v>3028023000</v>
      </c>
      <c r="N555" s="644">
        <v>0</v>
      </c>
      <c r="O555" s="644">
        <v>0</v>
      </c>
      <c r="P555" s="644">
        <v>3030323648</v>
      </c>
      <c r="Q555" s="644">
        <v>3030323648</v>
      </c>
      <c r="R555" s="644">
        <v>0</v>
      </c>
      <c r="S555" s="644">
        <v>0</v>
      </c>
      <c r="T555" s="644">
        <v>0</v>
      </c>
      <c r="U555" s="644">
        <v>0</v>
      </c>
      <c r="V555" s="644">
        <v>0</v>
      </c>
      <c r="W555" s="632">
        <v>0</v>
      </c>
      <c r="X555" s="632">
        <v>0</v>
      </c>
    </row>
    <row r="556" spans="1:24" ht="22.5">
      <c r="A556" s="645">
        <v>538</v>
      </c>
      <c r="B556" s="643" t="s">
        <v>1145</v>
      </c>
      <c r="C556" s="645" t="s">
        <v>442</v>
      </c>
      <c r="D556" s="645" t="s">
        <v>1127</v>
      </c>
      <c r="E556" s="645" t="s">
        <v>889</v>
      </c>
      <c r="F556" s="645" t="s">
        <v>1114</v>
      </c>
      <c r="G556" s="645" t="s">
        <v>777</v>
      </c>
      <c r="H556" s="644">
        <v>5954336469</v>
      </c>
      <c r="I556" s="644">
        <v>6995349</v>
      </c>
      <c r="J556" s="644">
        <v>6995349</v>
      </c>
      <c r="K556" s="644">
        <v>0</v>
      </c>
      <c r="L556" s="644">
        <v>0</v>
      </c>
      <c r="M556" s="644">
        <v>5947341120</v>
      </c>
      <c r="N556" s="644">
        <v>0</v>
      </c>
      <c r="O556" s="644">
        <v>0</v>
      </c>
      <c r="P556" s="644">
        <v>5954336469</v>
      </c>
      <c r="Q556" s="644">
        <v>5954336469</v>
      </c>
      <c r="R556" s="644">
        <v>0</v>
      </c>
      <c r="S556" s="644">
        <v>0</v>
      </c>
      <c r="T556" s="644">
        <v>0</v>
      </c>
      <c r="U556" s="644">
        <v>0</v>
      </c>
      <c r="V556" s="644">
        <v>0</v>
      </c>
      <c r="W556" s="632">
        <v>0</v>
      </c>
      <c r="X556" s="632">
        <v>0</v>
      </c>
    </row>
    <row r="557" spans="1:24" ht="22.5">
      <c r="A557" s="645">
        <v>539</v>
      </c>
      <c r="B557" s="643" t="s">
        <v>1146</v>
      </c>
      <c r="C557" s="645" t="s">
        <v>442</v>
      </c>
      <c r="D557" s="645" t="s">
        <v>1127</v>
      </c>
      <c r="E557" s="645" t="s">
        <v>889</v>
      </c>
      <c r="F557" s="645" t="s">
        <v>1114</v>
      </c>
      <c r="G557" s="645" t="s">
        <v>777</v>
      </c>
      <c r="H557" s="644">
        <v>4537602547</v>
      </c>
      <c r="I557" s="644">
        <v>68307367</v>
      </c>
      <c r="J557" s="644">
        <v>7047367</v>
      </c>
      <c r="K557" s="644">
        <v>0</v>
      </c>
      <c r="L557" s="644">
        <v>61260000</v>
      </c>
      <c r="M557" s="644">
        <v>4405359000</v>
      </c>
      <c r="N557" s="644">
        <v>63936180</v>
      </c>
      <c r="O557" s="644">
        <v>0</v>
      </c>
      <c r="P557" s="644">
        <v>4418084941</v>
      </c>
      <c r="Q557" s="644">
        <v>4418084941</v>
      </c>
      <c r="R557" s="644">
        <v>0</v>
      </c>
      <c r="S557" s="644">
        <v>119517606</v>
      </c>
      <c r="T557" s="644">
        <v>34037606</v>
      </c>
      <c r="U557" s="644">
        <v>0</v>
      </c>
      <c r="V557" s="644">
        <v>85480000</v>
      </c>
      <c r="W557" s="632">
        <v>0</v>
      </c>
      <c r="X557" s="632">
        <v>0</v>
      </c>
    </row>
    <row r="558" spans="1:24" ht="22.5">
      <c r="A558" s="645">
        <v>540</v>
      </c>
      <c r="B558" s="643" t="s">
        <v>1147</v>
      </c>
      <c r="C558" s="645" t="s">
        <v>442</v>
      </c>
      <c r="D558" s="645" t="s">
        <v>1127</v>
      </c>
      <c r="E558" s="645" t="s">
        <v>899</v>
      </c>
      <c r="F558" s="645" t="s">
        <v>1114</v>
      </c>
      <c r="G558" s="645" t="s">
        <v>777</v>
      </c>
      <c r="H558" s="644">
        <v>1231806152</v>
      </c>
      <c r="I558" s="644">
        <v>0</v>
      </c>
      <c r="J558" s="644">
        <v>0</v>
      </c>
      <c r="K558" s="644">
        <v>0</v>
      </c>
      <c r="L558" s="644">
        <v>0</v>
      </c>
      <c r="M558" s="644">
        <v>1203640000</v>
      </c>
      <c r="N558" s="644">
        <v>28166152</v>
      </c>
      <c r="O558" s="644">
        <v>0</v>
      </c>
      <c r="P558" s="644">
        <v>1231806152</v>
      </c>
      <c r="Q558" s="644">
        <v>1231806152</v>
      </c>
      <c r="R558" s="644">
        <v>0</v>
      </c>
      <c r="S558" s="644">
        <v>0</v>
      </c>
      <c r="T558" s="644">
        <v>0</v>
      </c>
      <c r="U558" s="644">
        <v>0</v>
      </c>
      <c r="V558" s="644">
        <v>0</v>
      </c>
      <c r="W558" s="632">
        <v>0</v>
      </c>
      <c r="X558" s="632">
        <v>0</v>
      </c>
    </row>
    <row r="559" spans="1:24" ht="22.5">
      <c r="A559" s="645">
        <v>541</v>
      </c>
      <c r="B559" s="643" t="s">
        <v>1147</v>
      </c>
      <c r="C559" s="645" t="s">
        <v>442</v>
      </c>
      <c r="D559" s="645" t="s">
        <v>1127</v>
      </c>
      <c r="E559" s="645" t="s">
        <v>904</v>
      </c>
      <c r="F559" s="645" t="s">
        <v>1114</v>
      </c>
      <c r="G559" s="645" t="s">
        <v>777</v>
      </c>
      <c r="H559" s="644">
        <v>200</v>
      </c>
      <c r="I559" s="644">
        <v>200</v>
      </c>
      <c r="J559" s="644">
        <v>200</v>
      </c>
      <c r="K559" s="644">
        <v>0</v>
      </c>
      <c r="L559" s="644">
        <v>0</v>
      </c>
      <c r="M559" s="644">
        <v>0</v>
      </c>
      <c r="N559" s="644">
        <v>0</v>
      </c>
      <c r="O559" s="644">
        <v>0</v>
      </c>
      <c r="P559" s="644">
        <v>200</v>
      </c>
      <c r="Q559" s="644">
        <v>200</v>
      </c>
      <c r="R559" s="644">
        <v>0</v>
      </c>
      <c r="S559" s="644">
        <v>0</v>
      </c>
      <c r="T559" s="644">
        <v>0</v>
      </c>
      <c r="U559" s="644">
        <v>0</v>
      </c>
      <c r="V559" s="644">
        <v>0</v>
      </c>
      <c r="W559" s="632">
        <v>0</v>
      </c>
      <c r="X559" s="632">
        <v>0</v>
      </c>
    </row>
    <row r="560" spans="1:24">
      <c r="A560" s="645">
        <v>542</v>
      </c>
      <c r="B560" s="643" t="s">
        <v>1148</v>
      </c>
      <c r="C560" s="645" t="s">
        <v>442</v>
      </c>
      <c r="D560" s="645" t="s">
        <v>1127</v>
      </c>
      <c r="E560" s="645" t="s">
        <v>891</v>
      </c>
      <c r="F560" s="645" t="s">
        <v>1114</v>
      </c>
      <c r="G560" s="645" t="s">
        <v>777</v>
      </c>
      <c r="H560" s="644">
        <v>3290160320</v>
      </c>
      <c r="I560" s="644">
        <v>0</v>
      </c>
      <c r="J560" s="644">
        <v>0</v>
      </c>
      <c r="K560" s="644">
        <v>0</v>
      </c>
      <c r="L560" s="644">
        <v>0</v>
      </c>
      <c r="M560" s="644">
        <v>3263723000</v>
      </c>
      <c r="N560" s="644">
        <v>26437320</v>
      </c>
      <c r="O560" s="644">
        <v>0</v>
      </c>
      <c r="P560" s="644">
        <v>3290160320</v>
      </c>
      <c r="Q560" s="644">
        <v>3290160320</v>
      </c>
      <c r="R560" s="644">
        <v>0</v>
      </c>
      <c r="S560" s="644">
        <v>0</v>
      </c>
      <c r="T560" s="644">
        <v>0</v>
      </c>
      <c r="U560" s="644">
        <v>0</v>
      </c>
      <c r="V560" s="644">
        <v>0</v>
      </c>
      <c r="W560" s="632">
        <v>0</v>
      </c>
      <c r="X560" s="632">
        <v>588720500</v>
      </c>
    </row>
    <row r="561" spans="1:24">
      <c r="A561" s="645">
        <v>543</v>
      </c>
      <c r="B561" s="643" t="s">
        <v>1149</v>
      </c>
      <c r="C561" s="645" t="s">
        <v>442</v>
      </c>
      <c r="D561" s="645" t="s">
        <v>1127</v>
      </c>
      <c r="E561" s="645" t="s">
        <v>893</v>
      </c>
      <c r="F561" s="645" t="s">
        <v>1114</v>
      </c>
      <c r="G561" s="645" t="s">
        <v>777</v>
      </c>
      <c r="H561" s="644">
        <v>2425589000</v>
      </c>
      <c r="I561" s="644">
        <v>0</v>
      </c>
      <c r="J561" s="644">
        <v>0</v>
      </c>
      <c r="K561" s="644">
        <v>0</v>
      </c>
      <c r="L561" s="644">
        <v>0</v>
      </c>
      <c r="M561" s="644">
        <v>2425589000</v>
      </c>
      <c r="N561" s="644">
        <v>0</v>
      </c>
      <c r="O561" s="644">
        <v>0</v>
      </c>
      <c r="P561" s="644">
        <v>2425589000</v>
      </c>
      <c r="Q561" s="644">
        <v>2425589000</v>
      </c>
      <c r="R561" s="644">
        <v>0</v>
      </c>
      <c r="S561" s="644">
        <v>0</v>
      </c>
      <c r="T561" s="644">
        <v>0</v>
      </c>
      <c r="U561" s="644">
        <v>0</v>
      </c>
      <c r="V561" s="644">
        <v>0</v>
      </c>
      <c r="W561" s="632">
        <v>0</v>
      </c>
      <c r="X561" s="632">
        <v>12786400</v>
      </c>
    </row>
    <row r="562" spans="1:24">
      <c r="A562" s="645">
        <v>544</v>
      </c>
      <c r="B562" s="643" t="s">
        <v>1151</v>
      </c>
      <c r="C562" s="645" t="s">
        <v>442</v>
      </c>
      <c r="D562" s="645" t="s">
        <v>1127</v>
      </c>
      <c r="E562" s="645" t="s">
        <v>891</v>
      </c>
      <c r="F562" s="645" t="s">
        <v>1114</v>
      </c>
      <c r="G562" s="645" t="s">
        <v>777</v>
      </c>
      <c r="H562" s="644">
        <v>2589655560</v>
      </c>
      <c r="I562" s="644">
        <v>0</v>
      </c>
      <c r="J562" s="644">
        <v>0</v>
      </c>
      <c r="K562" s="644">
        <v>0</v>
      </c>
      <c r="L562" s="644">
        <v>0</v>
      </c>
      <c r="M562" s="644">
        <v>2340602000</v>
      </c>
      <c r="N562" s="644">
        <v>249053560</v>
      </c>
      <c r="O562" s="644">
        <v>0</v>
      </c>
      <c r="P562" s="644">
        <v>2589655560</v>
      </c>
      <c r="Q562" s="644">
        <v>2589655560</v>
      </c>
      <c r="R562" s="644">
        <v>0</v>
      </c>
      <c r="S562" s="644">
        <v>0</v>
      </c>
      <c r="T562" s="644">
        <v>0</v>
      </c>
      <c r="U562" s="644">
        <v>0</v>
      </c>
      <c r="V562" s="644">
        <v>0</v>
      </c>
      <c r="W562" s="632">
        <v>0</v>
      </c>
      <c r="X562" s="632">
        <v>0</v>
      </c>
    </row>
    <row r="563" spans="1:24" ht="22.5">
      <c r="A563" s="645">
        <v>545</v>
      </c>
      <c r="B563" s="643" t="s">
        <v>1157</v>
      </c>
      <c r="C563" s="645" t="s">
        <v>442</v>
      </c>
      <c r="D563" s="645" t="s">
        <v>1158</v>
      </c>
      <c r="E563" s="645" t="s">
        <v>905</v>
      </c>
      <c r="F563" s="645" t="s">
        <v>1114</v>
      </c>
      <c r="G563" s="645" t="s">
        <v>777</v>
      </c>
      <c r="H563" s="644">
        <v>5024453467</v>
      </c>
      <c r="I563" s="644">
        <v>36888467</v>
      </c>
      <c r="J563" s="644">
        <v>36888467</v>
      </c>
      <c r="K563" s="644">
        <v>0</v>
      </c>
      <c r="L563" s="644">
        <v>0</v>
      </c>
      <c r="M563" s="644">
        <v>4987565000</v>
      </c>
      <c r="N563" s="644">
        <v>0</v>
      </c>
      <c r="O563" s="644">
        <v>0</v>
      </c>
      <c r="P563" s="644">
        <v>4911425251</v>
      </c>
      <c r="Q563" s="644">
        <v>4911425251</v>
      </c>
      <c r="R563" s="644">
        <v>0</v>
      </c>
      <c r="S563" s="644">
        <v>113028216</v>
      </c>
      <c r="T563" s="644">
        <v>113028216</v>
      </c>
      <c r="U563" s="644">
        <v>0</v>
      </c>
      <c r="V563" s="644">
        <v>0</v>
      </c>
      <c r="W563" s="632">
        <v>0</v>
      </c>
      <c r="X563" s="632">
        <v>80834000</v>
      </c>
    </row>
    <row r="564" spans="1:24" ht="22.5">
      <c r="A564" s="645">
        <v>546</v>
      </c>
      <c r="B564" s="643" t="s">
        <v>1157</v>
      </c>
      <c r="C564" s="645" t="s">
        <v>442</v>
      </c>
      <c r="D564" s="645" t="s">
        <v>1158</v>
      </c>
      <c r="E564" s="645" t="s">
        <v>1116</v>
      </c>
      <c r="F564" s="645" t="s">
        <v>1114</v>
      </c>
      <c r="G564" s="645" t="s">
        <v>777</v>
      </c>
      <c r="H564" s="644">
        <v>212000000</v>
      </c>
      <c r="I564" s="644">
        <v>0</v>
      </c>
      <c r="J564" s="644">
        <v>0</v>
      </c>
      <c r="K564" s="644">
        <v>0</v>
      </c>
      <c r="L564" s="644">
        <v>0</v>
      </c>
      <c r="M564" s="644">
        <v>0</v>
      </c>
      <c r="N564" s="644">
        <v>212000000</v>
      </c>
      <c r="O564" s="644">
        <v>0</v>
      </c>
      <c r="P564" s="644">
        <v>171682000</v>
      </c>
      <c r="Q564" s="644">
        <v>171682000</v>
      </c>
      <c r="R564" s="644">
        <v>0</v>
      </c>
      <c r="S564" s="644">
        <v>40318000</v>
      </c>
      <c r="T564" s="644">
        <v>40318000</v>
      </c>
      <c r="U564" s="644">
        <v>0</v>
      </c>
      <c r="V564" s="644">
        <v>0</v>
      </c>
      <c r="W564" s="632">
        <v>0</v>
      </c>
      <c r="X564" s="632">
        <v>0</v>
      </c>
    </row>
    <row r="565" spans="1:24" ht="22.5">
      <c r="A565" s="645">
        <v>547</v>
      </c>
      <c r="B565" s="643" t="s">
        <v>1159</v>
      </c>
      <c r="C565" s="645" t="s">
        <v>442</v>
      </c>
      <c r="D565" s="645" t="s">
        <v>1158</v>
      </c>
      <c r="E565" s="645" t="s">
        <v>903</v>
      </c>
      <c r="F565" s="645" t="s">
        <v>1114</v>
      </c>
      <c r="G565" s="645" t="s">
        <v>777</v>
      </c>
      <c r="H565" s="644">
        <v>490000000</v>
      </c>
      <c r="I565" s="644">
        <v>0</v>
      </c>
      <c r="J565" s="644">
        <v>0</v>
      </c>
      <c r="K565" s="644">
        <v>0</v>
      </c>
      <c r="L565" s="644">
        <v>0</v>
      </c>
      <c r="M565" s="644">
        <v>490000000</v>
      </c>
      <c r="N565" s="644">
        <v>0</v>
      </c>
      <c r="O565" s="644">
        <v>0</v>
      </c>
      <c r="P565" s="644">
        <v>451550676</v>
      </c>
      <c r="Q565" s="644">
        <v>451550676</v>
      </c>
      <c r="R565" s="644">
        <v>0</v>
      </c>
      <c r="S565" s="644">
        <v>38449324</v>
      </c>
      <c r="T565" s="644">
        <v>38449324</v>
      </c>
      <c r="U565" s="644">
        <v>0</v>
      </c>
      <c r="V565" s="644">
        <v>0</v>
      </c>
      <c r="W565" s="632">
        <v>0</v>
      </c>
      <c r="X565" s="632">
        <v>0</v>
      </c>
    </row>
    <row r="566" spans="1:24" ht="22.5">
      <c r="A566" s="645">
        <v>548</v>
      </c>
      <c r="B566" s="643" t="s">
        <v>1159</v>
      </c>
      <c r="C566" s="645" t="s">
        <v>442</v>
      </c>
      <c r="D566" s="645" t="s">
        <v>1158</v>
      </c>
      <c r="E566" s="645" t="s">
        <v>904</v>
      </c>
      <c r="F566" s="645" t="s">
        <v>1114</v>
      </c>
      <c r="G566" s="645" t="s">
        <v>777</v>
      </c>
      <c r="H566" s="644">
        <v>11938610</v>
      </c>
      <c r="I566" s="644">
        <v>11938610</v>
      </c>
      <c r="J566" s="644">
        <v>11938610</v>
      </c>
      <c r="K566" s="644">
        <v>0</v>
      </c>
      <c r="L566" s="644">
        <v>0</v>
      </c>
      <c r="M566" s="644">
        <v>0</v>
      </c>
      <c r="N566" s="644">
        <v>0</v>
      </c>
      <c r="O566" s="644">
        <v>0</v>
      </c>
      <c r="P566" s="644">
        <v>0</v>
      </c>
      <c r="Q566" s="644">
        <v>0</v>
      </c>
      <c r="R566" s="644">
        <v>0</v>
      </c>
      <c r="S566" s="644">
        <v>11938610</v>
      </c>
      <c r="T566" s="644">
        <v>11938610</v>
      </c>
      <c r="U566" s="644">
        <v>0</v>
      </c>
      <c r="V566" s="644">
        <v>0</v>
      </c>
      <c r="W566" s="632">
        <v>0</v>
      </c>
      <c r="X566" s="632">
        <v>0</v>
      </c>
    </row>
    <row r="567" spans="1:24" ht="22.5">
      <c r="A567" s="645">
        <v>549</v>
      </c>
      <c r="B567" s="643" t="s">
        <v>1160</v>
      </c>
      <c r="C567" s="645" t="s">
        <v>442</v>
      </c>
      <c r="D567" s="645" t="s">
        <v>1161</v>
      </c>
      <c r="E567" s="645" t="s">
        <v>904</v>
      </c>
      <c r="F567" s="645" t="s">
        <v>1114</v>
      </c>
      <c r="G567" s="645" t="s">
        <v>777</v>
      </c>
      <c r="H567" s="644">
        <v>2690888000</v>
      </c>
      <c r="I567" s="644">
        <v>0</v>
      </c>
      <c r="J567" s="644">
        <v>0</v>
      </c>
      <c r="K567" s="644">
        <v>0</v>
      </c>
      <c r="L567" s="644">
        <v>0</v>
      </c>
      <c r="M567" s="644">
        <v>2690888000</v>
      </c>
      <c r="N567" s="644">
        <v>0</v>
      </c>
      <c r="O567" s="644">
        <v>0</v>
      </c>
      <c r="P567" s="644">
        <v>2690798000</v>
      </c>
      <c r="Q567" s="644">
        <v>2690798000</v>
      </c>
      <c r="R567" s="644">
        <v>0</v>
      </c>
      <c r="S567" s="644">
        <v>0</v>
      </c>
      <c r="T567" s="644">
        <v>0</v>
      </c>
      <c r="U567" s="644">
        <v>0</v>
      </c>
      <c r="V567" s="644">
        <v>0</v>
      </c>
      <c r="W567" s="632">
        <v>0</v>
      </c>
      <c r="X567" s="632">
        <v>0</v>
      </c>
    </row>
    <row r="568" spans="1:24">
      <c r="A568" s="645">
        <v>550</v>
      </c>
      <c r="B568" s="643" t="s">
        <v>1162</v>
      </c>
      <c r="C568" s="645" t="s">
        <v>442</v>
      </c>
      <c r="D568" s="645" t="s">
        <v>1161</v>
      </c>
      <c r="E568" s="645" t="s">
        <v>905</v>
      </c>
      <c r="F568" s="645" t="s">
        <v>1114</v>
      </c>
      <c r="G568" s="645" t="s">
        <v>777</v>
      </c>
      <c r="H568" s="644">
        <v>4955733656</v>
      </c>
      <c r="I568" s="644">
        <v>30408656</v>
      </c>
      <c r="J568" s="644">
        <v>469856</v>
      </c>
      <c r="K568" s="644">
        <v>0</v>
      </c>
      <c r="L568" s="644">
        <v>29938800</v>
      </c>
      <c r="M568" s="644">
        <v>4925325000</v>
      </c>
      <c r="N568" s="644">
        <v>0</v>
      </c>
      <c r="O568" s="644">
        <v>0</v>
      </c>
      <c r="P568" s="644">
        <v>4773274198</v>
      </c>
      <c r="Q568" s="644">
        <v>4773274198</v>
      </c>
      <c r="R568" s="644">
        <v>0</v>
      </c>
      <c r="S568" s="644">
        <v>182459458</v>
      </c>
      <c r="T568" s="644">
        <v>15549858</v>
      </c>
      <c r="U568" s="644">
        <v>0</v>
      </c>
      <c r="V568" s="644">
        <v>166909600</v>
      </c>
      <c r="W568" s="632">
        <v>0</v>
      </c>
      <c r="X568" s="632">
        <v>0</v>
      </c>
    </row>
    <row r="569" spans="1:24" ht="22.5">
      <c r="A569" s="645">
        <v>551</v>
      </c>
      <c r="B569" s="643" t="s">
        <v>1163</v>
      </c>
      <c r="C569" s="645" t="s">
        <v>442</v>
      </c>
      <c r="D569" s="645" t="s">
        <v>1164</v>
      </c>
      <c r="E569" s="645" t="s">
        <v>898</v>
      </c>
      <c r="F569" s="645" t="s">
        <v>1114</v>
      </c>
      <c r="G569" s="645" t="s">
        <v>777</v>
      </c>
      <c r="H569" s="644">
        <v>2060150083</v>
      </c>
      <c r="I569" s="644">
        <v>436698083</v>
      </c>
      <c r="J569" s="644">
        <v>436698083</v>
      </c>
      <c r="K569" s="644">
        <v>0</v>
      </c>
      <c r="L569" s="644">
        <v>0</v>
      </c>
      <c r="M569" s="644">
        <v>1639000000</v>
      </c>
      <c r="N569" s="644">
        <v>-15548000</v>
      </c>
      <c r="O569" s="644">
        <v>0</v>
      </c>
      <c r="P569" s="644">
        <v>1939561410</v>
      </c>
      <c r="Q569" s="644">
        <v>1939561410</v>
      </c>
      <c r="R569" s="644">
        <v>0</v>
      </c>
      <c r="S569" s="644">
        <v>120588673</v>
      </c>
      <c r="T569" s="644">
        <v>120588673</v>
      </c>
      <c r="U569" s="644">
        <v>0</v>
      </c>
      <c r="V569" s="644">
        <v>0</v>
      </c>
      <c r="W569" s="632">
        <v>0</v>
      </c>
      <c r="X569" s="632">
        <v>615000</v>
      </c>
    </row>
    <row r="570" spans="1:24" ht="22.5">
      <c r="A570" s="645">
        <v>552</v>
      </c>
      <c r="B570" s="643" t="s">
        <v>1165</v>
      </c>
      <c r="C570" s="645" t="s">
        <v>442</v>
      </c>
      <c r="D570" s="645" t="s">
        <v>1164</v>
      </c>
      <c r="E570" s="645" t="s">
        <v>905</v>
      </c>
      <c r="F570" s="645" t="s">
        <v>1114</v>
      </c>
      <c r="G570" s="645" t="s">
        <v>777</v>
      </c>
      <c r="H570" s="644">
        <v>8586000000</v>
      </c>
      <c r="I570" s="644">
        <v>0</v>
      </c>
      <c r="J570" s="644">
        <v>0</v>
      </c>
      <c r="K570" s="644">
        <v>0</v>
      </c>
      <c r="L570" s="644">
        <v>0</v>
      </c>
      <c r="M570" s="644">
        <v>8586000000</v>
      </c>
      <c r="N570" s="644">
        <v>0</v>
      </c>
      <c r="O570" s="644">
        <v>0</v>
      </c>
      <c r="P570" s="644">
        <v>8584525654</v>
      </c>
      <c r="Q570" s="644">
        <v>8584525654</v>
      </c>
      <c r="R570" s="644">
        <v>0</v>
      </c>
      <c r="S570" s="644">
        <v>0</v>
      </c>
      <c r="T570" s="644">
        <v>0</v>
      </c>
      <c r="U570" s="644">
        <v>0</v>
      </c>
      <c r="V570" s="644">
        <v>0</v>
      </c>
      <c r="W570" s="632">
        <v>0</v>
      </c>
      <c r="X570" s="632">
        <v>0</v>
      </c>
    </row>
    <row r="571" spans="1:24">
      <c r="A571" s="645">
        <v>553</v>
      </c>
      <c r="B571" s="643" t="s">
        <v>1166</v>
      </c>
      <c r="C571" s="645" t="s">
        <v>442</v>
      </c>
      <c r="D571" s="645" t="s">
        <v>1164</v>
      </c>
      <c r="E571" s="645" t="s">
        <v>905</v>
      </c>
      <c r="F571" s="645" t="s">
        <v>1114</v>
      </c>
      <c r="G571" s="645" t="s">
        <v>777</v>
      </c>
      <c r="H571" s="644">
        <v>5142396000</v>
      </c>
      <c r="I571" s="644">
        <v>0</v>
      </c>
      <c r="J571" s="644">
        <v>0</v>
      </c>
      <c r="K571" s="644">
        <v>0</v>
      </c>
      <c r="L571" s="644">
        <v>0</v>
      </c>
      <c r="M571" s="644">
        <v>5439000000</v>
      </c>
      <c r="N571" s="644">
        <v>-296604000</v>
      </c>
      <c r="O571" s="644">
        <v>0</v>
      </c>
      <c r="P571" s="644">
        <v>5142396000</v>
      </c>
      <c r="Q571" s="644">
        <v>5142396000</v>
      </c>
      <c r="R571" s="644">
        <v>0</v>
      </c>
      <c r="S571" s="644">
        <v>0</v>
      </c>
      <c r="T571" s="644">
        <v>0</v>
      </c>
      <c r="U571" s="644">
        <v>0</v>
      </c>
      <c r="V571" s="644">
        <v>0</v>
      </c>
      <c r="W571" s="632">
        <v>0</v>
      </c>
      <c r="X571" s="632">
        <v>0</v>
      </c>
    </row>
    <row r="572" spans="1:24" ht="22.5">
      <c r="A572" s="645">
        <v>554</v>
      </c>
      <c r="B572" s="643" t="s">
        <v>1168</v>
      </c>
      <c r="C572" s="645" t="s">
        <v>442</v>
      </c>
      <c r="D572" s="645" t="s">
        <v>1169</v>
      </c>
      <c r="E572" s="645" t="s">
        <v>905</v>
      </c>
      <c r="F572" s="645" t="s">
        <v>1114</v>
      </c>
      <c r="G572" s="645" t="s">
        <v>777</v>
      </c>
      <c r="H572" s="644">
        <v>1633315963</v>
      </c>
      <c r="I572" s="644">
        <v>92518963</v>
      </c>
      <c r="J572" s="644">
        <v>92518963</v>
      </c>
      <c r="K572" s="644">
        <v>0</v>
      </c>
      <c r="L572" s="644">
        <v>0</v>
      </c>
      <c r="M572" s="644">
        <v>1564751000</v>
      </c>
      <c r="N572" s="644">
        <v>-23954000</v>
      </c>
      <c r="O572" s="644">
        <v>0</v>
      </c>
      <c r="P572" s="644">
        <v>1633315963</v>
      </c>
      <c r="Q572" s="644">
        <v>1633315963</v>
      </c>
      <c r="R572" s="644">
        <v>0</v>
      </c>
      <c r="S572" s="644">
        <v>0</v>
      </c>
      <c r="T572" s="644">
        <v>0</v>
      </c>
      <c r="U572" s="644">
        <v>0</v>
      </c>
      <c r="V572" s="644">
        <v>0</v>
      </c>
      <c r="W572" s="632">
        <v>0</v>
      </c>
      <c r="X572" s="632">
        <v>0</v>
      </c>
    </row>
    <row r="573" spans="1:24" ht="22.5">
      <c r="A573" s="645">
        <v>555</v>
      </c>
      <c r="B573" s="643" t="s">
        <v>1170</v>
      </c>
      <c r="C573" s="645" t="s">
        <v>442</v>
      </c>
      <c r="D573" s="645" t="s">
        <v>1169</v>
      </c>
      <c r="E573" s="645" t="s">
        <v>905</v>
      </c>
      <c r="F573" s="645" t="s">
        <v>1114</v>
      </c>
      <c r="G573" s="645" t="s">
        <v>777</v>
      </c>
      <c r="H573" s="644">
        <v>3290295000</v>
      </c>
      <c r="I573" s="644">
        <v>0</v>
      </c>
      <c r="J573" s="644">
        <v>0</v>
      </c>
      <c r="K573" s="644">
        <v>0</v>
      </c>
      <c r="L573" s="644">
        <v>0</v>
      </c>
      <c r="M573" s="644">
        <v>3314249000</v>
      </c>
      <c r="N573" s="644">
        <v>-23954000</v>
      </c>
      <c r="O573" s="644">
        <v>0</v>
      </c>
      <c r="P573" s="644">
        <v>3288935692</v>
      </c>
      <c r="Q573" s="644">
        <v>3288935692</v>
      </c>
      <c r="R573" s="644">
        <v>0</v>
      </c>
      <c r="S573" s="644">
        <v>1359308</v>
      </c>
      <c r="T573" s="644">
        <v>1359308</v>
      </c>
      <c r="U573" s="644">
        <v>0</v>
      </c>
      <c r="V573" s="644">
        <v>0</v>
      </c>
      <c r="W573" s="632">
        <v>0</v>
      </c>
      <c r="X573" s="632">
        <v>28596452</v>
      </c>
    </row>
    <row r="574" spans="1:24" ht="22.5">
      <c r="A574" s="645">
        <v>556</v>
      </c>
      <c r="B574" s="643" t="s">
        <v>1171</v>
      </c>
      <c r="C574" s="645" t="s">
        <v>442</v>
      </c>
      <c r="D574" s="645" t="s">
        <v>1169</v>
      </c>
      <c r="E574" s="645" t="s">
        <v>639</v>
      </c>
      <c r="F574" s="645" t="s">
        <v>1114</v>
      </c>
      <c r="G574" s="645" t="s">
        <v>777</v>
      </c>
      <c r="H574" s="644">
        <v>1692783000</v>
      </c>
      <c r="I574" s="644">
        <v>0</v>
      </c>
      <c r="J574" s="644">
        <v>0</v>
      </c>
      <c r="K574" s="644">
        <v>0</v>
      </c>
      <c r="L574" s="644">
        <v>0</v>
      </c>
      <c r="M574" s="644">
        <v>1699933000</v>
      </c>
      <c r="N574" s="644">
        <v>-7150000</v>
      </c>
      <c r="O574" s="644">
        <v>0</v>
      </c>
      <c r="P574" s="644">
        <v>1692783000</v>
      </c>
      <c r="Q574" s="644">
        <v>1692783000</v>
      </c>
      <c r="R574" s="644">
        <v>0</v>
      </c>
      <c r="S574" s="644">
        <v>0</v>
      </c>
      <c r="T574" s="644">
        <v>0</v>
      </c>
      <c r="U574" s="644">
        <v>0</v>
      </c>
      <c r="V574" s="644">
        <v>0</v>
      </c>
      <c r="W574" s="632">
        <v>0</v>
      </c>
      <c r="X574" s="632">
        <v>0</v>
      </c>
    </row>
    <row r="575" spans="1:24" ht="22.5">
      <c r="A575" s="645">
        <v>557</v>
      </c>
      <c r="B575" s="643" t="s">
        <v>1171</v>
      </c>
      <c r="C575" s="645" t="s">
        <v>442</v>
      </c>
      <c r="D575" s="645" t="s">
        <v>1169</v>
      </c>
      <c r="E575" s="645" t="s">
        <v>641</v>
      </c>
      <c r="F575" s="645" t="s">
        <v>1114</v>
      </c>
      <c r="G575" s="645" t="s">
        <v>777</v>
      </c>
      <c r="H575" s="644">
        <v>51010</v>
      </c>
      <c r="I575" s="644">
        <v>51010</v>
      </c>
      <c r="J575" s="644">
        <v>51010</v>
      </c>
      <c r="K575" s="644">
        <v>0</v>
      </c>
      <c r="L575" s="644">
        <v>0</v>
      </c>
      <c r="M575" s="644">
        <v>0</v>
      </c>
      <c r="N575" s="644">
        <v>0</v>
      </c>
      <c r="O575" s="644">
        <v>0</v>
      </c>
      <c r="P575" s="644">
        <v>51010</v>
      </c>
      <c r="Q575" s="644">
        <v>51010</v>
      </c>
      <c r="R575" s="644">
        <v>0</v>
      </c>
      <c r="S575" s="644">
        <v>0</v>
      </c>
      <c r="T575" s="644">
        <v>0</v>
      </c>
      <c r="U575" s="644">
        <v>0</v>
      </c>
      <c r="V575" s="644">
        <v>0</v>
      </c>
      <c r="W575" s="632">
        <v>0</v>
      </c>
      <c r="X575" s="632">
        <v>0</v>
      </c>
    </row>
    <row r="576" spans="1:24" ht="22.5">
      <c r="A576" s="645">
        <v>558</v>
      </c>
      <c r="B576" s="643" t="s">
        <v>1172</v>
      </c>
      <c r="C576" s="645" t="s">
        <v>442</v>
      </c>
      <c r="D576" s="645" t="s">
        <v>1169</v>
      </c>
      <c r="E576" s="645" t="s">
        <v>641</v>
      </c>
      <c r="F576" s="645" t="s">
        <v>1114</v>
      </c>
      <c r="G576" s="645" t="s">
        <v>777</v>
      </c>
      <c r="H576" s="644">
        <v>674975248</v>
      </c>
      <c r="I576" s="644">
        <v>2275248</v>
      </c>
      <c r="J576" s="644">
        <v>2275248</v>
      </c>
      <c r="K576" s="644">
        <v>0</v>
      </c>
      <c r="L576" s="644">
        <v>0</v>
      </c>
      <c r="M576" s="644">
        <v>683441000</v>
      </c>
      <c r="N576" s="644">
        <v>-10741000</v>
      </c>
      <c r="O576" s="644">
        <v>0</v>
      </c>
      <c r="P576" s="644">
        <v>674975248</v>
      </c>
      <c r="Q576" s="644">
        <v>674975248</v>
      </c>
      <c r="R576" s="644">
        <v>0</v>
      </c>
      <c r="S576" s="644">
        <v>0</v>
      </c>
      <c r="T576" s="644">
        <v>0</v>
      </c>
      <c r="U576" s="644">
        <v>0</v>
      </c>
      <c r="V576" s="644">
        <v>0</v>
      </c>
      <c r="W576" s="632">
        <v>0</v>
      </c>
      <c r="X576" s="632">
        <v>0</v>
      </c>
    </row>
    <row r="577" spans="1:24" ht="22.5">
      <c r="A577" s="645">
        <v>559</v>
      </c>
      <c r="B577" s="643" t="s">
        <v>1173</v>
      </c>
      <c r="C577" s="645" t="s">
        <v>442</v>
      </c>
      <c r="D577" s="645" t="s">
        <v>1169</v>
      </c>
      <c r="E577" s="645" t="s">
        <v>904</v>
      </c>
      <c r="F577" s="645" t="s">
        <v>1114</v>
      </c>
      <c r="G577" s="645" t="s">
        <v>777</v>
      </c>
      <c r="H577" s="644">
        <v>1657243000</v>
      </c>
      <c r="I577" s="644">
        <v>0</v>
      </c>
      <c r="J577" s="644">
        <v>0</v>
      </c>
      <c r="K577" s="644">
        <v>0</v>
      </c>
      <c r="L577" s="644">
        <v>0</v>
      </c>
      <c r="M577" s="644">
        <v>1657243000</v>
      </c>
      <c r="N577" s="644">
        <v>0</v>
      </c>
      <c r="O577" s="644">
        <v>0</v>
      </c>
      <c r="P577" s="644">
        <v>1656248559</v>
      </c>
      <c r="Q577" s="644">
        <v>1656248559</v>
      </c>
      <c r="R577" s="644">
        <v>0</v>
      </c>
      <c r="S577" s="644">
        <v>994441</v>
      </c>
      <c r="T577" s="644">
        <v>994441</v>
      </c>
      <c r="U577" s="644">
        <v>0</v>
      </c>
      <c r="V577" s="644">
        <v>0</v>
      </c>
      <c r="W577" s="632">
        <v>0</v>
      </c>
      <c r="X577" s="632">
        <v>0</v>
      </c>
    </row>
    <row r="578" spans="1:24">
      <c r="A578" s="645">
        <v>560</v>
      </c>
      <c r="B578" s="643" t="s">
        <v>1174</v>
      </c>
      <c r="C578" s="645" t="s">
        <v>442</v>
      </c>
      <c r="D578" s="645" t="s">
        <v>1175</v>
      </c>
      <c r="E578" s="645" t="s">
        <v>905</v>
      </c>
      <c r="F578" s="645" t="s">
        <v>1114</v>
      </c>
      <c r="G578" s="645" t="s">
        <v>777</v>
      </c>
      <c r="H578" s="644">
        <v>8557988000</v>
      </c>
      <c r="I578" s="644">
        <v>0</v>
      </c>
      <c r="J578" s="644">
        <v>0</v>
      </c>
      <c r="K578" s="644">
        <v>0</v>
      </c>
      <c r="L578" s="644">
        <v>0</v>
      </c>
      <c r="M578" s="644">
        <v>8561000000</v>
      </c>
      <c r="N578" s="644">
        <v>-3012000</v>
      </c>
      <c r="O578" s="644">
        <v>0</v>
      </c>
      <c r="P578" s="644">
        <v>8479391195</v>
      </c>
      <c r="Q578" s="644">
        <v>8479391195</v>
      </c>
      <c r="R578" s="644">
        <v>0</v>
      </c>
      <c r="S578" s="644">
        <v>78596805</v>
      </c>
      <c r="T578" s="644">
        <v>78596805</v>
      </c>
      <c r="U578" s="644">
        <v>0</v>
      </c>
      <c r="V578" s="644">
        <v>0</v>
      </c>
      <c r="W578" s="632">
        <v>0</v>
      </c>
      <c r="X578" s="632">
        <v>41783000</v>
      </c>
    </row>
    <row r="579" spans="1:24" ht="22.5">
      <c r="A579" s="645">
        <v>561</v>
      </c>
      <c r="B579" s="643" t="s">
        <v>1176</v>
      </c>
      <c r="C579" s="645" t="s">
        <v>442</v>
      </c>
      <c r="D579" s="645" t="s">
        <v>1175</v>
      </c>
      <c r="E579" s="645" t="s">
        <v>904</v>
      </c>
      <c r="F579" s="645" t="s">
        <v>1114</v>
      </c>
      <c r="G579" s="645" t="s">
        <v>777</v>
      </c>
      <c r="H579" s="644">
        <v>2300451000</v>
      </c>
      <c r="I579" s="644">
        <v>0</v>
      </c>
      <c r="J579" s="644">
        <v>0</v>
      </c>
      <c r="K579" s="644">
        <v>0</v>
      </c>
      <c r="L579" s="644">
        <v>0</v>
      </c>
      <c r="M579" s="644">
        <v>768016000</v>
      </c>
      <c r="N579" s="644">
        <v>1532435000</v>
      </c>
      <c r="O579" s="644">
        <v>0</v>
      </c>
      <c r="P579" s="644">
        <v>2298328038</v>
      </c>
      <c r="Q579" s="644">
        <v>2298328038</v>
      </c>
      <c r="R579" s="644">
        <v>0</v>
      </c>
      <c r="S579" s="644">
        <v>2122962</v>
      </c>
      <c r="T579" s="644">
        <v>0</v>
      </c>
      <c r="U579" s="644">
        <v>0</v>
      </c>
      <c r="V579" s="644">
        <v>2122962</v>
      </c>
      <c r="W579" s="632">
        <v>0</v>
      </c>
      <c r="X579" s="632">
        <v>67074000</v>
      </c>
    </row>
    <row r="580" spans="1:24">
      <c r="A580" s="645">
        <v>562</v>
      </c>
      <c r="B580" s="643" t="s">
        <v>1177</v>
      </c>
      <c r="C580" s="645" t="s">
        <v>442</v>
      </c>
      <c r="D580" s="645" t="s">
        <v>1178</v>
      </c>
      <c r="E580" s="645" t="s">
        <v>905</v>
      </c>
      <c r="F580" s="645" t="s">
        <v>1114</v>
      </c>
      <c r="G580" s="645" t="s">
        <v>777</v>
      </c>
      <c r="H580" s="644">
        <v>5347119650</v>
      </c>
      <c r="I580" s="644">
        <v>23666650</v>
      </c>
      <c r="J580" s="644">
        <v>23666650</v>
      </c>
      <c r="K580" s="644">
        <v>0</v>
      </c>
      <c r="L580" s="644">
        <v>0</v>
      </c>
      <c r="M580" s="644">
        <v>5345000000</v>
      </c>
      <c r="N580" s="644">
        <v>-21547000</v>
      </c>
      <c r="O580" s="644">
        <v>0</v>
      </c>
      <c r="P580" s="644">
        <v>5288798568</v>
      </c>
      <c r="Q580" s="644">
        <v>5288798568</v>
      </c>
      <c r="R580" s="644">
        <v>0</v>
      </c>
      <c r="S580" s="644">
        <v>58321082</v>
      </c>
      <c r="T580" s="644">
        <v>58321082</v>
      </c>
      <c r="U580" s="644">
        <v>0</v>
      </c>
      <c r="V580" s="644">
        <v>0</v>
      </c>
      <c r="W580" s="632">
        <v>0</v>
      </c>
      <c r="X580" s="632">
        <v>18372000</v>
      </c>
    </row>
    <row r="581" spans="1:24">
      <c r="A581" s="645">
        <v>563</v>
      </c>
      <c r="B581" s="643" t="s">
        <v>1177</v>
      </c>
      <c r="C581" s="645" t="s">
        <v>442</v>
      </c>
      <c r="D581" s="645" t="s">
        <v>1178</v>
      </c>
      <c r="E581" s="645" t="s">
        <v>1116</v>
      </c>
      <c r="F581" s="645" t="s">
        <v>1114</v>
      </c>
      <c r="G581" s="645" t="s">
        <v>777</v>
      </c>
      <c r="H581" s="644">
        <v>46609000</v>
      </c>
      <c r="I581" s="644">
        <v>0</v>
      </c>
      <c r="J581" s="644">
        <v>0</v>
      </c>
      <c r="K581" s="644">
        <v>0</v>
      </c>
      <c r="L581" s="644">
        <v>0</v>
      </c>
      <c r="M581" s="644">
        <v>0</v>
      </c>
      <c r="N581" s="644">
        <v>46609000</v>
      </c>
      <c r="O581" s="644">
        <v>0</v>
      </c>
      <c r="P581" s="644">
        <v>46609000</v>
      </c>
      <c r="Q581" s="644">
        <v>46609000</v>
      </c>
      <c r="R581" s="644">
        <v>0</v>
      </c>
      <c r="S581" s="644">
        <v>0</v>
      </c>
      <c r="T581" s="644">
        <v>0</v>
      </c>
      <c r="U581" s="644">
        <v>0</v>
      </c>
      <c r="V581" s="644">
        <v>0</v>
      </c>
      <c r="W581" s="632">
        <v>0</v>
      </c>
      <c r="X581" s="632">
        <v>183111500</v>
      </c>
    </row>
    <row r="582" spans="1:24" ht="22.5">
      <c r="A582" s="645">
        <v>564</v>
      </c>
      <c r="B582" s="643" t="s">
        <v>1354</v>
      </c>
      <c r="C582" s="645" t="s">
        <v>442</v>
      </c>
      <c r="D582" s="645" t="s">
        <v>1180</v>
      </c>
      <c r="E582" s="645" t="s">
        <v>894</v>
      </c>
      <c r="F582" s="645" t="s">
        <v>1114</v>
      </c>
      <c r="G582" s="645" t="s">
        <v>777</v>
      </c>
      <c r="H582" s="644">
        <v>32580008</v>
      </c>
      <c r="I582" s="644">
        <v>32580008</v>
      </c>
      <c r="J582" s="644">
        <v>32580008</v>
      </c>
      <c r="K582" s="644">
        <v>0</v>
      </c>
      <c r="L582" s="644">
        <v>0</v>
      </c>
      <c r="M582" s="644">
        <v>0</v>
      </c>
      <c r="N582" s="644">
        <v>0</v>
      </c>
      <c r="O582" s="644">
        <v>0</v>
      </c>
      <c r="P582" s="644">
        <v>0</v>
      </c>
      <c r="Q582" s="644">
        <v>0</v>
      </c>
      <c r="R582" s="644">
        <v>0</v>
      </c>
      <c r="S582" s="644">
        <v>0</v>
      </c>
      <c r="T582" s="644">
        <v>0</v>
      </c>
      <c r="U582" s="644">
        <v>0</v>
      </c>
      <c r="V582" s="644">
        <v>0</v>
      </c>
      <c r="W582" s="632">
        <v>0</v>
      </c>
      <c r="X582" s="632">
        <v>451301200</v>
      </c>
    </row>
    <row r="583" spans="1:24" ht="22.5">
      <c r="A583" s="645">
        <v>565</v>
      </c>
      <c r="B583" s="643" t="s">
        <v>1179</v>
      </c>
      <c r="C583" s="645" t="s">
        <v>442</v>
      </c>
      <c r="D583" s="645" t="s">
        <v>1180</v>
      </c>
      <c r="E583" s="645" t="s">
        <v>905</v>
      </c>
      <c r="F583" s="645" t="s">
        <v>1114</v>
      </c>
      <c r="G583" s="645" t="s">
        <v>777</v>
      </c>
      <c r="H583" s="644">
        <v>10299804000</v>
      </c>
      <c r="I583" s="644">
        <v>0</v>
      </c>
      <c r="J583" s="644">
        <v>0</v>
      </c>
      <c r="K583" s="644">
        <v>0</v>
      </c>
      <c r="L583" s="644">
        <v>0</v>
      </c>
      <c r="M583" s="644">
        <v>10299804000</v>
      </c>
      <c r="N583" s="644">
        <v>0</v>
      </c>
      <c r="O583" s="644">
        <v>0</v>
      </c>
      <c r="P583" s="644">
        <v>10170562359</v>
      </c>
      <c r="Q583" s="644">
        <v>10170562359</v>
      </c>
      <c r="R583" s="644">
        <v>0</v>
      </c>
      <c r="S583" s="644">
        <v>129241641</v>
      </c>
      <c r="T583" s="644">
        <v>129241641</v>
      </c>
      <c r="U583" s="644">
        <v>0</v>
      </c>
      <c r="V583" s="644">
        <v>0</v>
      </c>
      <c r="W583" s="632">
        <v>0</v>
      </c>
      <c r="X583" s="632">
        <v>129810000</v>
      </c>
    </row>
    <row r="584" spans="1:24">
      <c r="A584" s="645">
        <v>566</v>
      </c>
      <c r="B584" s="643" t="s">
        <v>1181</v>
      </c>
      <c r="C584" s="645" t="s">
        <v>442</v>
      </c>
      <c r="D584" s="645" t="s">
        <v>1180</v>
      </c>
      <c r="E584" s="645" t="s">
        <v>905</v>
      </c>
      <c r="F584" s="645" t="s">
        <v>1114</v>
      </c>
      <c r="G584" s="645" t="s">
        <v>777</v>
      </c>
      <c r="H584" s="644">
        <v>691164039</v>
      </c>
      <c r="I584" s="644">
        <v>10445039</v>
      </c>
      <c r="J584" s="644">
        <v>10445039</v>
      </c>
      <c r="K584" s="644">
        <v>0</v>
      </c>
      <c r="L584" s="644">
        <v>0</v>
      </c>
      <c r="M584" s="644">
        <v>680719000</v>
      </c>
      <c r="N584" s="644">
        <v>0</v>
      </c>
      <c r="O584" s="644">
        <v>0</v>
      </c>
      <c r="P584" s="644">
        <v>590782305</v>
      </c>
      <c r="Q584" s="644">
        <v>590782305</v>
      </c>
      <c r="R584" s="644">
        <v>0</v>
      </c>
      <c r="S584" s="644">
        <v>100381734</v>
      </c>
      <c r="T584" s="644">
        <v>100381734</v>
      </c>
      <c r="U584" s="644">
        <v>0</v>
      </c>
      <c r="V584" s="644">
        <v>0</v>
      </c>
      <c r="W584" s="632">
        <v>0</v>
      </c>
      <c r="X584" s="632">
        <v>56269400</v>
      </c>
    </row>
    <row r="585" spans="1:24" ht="22.5">
      <c r="A585" s="645">
        <v>567</v>
      </c>
      <c r="B585" s="643" t="s">
        <v>1355</v>
      </c>
      <c r="C585" s="645" t="s">
        <v>442</v>
      </c>
      <c r="D585" s="645" t="s">
        <v>1180</v>
      </c>
      <c r="E585" s="645" t="s">
        <v>894</v>
      </c>
      <c r="F585" s="645" t="s">
        <v>1114</v>
      </c>
      <c r="G585" s="645" t="s">
        <v>777</v>
      </c>
      <c r="H585" s="644">
        <v>1819148237</v>
      </c>
      <c r="I585" s="644">
        <v>213148237</v>
      </c>
      <c r="J585" s="644">
        <v>213148237</v>
      </c>
      <c r="K585" s="644">
        <v>0</v>
      </c>
      <c r="L585" s="644">
        <v>0</v>
      </c>
      <c r="M585" s="644">
        <v>1606000000</v>
      </c>
      <c r="N585" s="644">
        <v>0</v>
      </c>
      <c r="O585" s="644">
        <v>0</v>
      </c>
      <c r="P585" s="644">
        <v>1789906365</v>
      </c>
      <c r="Q585" s="644">
        <v>1789906365</v>
      </c>
      <c r="R585" s="644">
        <v>0</v>
      </c>
      <c r="S585" s="644">
        <v>29241872</v>
      </c>
      <c r="T585" s="644">
        <v>29241872</v>
      </c>
      <c r="U585" s="644">
        <v>0</v>
      </c>
      <c r="V585" s="644">
        <v>0</v>
      </c>
      <c r="W585" s="632">
        <v>0</v>
      </c>
      <c r="X585" s="632">
        <v>29600300</v>
      </c>
    </row>
    <row r="586" spans="1:24">
      <c r="A586" s="645">
        <v>568</v>
      </c>
      <c r="B586" s="643" t="s">
        <v>1182</v>
      </c>
      <c r="C586" s="645" t="s">
        <v>442</v>
      </c>
      <c r="D586" s="645" t="s">
        <v>1183</v>
      </c>
      <c r="E586" s="645" t="s">
        <v>1184</v>
      </c>
      <c r="F586" s="645" t="s">
        <v>1114</v>
      </c>
      <c r="G586" s="645" t="s">
        <v>777</v>
      </c>
      <c r="H586" s="644">
        <v>6698197072</v>
      </c>
      <c r="I586" s="644">
        <v>63357072</v>
      </c>
      <c r="J586" s="644">
        <v>6546284</v>
      </c>
      <c r="K586" s="644">
        <v>0</v>
      </c>
      <c r="L586" s="644">
        <v>56810788</v>
      </c>
      <c r="M586" s="644">
        <v>6634840000</v>
      </c>
      <c r="N586" s="644">
        <v>0</v>
      </c>
      <c r="O586" s="644">
        <v>0</v>
      </c>
      <c r="P586" s="644">
        <v>6696876042</v>
      </c>
      <c r="Q586" s="644">
        <v>6696876042</v>
      </c>
      <c r="R586" s="644">
        <v>0</v>
      </c>
      <c r="S586" s="644">
        <v>1321030</v>
      </c>
      <c r="T586" s="644">
        <v>1321030</v>
      </c>
      <c r="U586" s="644">
        <v>0</v>
      </c>
      <c r="V586" s="644">
        <v>0</v>
      </c>
      <c r="W586" s="632">
        <v>0</v>
      </c>
      <c r="X586" s="632">
        <v>0</v>
      </c>
    </row>
    <row r="587" spans="1:24" ht="22.5">
      <c r="A587" s="645">
        <v>569</v>
      </c>
      <c r="B587" s="643" t="s">
        <v>1185</v>
      </c>
      <c r="C587" s="645" t="s">
        <v>442</v>
      </c>
      <c r="D587" s="645" t="s">
        <v>1183</v>
      </c>
      <c r="E587" s="645" t="s">
        <v>1356</v>
      </c>
      <c r="F587" s="645" t="s">
        <v>1114</v>
      </c>
      <c r="G587" s="645" t="s">
        <v>1186</v>
      </c>
      <c r="H587" s="644">
        <v>987705887</v>
      </c>
      <c r="I587" s="644">
        <v>987705887</v>
      </c>
      <c r="J587" s="644">
        <v>987705887</v>
      </c>
      <c r="K587" s="644">
        <v>0</v>
      </c>
      <c r="L587" s="644">
        <v>0</v>
      </c>
      <c r="M587" s="644">
        <v>0</v>
      </c>
      <c r="N587" s="644">
        <v>0</v>
      </c>
      <c r="O587" s="644">
        <v>0</v>
      </c>
      <c r="P587" s="644">
        <v>987705887</v>
      </c>
      <c r="Q587" s="644">
        <v>987705887</v>
      </c>
      <c r="R587" s="644">
        <v>0</v>
      </c>
      <c r="S587" s="644">
        <v>0</v>
      </c>
      <c r="T587" s="644">
        <v>0</v>
      </c>
      <c r="U587" s="644">
        <v>0</v>
      </c>
      <c r="V587" s="644">
        <v>0</v>
      </c>
      <c r="W587" s="632">
        <v>0</v>
      </c>
      <c r="X587" s="632">
        <v>0</v>
      </c>
    </row>
    <row r="588" spans="1:24" ht="22.5">
      <c r="A588" s="645">
        <v>570</v>
      </c>
      <c r="B588" s="643" t="s">
        <v>1185</v>
      </c>
      <c r="C588" s="645" t="s">
        <v>442</v>
      </c>
      <c r="D588" s="645" t="s">
        <v>1183</v>
      </c>
      <c r="E588" s="645" t="s">
        <v>1184</v>
      </c>
      <c r="F588" s="645" t="s">
        <v>1114</v>
      </c>
      <c r="G588" s="645" t="s">
        <v>1186</v>
      </c>
      <c r="H588" s="644">
        <v>5752090899</v>
      </c>
      <c r="I588" s="644">
        <v>377562899</v>
      </c>
      <c r="J588" s="644">
        <v>377562899</v>
      </c>
      <c r="K588" s="644">
        <v>0</v>
      </c>
      <c r="L588" s="644">
        <v>0</v>
      </c>
      <c r="M588" s="644">
        <v>5374528000</v>
      </c>
      <c r="N588" s="644">
        <v>0</v>
      </c>
      <c r="O588" s="644">
        <v>0</v>
      </c>
      <c r="P588" s="644">
        <v>5338700602</v>
      </c>
      <c r="Q588" s="644">
        <v>5338700602</v>
      </c>
      <c r="R588" s="644">
        <v>0</v>
      </c>
      <c r="S588" s="644">
        <v>413390297</v>
      </c>
      <c r="T588" s="644">
        <v>413390297</v>
      </c>
      <c r="U588" s="644">
        <v>0</v>
      </c>
      <c r="V588" s="644">
        <v>0</v>
      </c>
      <c r="W588" s="632">
        <v>0</v>
      </c>
      <c r="X588" s="632">
        <v>0</v>
      </c>
    </row>
    <row r="589" spans="1:24" ht="22.5">
      <c r="A589" s="645">
        <v>571</v>
      </c>
      <c r="B589" s="643" t="s">
        <v>1187</v>
      </c>
      <c r="C589" s="645" t="s">
        <v>442</v>
      </c>
      <c r="D589" s="645" t="s">
        <v>1183</v>
      </c>
      <c r="E589" s="645" t="s">
        <v>1184</v>
      </c>
      <c r="F589" s="645" t="s">
        <v>1114</v>
      </c>
      <c r="G589" s="645" t="s">
        <v>1188</v>
      </c>
      <c r="H589" s="644">
        <v>4217428000</v>
      </c>
      <c r="I589" s="644">
        <v>0</v>
      </c>
      <c r="J589" s="644">
        <v>0</v>
      </c>
      <c r="K589" s="644">
        <v>0</v>
      </c>
      <c r="L589" s="644">
        <v>0</v>
      </c>
      <c r="M589" s="644">
        <v>4217428000</v>
      </c>
      <c r="N589" s="644">
        <v>0</v>
      </c>
      <c r="O589" s="644">
        <v>0</v>
      </c>
      <c r="P589" s="644">
        <v>4217428000</v>
      </c>
      <c r="Q589" s="644">
        <v>4217428000</v>
      </c>
      <c r="R589" s="644">
        <v>0</v>
      </c>
      <c r="S589" s="644">
        <v>0</v>
      </c>
      <c r="T589" s="644">
        <v>0</v>
      </c>
      <c r="U589" s="644">
        <v>0</v>
      </c>
      <c r="V589" s="644">
        <v>0</v>
      </c>
      <c r="W589" s="632">
        <v>0</v>
      </c>
      <c r="X589" s="632">
        <v>0</v>
      </c>
    </row>
    <row r="590" spans="1:24" ht="22.5">
      <c r="A590" s="645">
        <v>572</v>
      </c>
      <c r="B590" s="643" t="s">
        <v>1189</v>
      </c>
      <c r="C590" s="645" t="s">
        <v>442</v>
      </c>
      <c r="D590" s="645" t="s">
        <v>1183</v>
      </c>
      <c r="E590" s="645" t="s">
        <v>1184</v>
      </c>
      <c r="F590" s="645" t="s">
        <v>1114</v>
      </c>
      <c r="G590" s="645" t="s">
        <v>1190</v>
      </c>
      <c r="H590" s="644">
        <v>1840340000</v>
      </c>
      <c r="I590" s="644">
        <v>0</v>
      </c>
      <c r="J590" s="644">
        <v>0</v>
      </c>
      <c r="K590" s="644">
        <v>0</v>
      </c>
      <c r="L590" s="644">
        <v>0</v>
      </c>
      <c r="M590" s="644">
        <v>1840340000</v>
      </c>
      <c r="N590" s="644">
        <v>0</v>
      </c>
      <c r="O590" s="644">
        <v>0</v>
      </c>
      <c r="P590" s="644">
        <v>1840340000</v>
      </c>
      <c r="Q590" s="644">
        <v>1840340000</v>
      </c>
      <c r="R590" s="644">
        <v>0</v>
      </c>
      <c r="S590" s="644">
        <v>0</v>
      </c>
      <c r="T590" s="644">
        <v>0</v>
      </c>
      <c r="U590" s="644">
        <v>0</v>
      </c>
      <c r="V590" s="644">
        <v>0</v>
      </c>
      <c r="W590" s="632">
        <v>0</v>
      </c>
      <c r="X590" s="632">
        <v>0</v>
      </c>
    </row>
    <row r="591" spans="1:24" ht="22.5">
      <c r="A591" s="645">
        <v>573</v>
      </c>
      <c r="B591" s="643" t="s">
        <v>1191</v>
      </c>
      <c r="C591" s="645" t="s">
        <v>442</v>
      </c>
      <c r="D591" s="645" t="s">
        <v>1183</v>
      </c>
      <c r="E591" s="645" t="s">
        <v>1192</v>
      </c>
      <c r="F591" s="645" t="s">
        <v>1114</v>
      </c>
      <c r="G591" s="645" t="s">
        <v>777</v>
      </c>
      <c r="H591" s="644">
        <v>11733492890</v>
      </c>
      <c r="I591" s="644">
        <v>408117890</v>
      </c>
      <c r="J591" s="644">
        <v>408117890</v>
      </c>
      <c r="K591" s="644">
        <v>0</v>
      </c>
      <c r="L591" s="644">
        <v>0</v>
      </c>
      <c r="M591" s="644">
        <v>11325375000</v>
      </c>
      <c r="N591" s="644">
        <v>0</v>
      </c>
      <c r="O591" s="644">
        <v>0</v>
      </c>
      <c r="P591" s="644">
        <v>11446752659</v>
      </c>
      <c r="Q591" s="644">
        <v>11446752659</v>
      </c>
      <c r="R591" s="644">
        <v>0</v>
      </c>
      <c r="S591" s="644">
        <v>286740231</v>
      </c>
      <c r="T591" s="644">
        <v>286740231</v>
      </c>
      <c r="U591" s="644">
        <v>0</v>
      </c>
      <c r="V591" s="644">
        <v>0</v>
      </c>
      <c r="W591" s="632">
        <v>0</v>
      </c>
      <c r="X591" s="632">
        <v>0</v>
      </c>
    </row>
    <row r="592" spans="1:24" ht="22.5">
      <c r="A592" s="645">
        <v>574</v>
      </c>
      <c r="B592" s="643" t="s">
        <v>1193</v>
      </c>
      <c r="C592" s="645" t="s">
        <v>442</v>
      </c>
      <c r="D592" s="645" t="s">
        <v>1183</v>
      </c>
      <c r="E592" s="645" t="s">
        <v>1194</v>
      </c>
      <c r="F592" s="645" t="s">
        <v>1114</v>
      </c>
      <c r="G592" s="645" t="s">
        <v>777</v>
      </c>
      <c r="H592" s="644">
        <v>2626152996</v>
      </c>
      <c r="I592" s="644">
        <v>222193996</v>
      </c>
      <c r="J592" s="644">
        <v>222193996</v>
      </c>
      <c r="K592" s="644">
        <v>0</v>
      </c>
      <c r="L592" s="644">
        <v>0</v>
      </c>
      <c r="M592" s="644">
        <v>2403959000</v>
      </c>
      <c r="N592" s="644">
        <v>0</v>
      </c>
      <c r="O592" s="644">
        <v>0</v>
      </c>
      <c r="P592" s="644">
        <v>2602922116</v>
      </c>
      <c r="Q592" s="644">
        <v>2602922116</v>
      </c>
      <c r="R592" s="644">
        <v>0</v>
      </c>
      <c r="S592" s="644">
        <v>23230880</v>
      </c>
      <c r="T592" s="644">
        <v>23230880</v>
      </c>
      <c r="U592" s="644">
        <v>0</v>
      </c>
      <c r="V592" s="644">
        <v>0</v>
      </c>
      <c r="W592" s="632">
        <v>0</v>
      </c>
      <c r="X592" s="632">
        <v>88144000</v>
      </c>
    </row>
    <row r="593" spans="1:24" ht="22.5">
      <c r="A593" s="645">
        <v>575</v>
      </c>
      <c r="B593" s="643" t="s">
        <v>1195</v>
      </c>
      <c r="C593" s="645" t="s">
        <v>442</v>
      </c>
      <c r="D593" s="645" t="s">
        <v>1183</v>
      </c>
      <c r="E593" s="645" t="s">
        <v>1184</v>
      </c>
      <c r="F593" s="645" t="s">
        <v>1114</v>
      </c>
      <c r="G593" s="645" t="s">
        <v>1190</v>
      </c>
      <c r="H593" s="644">
        <v>6983320015</v>
      </c>
      <c r="I593" s="644">
        <v>56837015</v>
      </c>
      <c r="J593" s="644">
        <v>56837015</v>
      </c>
      <c r="K593" s="644">
        <v>0</v>
      </c>
      <c r="L593" s="644">
        <v>0</v>
      </c>
      <c r="M593" s="644">
        <v>6926483000</v>
      </c>
      <c r="N593" s="644">
        <v>0</v>
      </c>
      <c r="O593" s="644">
        <v>0</v>
      </c>
      <c r="P593" s="644">
        <v>6983320015</v>
      </c>
      <c r="Q593" s="644">
        <v>6983320015</v>
      </c>
      <c r="R593" s="644">
        <v>0</v>
      </c>
      <c r="S593" s="644">
        <v>0</v>
      </c>
      <c r="T593" s="644">
        <v>0</v>
      </c>
      <c r="U593" s="644">
        <v>0</v>
      </c>
      <c r="V593" s="644">
        <v>0</v>
      </c>
      <c r="W593" s="632">
        <v>0</v>
      </c>
      <c r="X593" s="632">
        <v>44527900</v>
      </c>
    </row>
    <row r="594" spans="1:24" ht="22.5">
      <c r="A594" s="645">
        <v>576</v>
      </c>
      <c r="B594" s="643" t="s">
        <v>1357</v>
      </c>
      <c r="C594" s="645" t="s">
        <v>442</v>
      </c>
      <c r="D594" s="645" t="s">
        <v>1183</v>
      </c>
      <c r="E594" s="645" t="s">
        <v>1194</v>
      </c>
      <c r="F594" s="645" t="s">
        <v>1114</v>
      </c>
      <c r="G594" s="645" t="s">
        <v>777</v>
      </c>
      <c r="H594" s="644">
        <v>388792099</v>
      </c>
      <c r="I594" s="644">
        <v>388792099</v>
      </c>
      <c r="J594" s="644">
        <v>388792099</v>
      </c>
      <c r="K594" s="644">
        <v>0</v>
      </c>
      <c r="L594" s="644">
        <v>0</v>
      </c>
      <c r="M594" s="644">
        <v>0</v>
      </c>
      <c r="N594" s="644">
        <v>0</v>
      </c>
      <c r="O594" s="644">
        <v>0</v>
      </c>
      <c r="P594" s="644">
        <v>0</v>
      </c>
      <c r="Q594" s="644">
        <v>0</v>
      </c>
      <c r="R594" s="644">
        <v>0</v>
      </c>
      <c r="S594" s="644">
        <v>0</v>
      </c>
      <c r="T594" s="644">
        <v>0</v>
      </c>
      <c r="U594" s="644">
        <v>0</v>
      </c>
      <c r="V594" s="644">
        <v>0</v>
      </c>
      <c r="W594" s="632">
        <v>0</v>
      </c>
      <c r="X594" s="632">
        <v>0</v>
      </c>
    </row>
    <row r="595" spans="1:24" ht="22.5">
      <c r="A595" s="645">
        <v>577</v>
      </c>
      <c r="B595" s="643" t="s">
        <v>1196</v>
      </c>
      <c r="C595" s="645" t="s">
        <v>442</v>
      </c>
      <c r="D595" s="645" t="s">
        <v>1183</v>
      </c>
      <c r="E595" s="645" t="s">
        <v>1184</v>
      </c>
      <c r="F595" s="645" t="s">
        <v>1114</v>
      </c>
      <c r="G595" s="645" t="s">
        <v>1190</v>
      </c>
      <c r="H595" s="644">
        <v>9020438000</v>
      </c>
      <c r="I595" s="644">
        <v>820000</v>
      </c>
      <c r="J595" s="644">
        <v>820000</v>
      </c>
      <c r="K595" s="644">
        <v>0</v>
      </c>
      <c r="L595" s="644">
        <v>0</v>
      </c>
      <c r="M595" s="644">
        <v>9019618000</v>
      </c>
      <c r="N595" s="644">
        <v>0</v>
      </c>
      <c r="O595" s="644">
        <v>0</v>
      </c>
      <c r="P595" s="644">
        <v>9020438000</v>
      </c>
      <c r="Q595" s="644">
        <v>9020438000</v>
      </c>
      <c r="R595" s="644">
        <v>0</v>
      </c>
      <c r="S595" s="644">
        <v>0</v>
      </c>
      <c r="T595" s="644">
        <v>0</v>
      </c>
      <c r="U595" s="644">
        <v>0</v>
      </c>
      <c r="V595" s="644">
        <v>0</v>
      </c>
      <c r="W595" s="632">
        <v>0</v>
      </c>
      <c r="X595" s="632">
        <v>0</v>
      </c>
    </row>
    <row r="596" spans="1:24" ht="22.5">
      <c r="A596" s="645">
        <v>578</v>
      </c>
      <c r="B596" s="643" t="s">
        <v>1197</v>
      </c>
      <c r="C596" s="645" t="s">
        <v>442</v>
      </c>
      <c r="D596" s="645" t="s">
        <v>1183</v>
      </c>
      <c r="E596" s="645" t="s">
        <v>1184</v>
      </c>
      <c r="F596" s="645" t="s">
        <v>1114</v>
      </c>
      <c r="G596" s="645" t="s">
        <v>777</v>
      </c>
      <c r="H596" s="644">
        <v>8603741847</v>
      </c>
      <c r="I596" s="644">
        <v>154117847</v>
      </c>
      <c r="J596" s="644">
        <v>154117847</v>
      </c>
      <c r="K596" s="644">
        <v>0</v>
      </c>
      <c r="L596" s="644">
        <v>0</v>
      </c>
      <c r="M596" s="644">
        <v>8449624000</v>
      </c>
      <c r="N596" s="644">
        <v>0</v>
      </c>
      <c r="O596" s="644">
        <v>0</v>
      </c>
      <c r="P596" s="644">
        <v>8403326454</v>
      </c>
      <c r="Q596" s="644">
        <v>8403326454</v>
      </c>
      <c r="R596" s="644">
        <v>0</v>
      </c>
      <c r="S596" s="644">
        <v>200415393</v>
      </c>
      <c r="T596" s="644">
        <v>200415393</v>
      </c>
      <c r="U596" s="644">
        <v>0</v>
      </c>
      <c r="V596" s="644">
        <v>0</v>
      </c>
      <c r="W596" s="632">
        <v>0</v>
      </c>
      <c r="X596" s="632">
        <v>0</v>
      </c>
    </row>
    <row r="597" spans="1:24" ht="22.5">
      <c r="A597" s="645">
        <v>579</v>
      </c>
      <c r="B597" s="643" t="s">
        <v>1198</v>
      </c>
      <c r="C597" s="645" t="s">
        <v>442</v>
      </c>
      <c r="D597" s="645" t="s">
        <v>1183</v>
      </c>
      <c r="E597" s="645" t="s">
        <v>1184</v>
      </c>
      <c r="F597" s="645" t="s">
        <v>1114</v>
      </c>
      <c r="G597" s="645" t="s">
        <v>1199</v>
      </c>
      <c r="H597" s="644">
        <v>8945565000</v>
      </c>
      <c r="I597" s="644">
        <v>0</v>
      </c>
      <c r="J597" s="644">
        <v>0</v>
      </c>
      <c r="K597" s="644">
        <v>0</v>
      </c>
      <c r="L597" s="644">
        <v>0</v>
      </c>
      <c r="M597" s="644">
        <v>8945565000</v>
      </c>
      <c r="N597" s="644">
        <v>0</v>
      </c>
      <c r="O597" s="644">
        <v>0</v>
      </c>
      <c r="P597" s="644">
        <v>8945565000</v>
      </c>
      <c r="Q597" s="644">
        <v>8945565000</v>
      </c>
      <c r="R597" s="644">
        <v>0</v>
      </c>
      <c r="S597" s="644">
        <v>0</v>
      </c>
      <c r="T597" s="644">
        <v>0</v>
      </c>
      <c r="U597" s="644">
        <v>0</v>
      </c>
      <c r="V597" s="644">
        <v>0</v>
      </c>
      <c r="W597" s="632">
        <v>0</v>
      </c>
      <c r="X597" s="632">
        <v>0</v>
      </c>
    </row>
    <row r="598" spans="1:24" ht="22.5">
      <c r="A598" s="645">
        <v>580</v>
      </c>
      <c r="B598" s="643" t="s">
        <v>1200</v>
      </c>
      <c r="C598" s="645" t="s">
        <v>442</v>
      </c>
      <c r="D598" s="645" t="s">
        <v>1183</v>
      </c>
      <c r="E598" s="645" t="s">
        <v>1184</v>
      </c>
      <c r="F598" s="645" t="s">
        <v>1114</v>
      </c>
      <c r="G598" s="645" t="s">
        <v>1201</v>
      </c>
      <c r="H598" s="644">
        <v>4282117000</v>
      </c>
      <c r="I598" s="644">
        <v>0</v>
      </c>
      <c r="J598" s="644">
        <v>0</v>
      </c>
      <c r="K598" s="644">
        <v>0</v>
      </c>
      <c r="L598" s="644">
        <v>0</v>
      </c>
      <c r="M598" s="644">
        <v>4282117000</v>
      </c>
      <c r="N598" s="644">
        <v>0</v>
      </c>
      <c r="O598" s="644">
        <v>0</v>
      </c>
      <c r="P598" s="644">
        <v>4140218937</v>
      </c>
      <c r="Q598" s="644">
        <v>4140218937</v>
      </c>
      <c r="R598" s="644">
        <v>0</v>
      </c>
      <c r="S598" s="644">
        <v>141898063</v>
      </c>
      <c r="T598" s="644">
        <v>141898063</v>
      </c>
      <c r="U598" s="644">
        <v>0</v>
      </c>
      <c r="V598" s="644">
        <v>0</v>
      </c>
      <c r="W598" s="632">
        <v>0</v>
      </c>
      <c r="X598" s="632">
        <v>0</v>
      </c>
    </row>
    <row r="599" spans="1:24" ht="22.5">
      <c r="A599" s="645">
        <v>581</v>
      </c>
      <c r="B599" s="643" t="s">
        <v>1202</v>
      </c>
      <c r="C599" s="645" t="s">
        <v>442</v>
      </c>
      <c r="D599" s="645" t="s">
        <v>1183</v>
      </c>
      <c r="E599" s="645" t="s">
        <v>1184</v>
      </c>
      <c r="F599" s="645" t="s">
        <v>1114</v>
      </c>
      <c r="G599" s="645" t="s">
        <v>1203</v>
      </c>
      <c r="H599" s="644">
        <v>8491541000</v>
      </c>
      <c r="I599" s="644">
        <v>0</v>
      </c>
      <c r="J599" s="644">
        <v>0</v>
      </c>
      <c r="K599" s="644">
        <v>0</v>
      </c>
      <c r="L599" s="644">
        <v>0</v>
      </c>
      <c r="M599" s="644">
        <v>8491541000</v>
      </c>
      <c r="N599" s="644">
        <v>0</v>
      </c>
      <c r="O599" s="644">
        <v>0</v>
      </c>
      <c r="P599" s="644">
        <v>8491541000</v>
      </c>
      <c r="Q599" s="644">
        <v>8491541000</v>
      </c>
      <c r="R599" s="644">
        <v>0</v>
      </c>
      <c r="S599" s="644">
        <v>0</v>
      </c>
      <c r="T599" s="644">
        <v>0</v>
      </c>
      <c r="U599" s="644">
        <v>0</v>
      </c>
      <c r="V599" s="644">
        <v>0</v>
      </c>
      <c r="W599" s="632">
        <v>0</v>
      </c>
      <c r="X599" s="632">
        <v>0</v>
      </c>
    </row>
    <row r="600" spans="1:24" ht="22.5">
      <c r="A600" s="645">
        <v>582</v>
      </c>
      <c r="B600" s="643" t="s">
        <v>1204</v>
      </c>
      <c r="C600" s="645" t="s">
        <v>442</v>
      </c>
      <c r="D600" s="645" t="s">
        <v>1183</v>
      </c>
      <c r="E600" s="645" t="s">
        <v>1184</v>
      </c>
      <c r="F600" s="645" t="s">
        <v>1114</v>
      </c>
      <c r="G600" s="645" t="s">
        <v>1205</v>
      </c>
      <c r="H600" s="644">
        <v>4404792000</v>
      </c>
      <c r="I600" s="644">
        <v>0</v>
      </c>
      <c r="J600" s="644">
        <v>0</v>
      </c>
      <c r="K600" s="644">
        <v>0</v>
      </c>
      <c r="L600" s="644">
        <v>0</v>
      </c>
      <c r="M600" s="644">
        <v>4404792000</v>
      </c>
      <c r="N600" s="644">
        <v>0</v>
      </c>
      <c r="O600" s="644">
        <v>0</v>
      </c>
      <c r="P600" s="644">
        <v>4404792000</v>
      </c>
      <c r="Q600" s="644">
        <v>4404792000</v>
      </c>
      <c r="R600" s="644">
        <v>0</v>
      </c>
      <c r="S600" s="644">
        <v>0</v>
      </c>
      <c r="T600" s="644">
        <v>0</v>
      </c>
      <c r="U600" s="644">
        <v>0</v>
      </c>
      <c r="V600" s="644">
        <v>0</v>
      </c>
      <c r="W600" s="632">
        <v>0</v>
      </c>
      <c r="X600" s="632">
        <v>0</v>
      </c>
    </row>
    <row r="601" spans="1:24" ht="22.5">
      <c r="A601" s="645">
        <v>583</v>
      </c>
      <c r="B601" s="643" t="s">
        <v>1206</v>
      </c>
      <c r="C601" s="645" t="s">
        <v>442</v>
      </c>
      <c r="D601" s="645" t="s">
        <v>1183</v>
      </c>
      <c r="E601" s="645" t="s">
        <v>1184</v>
      </c>
      <c r="F601" s="645" t="s">
        <v>1114</v>
      </c>
      <c r="G601" s="645" t="s">
        <v>1205</v>
      </c>
      <c r="H601" s="644">
        <v>7412885592</v>
      </c>
      <c r="I601" s="644">
        <v>6183592</v>
      </c>
      <c r="J601" s="644">
        <v>6183592</v>
      </c>
      <c r="K601" s="644">
        <v>0</v>
      </c>
      <c r="L601" s="644">
        <v>0</v>
      </c>
      <c r="M601" s="644">
        <v>7406702000</v>
      </c>
      <c r="N601" s="644">
        <v>0</v>
      </c>
      <c r="O601" s="644">
        <v>0</v>
      </c>
      <c r="P601" s="644">
        <v>7412885592</v>
      </c>
      <c r="Q601" s="644">
        <v>7412885592</v>
      </c>
      <c r="R601" s="644">
        <v>0</v>
      </c>
      <c r="S601" s="644">
        <v>0</v>
      </c>
      <c r="T601" s="644">
        <v>0</v>
      </c>
      <c r="U601" s="644">
        <v>0</v>
      </c>
      <c r="V601" s="644">
        <v>0</v>
      </c>
      <c r="W601" s="632">
        <v>0</v>
      </c>
      <c r="X601" s="632">
        <v>0</v>
      </c>
    </row>
    <row r="602" spans="1:24" ht="22.5">
      <c r="A602" s="645">
        <v>584</v>
      </c>
      <c r="B602" s="643" t="s">
        <v>1207</v>
      </c>
      <c r="C602" s="645" t="s">
        <v>442</v>
      </c>
      <c r="D602" s="645" t="s">
        <v>1183</v>
      </c>
      <c r="E602" s="645" t="s">
        <v>1184</v>
      </c>
      <c r="F602" s="645" t="s">
        <v>1114</v>
      </c>
      <c r="G602" s="645" t="s">
        <v>1208</v>
      </c>
      <c r="H602" s="644">
        <v>6316586000</v>
      </c>
      <c r="I602" s="644">
        <v>0</v>
      </c>
      <c r="J602" s="644">
        <v>0</v>
      </c>
      <c r="K602" s="644">
        <v>0</v>
      </c>
      <c r="L602" s="644">
        <v>0</v>
      </c>
      <c r="M602" s="644">
        <v>6316586000</v>
      </c>
      <c r="N602" s="644">
        <v>0</v>
      </c>
      <c r="O602" s="644">
        <v>0</v>
      </c>
      <c r="P602" s="644">
        <v>6316586000</v>
      </c>
      <c r="Q602" s="644">
        <v>6316586000</v>
      </c>
      <c r="R602" s="644">
        <v>0</v>
      </c>
      <c r="S602" s="644">
        <v>0</v>
      </c>
      <c r="T602" s="644">
        <v>0</v>
      </c>
      <c r="U602" s="644">
        <v>0</v>
      </c>
      <c r="V602" s="644">
        <v>0</v>
      </c>
      <c r="W602" s="632">
        <v>0</v>
      </c>
      <c r="X602" s="632">
        <v>0</v>
      </c>
    </row>
    <row r="603" spans="1:24" ht="22.5">
      <c r="A603" s="645">
        <v>585</v>
      </c>
      <c r="B603" s="643" t="s">
        <v>1209</v>
      </c>
      <c r="C603" s="645" t="s">
        <v>442</v>
      </c>
      <c r="D603" s="645" t="s">
        <v>1183</v>
      </c>
      <c r="E603" s="645" t="s">
        <v>1184</v>
      </c>
      <c r="F603" s="645" t="s">
        <v>1114</v>
      </c>
      <c r="G603" s="645" t="s">
        <v>1205</v>
      </c>
      <c r="H603" s="644">
        <v>5154739000</v>
      </c>
      <c r="I603" s="644">
        <v>0</v>
      </c>
      <c r="J603" s="644">
        <v>0</v>
      </c>
      <c r="K603" s="644">
        <v>0</v>
      </c>
      <c r="L603" s="644">
        <v>0</v>
      </c>
      <c r="M603" s="644">
        <v>5154739000</v>
      </c>
      <c r="N603" s="644">
        <v>0</v>
      </c>
      <c r="O603" s="644">
        <v>0</v>
      </c>
      <c r="P603" s="644">
        <v>5154739000</v>
      </c>
      <c r="Q603" s="644">
        <v>5154739000</v>
      </c>
      <c r="R603" s="644">
        <v>0</v>
      </c>
      <c r="S603" s="644">
        <v>0</v>
      </c>
      <c r="T603" s="644">
        <v>0</v>
      </c>
      <c r="U603" s="644">
        <v>0</v>
      </c>
      <c r="V603" s="644">
        <v>0</v>
      </c>
      <c r="W603" s="632">
        <v>0</v>
      </c>
      <c r="X603" s="632">
        <v>131242312</v>
      </c>
    </row>
    <row r="604" spans="1:24" ht="22.5">
      <c r="A604" s="645">
        <v>586</v>
      </c>
      <c r="B604" s="643" t="s">
        <v>1210</v>
      </c>
      <c r="C604" s="645" t="s">
        <v>442</v>
      </c>
      <c r="D604" s="645" t="s">
        <v>1183</v>
      </c>
      <c r="E604" s="645" t="s">
        <v>1184</v>
      </c>
      <c r="F604" s="645" t="s">
        <v>1114</v>
      </c>
      <c r="G604" s="645" t="s">
        <v>1208</v>
      </c>
      <c r="H604" s="644">
        <v>5103349000</v>
      </c>
      <c r="I604" s="644">
        <v>0</v>
      </c>
      <c r="J604" s="644">
        <v>0</v>
      </c>
      <c r="K604" s="644">
        <v>0</v>
      </c>
      <c r="L604" s="644">
        <v>0</v>
      </c>
      <c r="M604" s="644">
        <v>5103349000</v>
      </c>
      <c r="N604" s="644">
        <v>0</v>
      </c>
      <c r="O604" s="644">
        <v>0</v>
      </c>
      <c r="P604" s="644">
        <v>4883693963</v>
      </c>
      <c r="Q604" s="644">
        <v>4883693963</v>
      </c>
      <c r="R604" s="644">
        <v>0</v>
      </c>
      <c r="S604" s="644">
        <v>219655037</v>
      </c>
      <c r="T604" s="644">
        <v>219655037</v>
      </c>
      <c r="U604" s="644">
        <v>0</v>
      </c>
      <c r="V604" s="644">
        <v>0</v>
      </c>
      <c r="W604" s="632">
        <v>0</v>
      </c>
      <c r="X604" s="632">
        <v>4904900</v>
      </c>
    </row>
    <row r="605" spans="1:24" ht="22.5">
      <c r="A605" s="645">
        <v>587</v>
      </c>
      <c r="B605" s="643" t="s">
        <v>1211</v>
      </c>
      <c r="C605" s="645" t="s">
        <v>442</v>
      </c>
      <c r="D605" s="645" t="s">
        <v>1183</v>
      </c>
      <c r="E605" s="645" t="s">
        <v>1184</v>
      </c>
      <c r="F605" s="645" t="s">
        <v>1114</v>
      </c>
      <c r="G605" s="645" t="s">
        <v>1188</v>
      </c>
      <c r="H605" s="644">
        <v>5673108433</v>
      </c>
      <c r="I605" s="644">
        <v>107366433</v>
      </c>
      <c r="J605" s="644">
        <v>980865</v>
      </c>
      <c r="K605" s="644">
        <v>0</v>
      </c>
      <c r="L605" s="644">
        <v>106385568</v>
      </c>
      <c r="M605" s="644">
        <v>5565742000</v>
      </c>
      <c r="N605" s="644">
        <v>0</v>
      </c>
      <c r="O605" s="644">
        <v>0</v>
      </c>
      <c r="P605" s="644">
        <v>5649372528</v>
      </c>
      <c r="Q605" s="644">
        <v>5649372528</v>
      </c>
      <c r="R605" s="644">
        <v>0</v>
      </c>
      <c r="S605" s="644">
        <v>23735905</v>
      </c>
      <c r="T605" s="644">
        <v>23735905</v>
      </c>
      <c r="U605" s="644">
        <v>0</v>
      </c>
      <c r="V605" s="644">
        <v>0</v>
      </c>
      <c r="W605" s="632">
        <v>0</v>
      </c>
      <c r="X605" s="632">
        <v>0</v>
      </c>
    </row>
    <row r="606" spans="1:24" ht="22.5">
      <c r="A606" s="645">
        <v>588</v>
      </c>
      <c r="B606" s="643" t="s">
        <v>1212</v>
      </c>
      <c r="C606" s="645" t="s">
        <v>442</v>
      </c>
      <c r="D606" s="645" t="s">
        <v>1183</v>
      </c>
      <c r="E606" s="645" t="s">
        <v>1184</v>
      </c>
      <c r="F606" s="645" t="s">
        <v>1114</v>
      </c>
      <c r="G606" s="645" t="s">
        <v>777</v>
      </c>
      <c r="H606" s="644">
        <v>14371723648</v>
      </c>
      <c r="I606" s="644">
        <v>3635750648</v>
      </c>
      <c r="J606" s="644">
        <v>3635750648</v>
      </c>
      <c r="K606" s="644">
        <v>0</v>
      </c>
      <c r="L606" s="644">
        <v>0</v>
      </c>
      <c r="M606" s="644">
        <v>10735973000</v>
      </c>
      <c r="N606" s="644">
        <v>0</v>
      </c>
      <c r="O606" s="644">
        <v>0</v>
      </c>
      <c r="P606" s="644">
        <v>12373555631</v>
      </c>
      <c r="Q606" s="644">
        <v>12373555631</v>
      </c>
      <c r="R606" s="644">
        <v>0</v>
      </c>
      <c r="S606" s="644">
        <v>1998168017</v>
      </c>
      <c r="T606" s="644">
        <v>1998168017</v>
      </c>
      <c r="U606" s="644">
        <v>0</v>
      </c>
      <c r="V606" s="644">
        <v>0</v>
      </c>
      <c r="W606" s="632">
        <v>0</v>
      </c>
      <c r="X606" s="632">
        <v>0</v>
      </c>
    </row>
    <row r="607" spans="1:24" ht="22.5">
      <c r="A607" s="645">
        <v>589</v>
      </c>
      <c r="B607" s="643" t="s">
        <v>1213</v>
      </c>
      <c r="C607" s="645" t="s">
        <v>442</v>
      </c>
      <c r="D607" s="645" t="s">
        <v>1183</v>
      </c>
      <c r="E607" s="645" t="s">
        <v>1184</v>
      </c>
      <c r="F607" s="645" t="s">
        <v>1114</v>
      </c>
      <c r="G607" s="645" t="s">
        <v>777</v>
      </c>
      <c r="H607" s="644">
        <v>11128891783</v>
      </c>
      <c r="I607" s="644">
        <v>199234783</v>
      </c>
      <c r="J607" s="644">
        <v>199234783</v>
      </c>
      <c r="K607" s="644">
        <v>0</v>
      </c>
      <c r="L607" s="644">
        <v>0</v>
      </c>
      <c r="M607" s="644">
        <v>10929657000</v>
      </c>
      <c r="N607" s="644">
        <v>0</v>
      </c>
      <c r="O607" s="644">
        <v>0</v>
      </c>
      <c r="P607" s="644">
        <v>11128891782</v>
      </c>
      <c r="Q607" s="644">
        <v>11128891782</v>
      </c>
      <c r="R607" s="644">
        <v>0</v>
      </c>
      <c r="S607" s="644">
        <v>1</v>
      </c>
      <c r="T607" s="644">
        <v>1</v>
      </c>
      <c r="U607" s="644">
        <v>0</v>
      </c>
      <c r="V607" s="644">
        <v>0</v>
      </c>
      <c r="W607" s="632">
        <v>0</v>
      </c>
      <c r="X607" s="632">
        <v>0</v>
      </c>
    </row>
    <row r="608" spans="1:24" ht="22.5">
      <c r="A608" s="645">
        <v>590</v>
      </c>
      <c r="B608" s="643" t="s">
        <v>1214</v>
      </c>
      <c r="C608" s="645" t="s">
        <v>442</v>
      </c>
      <c r="D608" s="645" t="s">
        <v>1183</v>
      </c>
      <c r="E608" s="645" t="s">
        <v>1184</v>
      </c>
      <c r="F608" s="645" t="s">
        <v>1114</v>
      </c>
      <c r="G608" s="645" t="s">
        <v>777</v>
      </c>
      <c r="H608" s="644">
        <v>25040695072</v>
      </c>
      <c r="I608" s="644">
        <v>4750464072</v>
      </c>
      <c r="J608" s="644">
        <v>4737453580</v>
      </c>
      <c r="K608" s="644">
        <v>0</v>
      </c>
      <c r="L608" s="644">
        <v>13010492</v>
      </c>
      <c r="M608" s="644">
        <v>20290231000</v>
      </c>
      <c r="N608" s="644">
        <v>0</v>
      </c>
      <c r="O608" s="644">
        <v>0</v>
      </c>
      <c r="P608" s="644">
        <v>24041901072</v>
      </c>
      <c r="Q608" s="644">
        <v>24041901072</v>
      </c>
      <c r="R608" s="644">
        <v>0</v>
      </c>
      <c r="S608" s="644">
        <v>998794000</v>
      </c>
      <c r="T608" s="644">
        <v>998794000</v>
      </c>
      <c r="U608" s="644">
        <v>0</v>
      </c>
      <c r="V608" s="644">
        <v>0</v>
      </c>
      <c r="W608" s="632">
        <v>0</v>
      </c>
      <c r="X608" s="632">
        <v>43458000</v>
      </c>
    </row>
    <row r="609" spans="1:24" ht="22.5">
      <c r="A609" s="645">
        <v>591</v>
      </c>
      <c r="B609" s="643" t="s">
        <v>1215</v>
      </c>
      <c r="C609" s="645" t="s">
        <v>442</v>
      </c>
      <c r="D609" s="645" t="s">
        <v>1183</v>
      </c>
      <c r="E609" s="645" t="s">
        <v>1356</v>
      </c>
      <c r="F609" s="645" t="s">
        <v>1114</v>
      </c>
      <c r="G609" s="645" t="s">
        <v>777</v>
      </c>
      <c r="H609" s="644">
        <v>2535632724</v>
      </c>
      <c r="I609" s="644">
        <v>2535632724</v>
      </c>
      <c r="J609" s="644">
        <v>2535632724</v>
      </c>
      <c r="K609" s="644">
        <v>0</v>
      </c>
      <c r="L609" s="644">
        <v>0</v>
      </c>
      <c r="M609" s="644">
        <v>0</v>
      </c>
      <c r="N609" s="644">
        <v>0</v>
      </c>
      <c r="O609" s="644">
        <v>0</v>
      </c>
      <c r="P609" s="644">
        <v>1637067296</v>
      </c>
      <c r="Q609" s="644">
        <v>1637067296</v>
      </c>
      <c r="R609" s="644">
        <v>0</v>
      </c>
      <c r="S609" s="644">
        <v>898565428</v>
      </c>
      <c r="T609" s="644">
        <v>898565428</v>
      </c>
      <c r="U609" s="644">
        <v>0</v>
      </c>
      <c r="V609" s="644">
        <v>0</v>
      </c>
      <c r="W609" s="632">
        <v>0</v>
      </c>
      <c r="X609" s="632">
        <v>1070000</v>
      </c>
    </row>
    <row r="610" spans="1:24" ht="22.5">
      <c r="A610" s="645">
        <v>592</v>
      </c>
      <c r="B610" s="643" t="s">
        <v>1215</v>
      </c>
      <c r="C610" s="645" t="s">
        <v>442</v>
      </c>
      <c r="D610" s="645" t="s">
        <v>1183</v>
      </c>
      <c r="E610" s="645" t="s">
        <v>1184</v>
      </c>
      <c r="F610" s="645" t="s">
        <v>1114</v>
      </c>
      <c r="G610" s="645" t="s">
        <v>777</v>
      </c>
      <c r="H610" s="644">
        <v>21144683082</v>
      </c>
      <c r="I610" s="644">
        <v>1525696082</v>
      </c>
      <c r="J610" s="644">
        <v>1525696082</v>
      </c>
      <c r="K610" s="644">
        <v>0</v>
      </c>
      <c r="L610" s="644">
        <v>0</v>
      </c>
      <c r="M610" s="644">
        <v>19618987000</v>
      </c>
      <c r="N610" s="644">
        <v>0</v>
      </c>
      <c r="O610" s="644">
        <v>0</v>
      </c>
      <c r="P610" s="644">
        <v>17964408124</v>
      </c>
      <c r="Q610" s="644">
        <v>17964408124</v>
      </c>
      <c r="R610" s="644">
        <v>0</v>
      </c>
      <c r="S610" s="644">
        <v>3180274958</v>
      </c>
      <c r="T610" s="644">
        <v>3180274958</v>
      </c>
      <c r="U610" s="644">
        <v>0</v>
      </c>
      <c r="V610" s="644">
        <v>0</v>
      </c>
      <c r="W610" s="632">
        <v>0</v>
      </c>
      <c r="X610" s="632">
        <v>0</v>
      </c>
    </row>
    <row r="611" spans="1:24" ht="22.5">
      <c r="A611" s="645">
        <v>593</v>
      </c>
      <c r="B611" s="643" t="s">
        <v>1216</v>
      </c>
      <c r="C611" s="645" t="s">
        <v>442</v>
      </c>
      <c r="D611" s="645" t="s">
        <v>1183</v>
      </c>
      <c r="E611" s="645" t="s">
        <v>905</v>
      </c>
      <c r="F611" s="645" t="s">
        <v>1114</v>
      </c>
      <c r="G611" s="645" t="s">
        <v>777</v>
      </c>
      <c r="H611" s="644">
        <v>7518234000</v>
      </c>
      <c r="I611" s="644">
        <v>0</v>
      </c>
      <c r="J611" s="644">
        <v>0</v>
      </c>
      <c r="K611" s="644">
        <v>0</v>
      </c>
      <c r="L611" s="644">
        <v>0</v>
      </c>
      <c r="M611" s="644">
        <v>7635000000</v>
      </c>
      <c r="N611" s="644">
        <v>-116766000</v>
      </c>
      <c r="O611" s="644">
        <v>0</v>
      </c>
      <c r="P611" s="644">
        <v>7518234000</v>
      </c>
      <c r="Q611" s="644">
        <v>7518234000</v>
      </c>
      <c r="R611" s="644">
        <v>0</v>
      </c>
      <c r="S611" s="644">
        <v>0</v>
      </c>
      <c r="T611" s="644">
        <v>0</v>
      </c>
      <c r="U611" s="644">
        <v>0</v>
      </c>
      <c r="V611" s="644">
        <v>0</v>
      </c>
      <c r="W611" s="632">
        <v>0</v>
      </c>
      <c r="X611" s="632">
        <v>0</v>
      </c>
    </row>
    <row r="612" spans="1:24">
      <c r="A612" s="645">
        <v>594</v>
      </c>
      <c r="B612" s="643" t="s">
        <v>1217</v>
      </c>
      <c r="C612" s="645" t="s">
        <v>442</v>
      </c>
      <c r="D612" s="645" t="s">
        <v>1183</v>
      </c>
      <c r="E612" s="645" t="s">
        <v>1192</v>
      </c>
      <c r="F612" s="645" t="s">
        <v>1114</v>
      </c>
      <c r="G612" s="645" t="s">
        <v>777</v>
      </c>
      <c r="H612" s="644">
        <v>9375023210</v>
      </c>
      <c r="I612" s="644">
        <v>1945304210</v>
      </c>
      <c r="J612" s="644">
        <v>1945304210</v>
      </c>
      <c r="K612" s="644">
        <v>0</v>
      </c>
      <c r="L612" s="644">
        <v>0</v>
      </c>
      <c r="M612" s="644">
        <v>7451767000</v>
      </c>
      <c r="N612" s="644">
        <v>-22048000</v>
      </c>
      <c r="O612" s="644">
        <v>0</v>
      </c>
      <c r="P612" s="644">
        <v>9353958755</v>
      </c>
      <c r="Q612" s="644">
        <v>9353958755</v>
      </c>
      <c r="R612" s="644">
        <v>0</v>
      </c>
      <c r="S612" s="644">
        <v>21064455</v>
      </c>
      <c r="T612" s="644">
        <v>21064455</v>
      </c>
      <c r="U612" s="644">
        <v>0</v>
      </c>
      <c r="V612" s="644">
        <v>0</v>
      </c>
      <c r="W612" s="632">
        <v>0</v>
      </c>
      <c r="X612" s="632">
        <v>0</v>
      </c>
    </row>
    <row r="613" spans="1:24" ht="22.5">
      <c r="A613" s="645">
        <v>595</v>
      </c>
      <c r="B613" s="643" t="s">
        <v>1218</v>
      </c>
      <c r="C613" s="645" t="s">
        <v>442</v>
      </c>
      <c r="D613" s="645" t="s">
        <v>1183</v>
      </c>
      <c r="E613" s="645" t="s">
        <v>1184</v>
      </c>
      <c r="F613" s="645" t="s">
        <v>1114</v>
      </c>
      <c r="G613" s="645" t="s">
        <v>1199</v>
      </c>
      <c r="H613" s="644">
        <v>5806429000</v>
      </c>
      <c r="I613" s="644">
        <v>0</v>
      </c>
      <c r="J613" s="644">
        <v>0</v>
      </c>
      <c r="K613" s="644">
        <v>0</v>
      </c>
      <c r="L613" s="644">
        <v>0</v>
      </c>
      <c r="M613" s="644">
        <v>5806429000</v>
      </c>
      <c r="N613" s="644">
        <v>0</v>
      </c>
      <c r="O613" s="644">
        <v>0</v>
      </c>
      <c r="P613" s="644">
        <v>5806429000</v>
      </c>
      <c r="Q613" s="644">
        <v>5806429000</v>
      </c>
      <c r="R613" s="644">
        <v>0</v>
      </c>
      <c r="S613" s="644">
        <v>0</v>
      </c>
      <c r="T613" s="644">
        <v>0</v>
      </c>
      <c r="U613" s="644">
        <v>0</v>
      </c>
      <c r="V613" s="644">
        <v>0</v>
      </c>
      <c r="W613" s="632">
        <v>0</v>
      </c>
      <c r="X613" s="632">
        <v>0</v>
      </c>
    </row>
    <row r="614" spans="1:24" ht="22.5">
      <c r="A614" s="645">
        <v>596</v>
      </c>
      <c r="B614" s="643" t="s">
        <v>1219</v>
      </c>
      <c r="C614" s="645" t="s">
        <v>442</v>
      </c>
      <c r="D614" s="645" t="s">
        <v>1183</v>
      </c>
      <c r="E614" s="645" t="s">
        <v>1184</v>
      </c>
      <c r="F614" s="645" t="s">
        <v>1114</v>
      </c>
      <c r="G614" s="645" t="s">
        <v>1205</v>
      </c>
      <c r="H614" s="644">
        <v>4892066000</v>
      </c>
      <c r="I614" s="644">
        <v>0</v>
      </c>
      <c r="J614" s="644">
        <v>0</v>
      </c>
      <c r="K614" s="644">
        <v>0</v>
      </c>
      <c r="L614" s="644">
        <v>0</v>
      </c>
      <c r="M614" s="644">
        <v>4892066000</v>
      </c>
      <c r="N614" s="644">
        <v>0</v>
      </c>
      <c r="O614" s="644">
        <v>0</v>
      </c>
      <c r="P614" s="644">
        <v>4892066000</v>
      </c>
      <c r="Q614" s="644">
        <v>4892066000</v>
      </c>
      <c r="R614" s="644">
        <v>0</v>
      </c>
      <c r="S614" s="644">
        <v>0</v>
      </c>
      <c r="T614" s="644">
        <v>0</v>
      </c>
      <c r="U614" s="644">
        <v>0</v>
      </c>
      <c r="V614" s="644">
        <v>0</v>
      </c>
      <c r="W614" s="632">
        <v>0</v>
      </c>
      <c r="X614" s="632">
        <v>80996000</v>
      </c>
    </row>
    <row r="615" spans="1:24" ht="22.5">
      <c r="A615" s="645">
        <v>597</v>
      </c>
      <c r="B615" s="643" t="s">
        <v>1220</v>
      </c>
      <c r="C615" s="645" t="s">
        <v>442</v>
      </c>
      <c r="D615" s="645" t="s">
        <v>1183</v>
      </c>
      <c r="E615" s="645" t="s">
        <v>1184</v>
      </c>
      <c r="F615" s="645" t="s">
        <v>1114</v>
      </c>
      <c r="G615" s="645" t="s">
        <v>1208</v>
      </c>
      <c r="H615" s="644">
        <v>7136559000</v>
      </c>
      <c r="I615" s="644">
        <v>0</v>
      </c>
      <c r="J615" s="644">
        <v>0</v>
      </c>
      <c r="K615" s="644">
        <v>0</v>
      </c>
      <c r="L615" s="644">
        <v>0</v>
      </c>
      <c r="M615" s="644">
        <v>7136559000</v>
      </c>
      <c r="N615" s="644">
        <v>0</v>
      </c>
      <c r="O615" s="644">
        <v>0</v>
      </c>
      <c r="P615" s="644">
        <v>7136559000</v>
      </c>
      <c r="Q615" s="644">
        <v>7136559000</v>
      </c>
      <c r="R615" s="644">
        <v>0</v>
      </c>
      <c r="S615" s="644">
        <v>0</v>
      </c>
      <c r="T615" s="644">
        <v>0</v>
      </c>
      <c r="U615" s="644">
        <v>0</v>
      </c>
      <c r="V615" s="644">
        <v>0</v>
      </c>
      <c r="W615" s="632">
        <v>0</v>
      </c>
      <c r="X615" s="632">
        <v>307065725</v>
      </c>
    </row>
    <row r="616" spans="1:24" ht="22.5">
      <c r="A616" s="645">
        <v>598</v>
      </c>
      <c r="B616" s="643" t="s">
        <v>1221</v>
      </c>
      <c r="C616" s="645" t="s">
        <v>442</v>
      </c>
      <c r="D616" s="645" t="s">
        <v>1183</v>
      </c>
      <c r="E616" s="645" t="s">
        <v>1184</v>
      </c>
      <c r="F616" s="645" t="s">
        <v>1114</v>
      </c>
      <c r="G616" s="645" t="s">
        <v>1201</v>
      </c>
      <c r="H616" s="644">
        <v>5586727122</v>
      </c>
      <c r="I616" s="644">
        <v>225749122</v>
      </c>
      <c r="J616" s="644">
        <v>225749122</v>
      </c>
      <c r="K616" s="644">
        <v>0</v>
      </c>
      <c r="L616" s="644">
        <v>0</v>
      </c>
      <c r="M616" s="644">
        <v>5360978000</v>
      </c>
      <c r="N616" s="644">
        <v>0</v>
      </c>
      <c r="O616" s="644">
        <v>0</v>
      </c>
      <c r="P616" s="644">
        <v>5575879340</v>
      </c>
      <c r="Q616" s="644">
        <v>5575879340</v>
      </c>
      <c r="R616" s="644">
        <v>0</v>
      </c>
      <c r="S616" s="644">
        <v>10847782</v>
      </c>
      <c r="T616" s="644">
        <v>10847782</v>
      </c>
      <c r="U616" s="644">
        <v>0</v>
      </c>
      <c r="V616" s="644">
        <v>0</v>
      </c>
      <c r="W616" s="632">
        <v>0</v>
      </c>
      <c r="X616" s="632">
        <v>106999075</v>
      </c>
    </row>
    <row r="617" spans="1:24" ht="22.5">
      <c r="A617" s="645">
        <v>599</v>
      </c>
      <c r="B617" s="643" t="s">
        <v>1222</v>
      </c>
      <c r="C617" s="645" t="s">
        <v>442</v>
      </c>
      <c r="D617" s="645" t="s">
        <v>1183</v>
      </c>
      <c r="E617" s="645" t="s">
        <v>1223</v>
      </c>
      <c r="F617" s="645" t="s">
        <v>1114</v>
      </c>
      <c r="G617" s="645" t="s">
        <v>777</v>
      </c>
      <c r="H617" s="644">
        <v>3293043000</v>
      </c>
      <c r="I617" s="644">
        <v>0</v>
      </c>
      <c r="J617" s="644">
        <v>0</v>
      </c>
      <c r="K617" s="644">
        <v>0</v>
      </c>
      <c r="L617" s="644">
        <v>0</v>
      </c>
      <c r="M617" s="644">
        <v>3293043000</v>
      </c>
      <c r="N617" s="644">
        <v>0</v>
      </c>
      <c r="O617" s="644">
        <v>0</v>
      </c>
      <c r="P617" s="644">
        <v>2797303000</v>
      </c>
      <c r="Q617" s="644">
        <v>2797303000</v>
      </c>
      <c r="R617" s="644">
        <v>0</v>
      </c>
      <c r="S617" s="644">
        <v>495740000</v>
      </c>
      <c r="T617" s="644">
        <v>495740000</v>
      </c>
      <c r="U617" s="644">
        <v>0</v>
      </c>
      <c r="V617" s="644">
        <v>0</v>
      </c>
      <c r="W617" s="632">
        <v>0</v>
      </c>
      <c r="X617" s="632">
        <v>0</v>
      </c>
    </row>
    <row r="618" spans="1:24" ht="22.5">
      <c r="A618" s="645">
        <v>600</v>
      </c>
      <c r="B618" s="643" t="s">
        <v>1263</v>
      </c>
      <c r="C618" s="645" t="s">
        <v>442</v>
      </c>
      <c r="D618" s="645" t="s">
        <v>1183</v>
      </c>
      <c r="E618" s="645" t="s">
        <v>1358</v>
      </c>
      <c r="F618" s="645" t="s">
        <v>1114</v>
      </c>
      <c r="G618" s="645" t="s">
        <v>777</v>
      </c>
      <c r="H618" s="644">
        <v>63307</v>
      </c>
      <c r="I618" s="644">
        <v>63307</v>
      </c>
      <c r="J618" s="644">
        <v>63307</v>
      </c>
      <c r="K618" s="644">
        <v>0</v>
      </c>
      <c r="L618" s="644">
        <v>0</v>
      </c>
      <c r="M618" s="644">
        <v>0</v>
      </c>
      <c r="N618" s="644">
        <v>0</v>
      </c>
      <c r="O618" s="644">
        <v>0</v>
      </c>
      <c r="P618" s="644">
        <v>0</v>
      </c>
      <c r="Q618" s="644">
        <v>0</v>
      </c>
      <c r="R618" s="644">
        <v>0</v>
      </c>
      <c r="S618" s="644">
        <v>63307</v>
      </c>
      <c r="T618" s="644">
        <v>63307</v>
      </c>
      <c r="U618" s="644">
        <v>0</v>
      </c>
      <c r="V618" s="644">
        <v>0</v>
      </c>
      <c r="W618" s="632">
        <v>0</v>
      </c>
      <c r="X618" s="632">
        <v>42500</v>
      </c>
    </row>
    <row r="619" spans="1:24" ht="22.5">
      <c r="A619" s="645">
        <v>601</v>
      </c>
      <c r="B619" s="643" t="s">
        <v>1224</v>
      </c>
      <c r="C619" s="645" t="s">
        <v>442</v>
      </c>
      <c r="D619" s="645" t="s">
        <v>1183</v>
      </c>
      <c r="E619" s="645" t="s">
        <v>1184</v>
      </c>
      <c r="F619" s="645" t="s">
        <v>1114</v>
      </c>
      <c r="G619" s="645" t="s">
        <v>1186</v>
      </c>
      <c r="H619" s="644">
        <v>2213613000</v>
      </c>
      <c r="I619" s="644">
        <v>0</v>
      </c>
      <c r="J619" s="644">
        <v>0</v>
      </c>
      <c r="K619" s="644">
        <v>0</v>
      </c>
      <c r="L619" s="644">
        <v>0</v>
      </c>
      <c r="M619" s="644">
        <v>2213613000</v>
      </c>
      <c r="N619" s="644">
        <v>0</v>
      </c>
      <c r="O619" s="644">
        <v>0</v>
      </c>
      <c r="P619" s="644">
        <v>2213613000</v>
      </c>
      <c r="Q619" s="644">
        <v>2213613000</v>
      </c>
      <c r="R619" s="644">
        <v>0</v>
      </c>
      <c r="S619" s="644">
        <v>0</v>
      </c>
      <c r="T619" s="644">
        <v>0</v>
      </c>
      <c r="U619" s="644">
        <v>0</v>
      </c>
      <c r="V619" s="644">
        <v>0</v>
      </c>
      <c r="W619" s="632">
        <v>0</v>
      </c>
      <c r="X619" s="632">
        <v>0</v>
      </c>
    </row>
    <row r="620" spans="1:24" ht="22.5">
      <c r="A620" s="645">
        <v>602</v>
      </c>
      <c r="B620" s="643" t="s">
        <v>1225</v>
      </c>
      <c r="C620" s="645" t="s">
        <v>442</v>
      </c>
      <c r="D620" s="645" t="s">
        <v>1183</v>
      </c>
      <c r="E620" s="645" t="s">
        <v>1184</v>
      </c>
      <c r="F620" s="645" t="s">
        <v>1114</v>
      </c>
      <c r="G620" s="645" t="s">
        <v>1201</v>
      </c>
      <c r="H620" s="644">
        <v>2676646496</v>
      </c>
      <c r="I620" s="644">
        <v>1157496</v>
      </c>
      <c r="J620" s="644">
        <v>1157496</v>
      </c>
      <c r="K620" s="644">
        <v>0</v>
      </c>
      <c r="L620" s="644">
        <v>0</v>
      </c>
      <c r="M620" s="644">
        <v>2675489000</v>
      </c>
      <c r="N620" s="644">
        <v>0</v>
      </c>
      <c r="O620" s="644">
        <v>0</v>
      </c>
      <c r="P620" s="644">
        <v>2676646496</v>
      </c>
      <c r="Q620" s="644">
        <v>2676646496</v>
      </c>
      <c r="R620" s="644">
        <v>0</v>
      </c>
      <c r="S620" s="644">
        <v>0</v>
      </c>
      <c r="T620" s="644">
        <v>0</v>
      </c>
      <c r="U620" s="644">
        <v>0</v>
      </c>
      <c r="V620" s="644">
        <v>0</v>
      </c>
      <c r="W620" s="632">
        <v>0</v>
      </c>
      <c r="X620" s="632">
        <v>0</v>
      </c>
    </row>
    <row r="621" spans="1:24" ht="22.5">
      <c r="A621" s="645">
        <v>603</v>
      </c>
      <c r="B621" s="643" t="s">
        <v>1226</v>
      </c>
      <c r="C621" s="645" t="s">
        <v>442</v>
      </c>
      <c r="D621" s="645" t="s">
        <v>1183</v>
      </c>
      <c r="E621" s="645" t="s">
        <v>1184</v>
      </c>
      <c r="F621" s="645" t="s">
        <v>1114</v>
      </c>
      <c r="G621" s="645" t="s">
        <v>1205</v>
      </c>
      <c r="H621" s="644">
        <v>4546722000</v>
      </c>
      <c r="I621" s="644">
        <v>0</v>
      </c>
      <c r="J621" s="644">
        <v>0</v>
      </c>
      <c r="K621" s="644">
        <v>0</v>
      </c>
      <c r="L621" s="644">
        <v>0</v>
      </c>
      <c r="M621" s="644">
        <v>4546722000</v>
      </c>
      <c r="N621" s="644">
        <v>0</v>
      </c>
      <c r="O621" s="644">
        <v>0</v>
      </c>
      <c r="P621" s="644">
        <v>4546722000</v>
      </c>
      <c r="Q621" s="644">
        <v>4546722000</v>
      </c>
      <c r="R621" s="644">
        <v>0</v>
      </c>
      <c r="S621" s="644">
        <v>0</v>
      </c>
      <c r="T621" s="644">
        <v>0</v>
      </c>
      <c r="U621" s="644">
        <v>0</v>
      </c>
      <c r="V621" s="644">
        <v>0</v>
      </c>
      <c r="W621" s="632">
        <v>0</v>
      </c>
      <c r="X621" s="632">
        <v>0</v>
      </c>
    </row>
    <row r="622" spans="1:24" ht="22.5">
      <c r="A622" s="645">
        <v>604</v>
      </c>
      <c r="B622" s="643" t="s">
        <v>1227</v>
      </c>
      <c r="C622" s="645" t="s">
        <v>442</v>
      </c>
      <c r="D622" s="645" t="s">
        <v>1183</v>
      </c>
      <c r="E622" s="645" t="s">
        <v>1184</v>
      </c>
      <c r="F622" s="645" t="s">
        <v>1114</v>
      </c>
      <c r="G622" s="645" t="s">
        <v>777</v>
      </c>
      <c r="H622" s="644">
        <v>9992183000</v>
      </c>
      <c r="I622" s="644">
        <v>0</v>
      </c>
      <c r="J622" s="644">
        <v>0</v>
      </c>
      <c r="K622" s="644">
        <v>0</v>
      </c>
      <c r="L622" s="644">
        <v>0</v>
      </c>
      <c r="M622" s="644">
        <v>9992183000</v>
      </c>
      <c r="N622" s="644">
        <v>0</v>
      </c>
      <c r="O622" s="644">
        <v>0</v>
      </c>
      <c r="P622" s="644">
        <v>9989663472</v>
      </c>
      <c r="Q622" s="644">
        <v>9989663472</v>
      </c>
      <c r="R622" s="644">
        <v>0</v>
      </c>
      <c r="S622" s="644">
        <v>2519528</v>
      </c>
      <c r="T622" s="644">
        <v>2519528</v>
      </c>
      <c r="U622" s="644">
        <v>0</v>
      </c>
      <c r="V622" s="644">
        <v>0</v>
      </c>
      <c r="W622" s="632">
        <v>0</v>
      </c>
      <c r="X622" s="632">
        <v>0</v>
      </c>
    </row>
    <row r="623" spans="1:24" ht="22.5">
      <c r="A623" s="645">
        <v>605</v>
      </c>
      <c r="B623" s="643" t="s">
        <v>1228</v>
      </c>
      <c r="C623" s="645" t="s">
        <v>442</v>
      </c>
      <c r="D623" s="645" t="s">
        <v>1183</v>
      </c>
      <c r="E623" s="645" t="s">
        <v>1356</v>
      </c>
      <c r="F623" s="645" t="s">
        <v>1114</v>
      </c>
      <c r="G623" s="645" t="s">
        <v>1205</v>
      </c>
      <c r="H623" s="644">
        <v>96229916</v>
      </c>
      <c r="I623" s="644">
        <v>41483916</v>
      </c>
      <c r="J623" s="644">
        <v>41483916</v>
      </c>
      <c r="K623" s="644">
        <v>0</v>
      </c>
      <c r="L623" s="644">
        <v>0</v>
      </c>
      <c r="M623" s="644">
        <v>54746000</v>
      </c>
      <c r="N623" s="644">
        <v>0</v>
      </c>
      <c r="O623" s="644">
        <v>0</v>
      </c>
      <c r="P623" s="644">
        <v>85529916</v>
      </c>
      <c r="Q623" s="644">
        <v>85529916</v>
      </c>
      <c r="R623" s="644">
        <v>0</v>
      </c>
      <c r="S623" s="644">
        <v>10700000</v>
      </c>
      <c r="T623" s="644">
        <v>10700000</v>
      </c>
      <c r="U623" s="644">
        <v>0</v>
      </c>
      <c r="V623" s="644">
        <v>0</v>
      </c>
      <c r="W623" s="632">
        <v>0</v>
      </c>
      <c r="X623" s="632">
        <v>90537760</v>
      </c>
    </row>
    <row r="624" spans="1:24" ht="22.5">
      <c r="A624" s="645">
        <v>606</v>
      </c>
      <c r="B624" s="643" t="s">
        <v>1228</v>
      </c>
      <c r="C624" s="645" t="s">
        <v>442</v>
      </c>
      <c r="D624" s="645" t="s">
        <v>1183</v>
      </c>
      <c r="E624" s="645" t="s">
        <v>1184</v>
      </c>
      <c r="F624" s="645" t="s">
        <v>1114</v>
      </c>
      <c r="G624" s="645" t="s">
        <v>1205</v>
      </c>
      <c r="H624" s="644">
        <v>2890264575</v>
      </c>
      <c r="I624" s="644">
        <v>540575</v>
      </c>
      <c r="J624" s="644">
        <v>540575</v>
      </c>
      <c r="K624" s="644">
        <v>0</v>
      </c>
      <c r="L624" s="644">
        <v>0</v>
      </c>
      <c r="M624" s="644">
        <v>2889724000</v>
      </c>
      <c r="N624" s="644">
        <v>0</v>
      </c>
      <c r="O624" s="644">
        <v>0</v>
      </c>
      <c r="P624" s="644">
        <v>2840518403</v>
      </c>
      <c r="Q624" s="644">
        <v>2840518403</v>
      </c>
      <c r="R624" s="644">
        <v>0</v>
      </c>
      <c r="S624" s="644">
        <v>49746172</v>
      </c>
      <c r="T624" s="644">
        <v>49746172</v>
      </c>
      <c r="U624" s="644">
        <v>0</v>
      </c>
      <c r="V624" s="644">
        <v>0</v>
      </c>
      <c r="W624" s="632">
        <v>0</v>
      </c>
      <c r="X624" s="632">
        <v>0</v>
      </c>
    </row>
    <row r="625" spans="1:24" ht="22.5">
      <c r="A625" s="645">
        <v>607</v>
      </c>
      <c r="B625" s="643" t="s">
        <v>1229</v>
      </c>
      <c r="C625" s="645" t="s">
        <v>442</v>
      </c>
      <c r="D625" s="645" t="s">
        <v>1183</v>
      </c>
      <c r="E625" s="645" t="s">
        <v>1184</v>
      </c>
      <c r="F625" s="645" t="s">
        <v>1114</v>
      </c>
      <c r="G625" s="645" t="s">
        <v>1190</v>
      </c>
      <c r="H625" s="644">
        <v>2328774702</v>
      </c>
      <c r="I625" s="644">
        <v>387702</v>
      </c>
      <c r="J625" s="644">
        <v>387702</v>
      </c>
      <c r="K625" s="644">
        <v>0</v>
      </c>
      <c r="L625" s="644">
        <v>0</v>
      </c>
      <c r="M625" s="644">
        <v>2328387000</v>
      </c>
      <c r="N625" s="644">
        <v>0</v>
      </c>
      <c r="O625" s="644">
        <v>0</v>
      </c>
      <c r="P625" s="644">
        <v>2328774702</v>
      </c>
      <c r="Q625" s="644">
        <v>2328774702</v>
      </c>
      <c r="R625" s="644">
        <v>0</v>
      </c>
      <c r="S625" s="644">
        <v>0</v>
      </c>
      <c r="T625" s="644">
        <v>0</v>
      </c>
      <c r="U625" s="644">
        <v>0</v>
      </c>
      <c r="V625" s="644">
        <v>0</v>
      </c>
      <c r="W625" s="632">
        <v>0</v>
      </c>
      <c r="X625" s="632">
        <v>33692350</v>
      </c>
    </row>
    <row r="626" spans="1:24" ht="22.5">
      <c r="A626" s="645">
        <v>608</v>
      </c>
      <c r="B626" s="643" t="s">
        <v>1230</v>
      </c>
      <c r="C626" s="645" t="s">
        <v>442</v>
      </c>
      <c r="D626" s="645" t="s">
        <v>1183</v>
      </c>
      <c r="E626" s="645" t="s">
        <v>1356</v>
      </c>
      <c r="F626" s="645" t="s">
        <v>1114</v>
      </c>
      <c r="G626" s="645" t="s">
        <v>1188</v>
      </c>
      <c r="H626" s="644">
        <v>11339485</v>
      </c>
      <c r="I626" s="644">
        <v>11339485</v>
      </c>
      <c r="J626" s="644">
        <v>11339485</v>
      </c>
      <c r="K626" s="644">
        <v>0</v>
      </c>
      <c r="L626" s="644">
        <v>0</v>
      </c>
      <c r="M626" s="644">
        <v>0</v>
      </c>
      <c r="N626" s="644">
        <v>0</v>
      </c>
      <c r="O626" s="644">
        <v>0</v>
      </c>
      <c r="P626" s="644">
        <v>9000000</v>
      </c>
      <c r="Q626" s="644">
        <v>9000000</v>
      </c>
      <c r="R626" s="644">
        <v>0</v>
      </c>
      <c r="S626" s="644">
        <v>2339485</v>
      </c>
      <c r="T626" s="644">
        <v>2339485</v>
      </c>
      <c r="U626" s="644">
        <v>0</v>
      </c>
      <c r="V626" s="644">
        <v>0</v>
      </c>
      <c r="W626" s="632">
        <v>0</v>
      </c>
      <c r="X626" s="632">
        <v>0</v>
      </c>
    </row>
    <row r="627" spans="1:24" ht="22.5">
      <c r="A627" s="645">
        <v>609</v>
      </c>
      <c r="B627" s="643" t="s">
        <v>1230</v>
      </c>
      <c r="C627" s="645" t="s">
        <v>442</v>
      </c>
      <c r="D627" s="645" t="s">
        <v>1183</v>
      </c>
      <c r="E627" s="645" t="s">
        <v>1184</v>
      </c>
      <c r="F627" s="645" t="s">
        <v>1114</v>
      </c>
      <c r="G627" s="645" t="s">
        <v>1188</v>
      </c>
      <c r="H627" s="644">
        <v>4829798905</v>
      </c>
      <c r="I627" s="644">
        <v>15688905</v>
      </c>
      <c r="J627" s="644">
        <v>15688905</v>
      </c>
      <c r="K627" s="644">
        <v>0</v>
      </c>
      <c r="L627" s="644">
        <v>0</v>
      </c>
      <c r="M627" s="644">
        <v>4814110000</v>
      </c>
      <c r="N627" s="644">
        <v>0</v>
      </c>
      <c r="O627" s="644">
        <v>0</v>
      </c>
      <c r="P627" s="644">
        <v>4779045432</v>
      </c>
      <c r="Q627" s="644">
        <v>4779045432</v>
      </c>
      <c r="R627" s="644">
        <v>0</v>
      </c>
      <c r="S627" s="644">
        <v>50753473</v>
      </c>
      <c r="T627" s="644">
        <v>50753473</v>
      </c>
      <c r="U627" s="644">
        <v>0</v>
      </c>
      <c r="V627" s="644">
        <v>0</v>
      </c>
      <c r="W627" s="632">
        <v>0</v>
      </c>
      <c r="X627" s="632">
        <v>0</v>
      </c>
    </row>
    <row r="628" spans="1:24" ht="22.5">
      <c r="A628" s="645">
        <v>610</v>
      </c>
      <c r="B628" s="643" t="s">
        <v>1231</v>
      </c>
      <c r="C628" s="645" t="s">
        <v>442</v>
      </c>
      <c r="D628" s="645" t="s">
        <v>1183</v>
      </c>
      <c r="E628" s="645" t="s">
        <v>1184</v>
      </c>
      <c r="F628" s="645" t="s">
        <v>1114</v>
      </c>
      <c r="G628" s="645" t="s">
        <v>1199</v>
      </c>
      <c r="H628" s="644">
        <v>3009471000</v>
      </c>
      <c r="I628" s="644">
        <v>0</v>
      </c>
      <c r="J628" s="644">
        <v>0</v>
      </c>
      <c r="K628" s="644">
        <v>0</v>
      </c>
      <c r="L628" s="644">
        <v>0</v>
      </c>
      <c r="M628" s="644">
        <v>3009471000</v>
      </c>
      <c r="N628" s="644">
        <v>0</v>
      </c>
      <c r="O628" s="644">
        <v>0</v>
      </c>
      <c r="P628" s="644">
        <v>3009471000</v>
      </c>
      <c r="Q628" s="644">
        <v>3009471000</v>
      </c>
      <c r="R628" s="644">
        <v>0</v>
      </c>
      <c r="S628" s="644">
        <v>0</v>
      </c>
      <c r="T628" s="644">
        <v>0</v>
      </c>
      <c r="U628" s="644">
        <v>0</v>
      </c>
      <c r="V628" s="644">
        <v>0</v>
      </c>
      <c r="W628" s="632">
        <v>0</v>
      </c>
      <c r="X628" s="632">
        <v>0</v>
      </c>
    </row>
    <row r="629" spans="1:24">
      <c r="A629" s="645">
        <v>611</v>
      </c>
      <c r="B629" s="643" t="s">
        <v>1232</v>
      </c>
      <c r="C629" s="645" t="s">
        <v>442</v>
      </c>
      <c r="D629" s="645" t="s">
        <v>1233</v>
      </c>
      <c r="E629" s="645" t="s">
        <v>670</v>
      </c>
      <c r="F629" s="645" t="s">
        <v>1114</v>
      </c>
      <c r="G629" s="645" t="s">
        <v>777</v>
      </c>
      <c r="H629" s="644">
        <v>4252158000</v>
      </c>
      <c r="I629" s="644">
        <v>0</v>
      </c>
      <c r="J629" s="644">
        <v>0</v>
      </c>
      <c r="K629" s="644">
        <v>0</v>
      </c>
      <c r="L629" s="644">
        <v>0</v>
      </c>
      <c r="M629" s="644">
        <v>4252158000</v>
      </c>
      <c r="N629" s="644">
        <v>0</v>
      </c>
      <c r="O629" s="644">
        <v>0</v>
      </c>
      <c r="P629" s="644">
        <v>4128185675</v>
      </c>
      <c r="Q629" s="644">
        <v>4128185675</v>
      </c>
      <c r="R629" s="644">
        <v>0</v>
      </c>
      <c r="S629" s="644">
        <v>123972325</v>
      </c>
      <c r="T629" s="644">
        <v>123972325</v>
      </c>
      <c r="U629" s="644">
        <v>0</v>
      </c>
      <c r="V629" s="644">
        <v>0</v>
      </c>
      <c r="W629" s="632">
        <v>0</v>
      </c>
      <c r="X629" s="632">
        <v>70819000</v>
      </c>
    </row>
    <row r="630" spans="1:24" ht="22.5">
      <c r="A630" s="645">
        <v>612</v>
      </c>
      <c r="B630" s="643" t="s">
        <v>1234</v>
      </c>
      <c r="C630" s="645" t="s">
        <v>442</v>
      </c>
      <c r="D630" s="645" t="s">
        <v>1233</v>
      </c>
      <c r="E630" s="645" t="s">
        <v>671</v>
      </c>
      <c r="F630" s="645" t="s">
        <v>1114</v>
      </c>
      <c r="G630" s="645" t="s">
        <v>1208</v>
      </c>
      <c r="H630" s="644">
        <v>11475000000</v>
      </c>
      <c r="I630" s="644">
        <v>0</v>
      </c>
      <c r="J630" s="644">
        <v>0</v>
      </c>
      <c r="K630" s="644">
        <v>0</v>
      </c>
      <c r="L630" s="644">
        <v>0</v>
      </c>
      <c r="M630" s="644">
        <v>11475000000</v>
      </c>
      <c r="N630" s="644">
        <v>0</v>
      </c>
      <c r="O630" s="644">
        <v>0</v>
      </c>
      <c r="P630" s="644">
        <v>11475000000</v>
      </c>
      <c r="Q630" s="644">
        <v>11475000000</v>
      </c>
      <c r="R630" s="644">
        <v>0</v>
      </c>
      <c r="S630" s="644">
        <v>0</v>
      </c>
      <c r="T630" s="644">
        <v>0</v>
      </c>
      <c r="U630" s="644">
        <v>0</v>
      </c>
      <c r="V630" s="644">
        <v>0</v>
      </c>
      <c r="W630" s="632">
        <v>0</v>
      </c>
      <c r="X630" s="632">
        <v>448572450</v>
      </c>
    </row>
    <row r="631" spans="1:24">
      <c r="A631" s="645">
        <v>613</v>
      </c>
      <c r="B631" s="643" t="s">
        <v>1235</v>
      </c>
      <c r="C631" s="645" t="s">
        <v>442</v>
      </c>
      <c r="D631" s="645" t="s">
        <v>1233</v>
      </c>
      <c r="E631" s="645" t="s">
        <v>678</v>
      </c>
      <c r="F631" s="645" t="s">
        <v>1114</v>
      </c>
      <c r="G631" s="645" t="s">
        <v>777</v>
      </c>
      <c r="H631" s="644">
        <v>1124255000</v>
      </c>
      <c r="I631" s="644">
        <v>0</v>
      </c>
      <c r="J631" s="644">
        <v>0</v>
      </c>
      <c r="K631" s="644">
        <v>0</v>
      </c>
      <c r="L631" s="644">
        <v>0</v>
      </c>
      <c r="M631" s="644">
        <v>1124255000</v>
      </c>
      <c r="N631" s="644">
        <v>0</v>
      </c>
      <c r="O631" s="644">
        <v>0</v>
      </c>
      <c r="P631" s="644">
        <v>1124255000</v>
      </c>
      <c r="Q631" s="644">
        <v>1124255000</v>
      </c>
      <c r="R631" s="644">
        <v>0</v>
      </c>
      <c r="S631" s="644">
        <v>0</v>
      </c>
      <c r="T631" s="644">
        <v>0</v>
      </c>
      <c r="U631" s="644">
        <v>0</v>
      </c>
      <c r="V631" s="644">
        <v>0</v>
      </c>
      <c r="W631" s="632">
        <v>0</v>
      </c>
      <c r="X631" s="632">
        <v>1638777373</v>
      </c>
    </row>
    <row r="632" spans="1:24" ht="22.5">
      <c r="A632" s="645">
        <v>614</v>
      </c>
      <c r="B632" s="643" t="s">
        <v>1236</v>
      </c>
      <c r="C632" s="645" t="s">
        <v>442</v>
      </c>
      <c r="D632" s="645" t="s">
        <v>1233</v>
      </c>
      <c r="E632" s="645" t="s">
        <v>678</v>
      </c>
      <c r="F632" s="645" t="s">
        <v>1114</v>
      </c>
      <c r="G632" s="645" t="s">
        <v>777</v>
      </c>
      <c r="H632" s="644">
        <v>1746022082</v>
      </c>
      <c r="I632" s="644">
        <v>17495082</v>
      </c>
      <c r="J632" s="644">
        <v>17495082</v>
      </c>
      <c r="K632" s="644">
        <v>0</v>
      </c>
      <c r="L632" s="644">
        <v>0</v>
      </c>
      <c r="M632" s="644">
        <v>1863166000</v>
      </c>
      <c r="N632" s="644">
        <v>-134639000</v>
      </c>
      <c r="O632" s="644">
        <v>0</v>
      </c>
      <c r="P632" s="644">
        <v>1743917533</v>
      </c>
      <c r="Q632" s="644">
        <v>1743917533</v>
      </c>
      <c r="R632" s="644">
        <v>0</v>
      </c>
      <c r="S632" s="644">
        <v>2104549</v>
      </c>
      <c r="T632" s="644">
        <v>1253549</v>
      </c>
      <c r="U632" s="644">
        <v>0</v>
      </c>
      <c r="V632" s="644">
        <v>851000</v>
      </c>
      <c r="W632" s="632">
        <v>0</v>
      </c>
      <c r="X632" s="632">
        <v>326953636</v>
      </c>
    </row>
    <row r="633" spans="1:24" ht="22.5">
      <c r="A633" s="645">
        <v>615</v>
      </c>
      <c r="B633" s="643" t="s">
        <v>1237</v>
      </c>
      <c r="C633" s="645" t="s">
        <v>442</v>
      </c>
      <c r="D633" s="645" t="s">
        <v>1233</v>
      </c>
      <c r="E633" s="645" t="s">
        <v>670</v>
      </c>
      <c r="F633" s="645" t="s">
        <v>1114</v>
      </c>
      <c r="G633" s="645" t="s">
        <v>777</v>
      </c>
      <c r="H633" s="644">
        <v>1190881337</v>
      </c>
      <c r="I633" s="644">
        <v>0</v>
      </c>
      <c r="J633" s="644">
        <v>0</v>
      </c>
      <c r="K633" s="644">
        <v>0</v>
      </c>
      <c r="L633" s="644">
        <v>0</v>
      </c>
      <c r="M633" s="644">
        <v>1302784000</v>
      </c>
      <c r="N633" s="644">
        <v>-111902663</v>
      </c>
      <c r="O633" s="644">
        <v>0</v>
      </c>
      <c r="P633" s="644">
        <v>1190419535</v>
      </c>
      <c r="Q633" s="644">
        <v>1190419535</v>
      </c>
      <c r="R633" s="644">
        <v>0</v>
      </c>
      <c r="S633" s="644">
        <v>461802</v>
      </c>
      <c r="T633" s="644">
        <v>0</v>
      </c>
      <c r="U633" s="644">
        <v>0</v>
      </c>
      <c r="V633" s="644">
        <v>461802</v>
      </c>
      <c r="W633" s="632">
        <v>0</v>
      </c>
      <c r="X633" s="632">
        <v>0</v>
      </c>
    </row>
    <row r="634" spans="1:24" ht="22.5">
      <c r="A634" s="645">
        <v>616</v>
      </c>
      <c r="B634" s="643" t="s">
        <v>1237</v>
      </c>
      <c r="C634" s="645" t="s">
        <v>442</v>
      </c>
      <c r="D634" s="645" t="s">
        <v>1233</v>
      </c>
      <c r="E634" s="645" t="s">
        <v>678</v>
      </c>
      <c r="F634" s="645" t="s">
        <v>1114</v>
      </c>
      <c r="G634" s="645" t="s">
        <v>777</v>
      </c>
      <c r="H634" s="644">
        <v>0</v>
      </c>
      <c r="I634" s="644">
        <v>5974337</v>
      </c>
      <c r="J634" s="644">
        <v>1388002</v>
      </c>
      <c r="K634" s="644">
        <v>0</v>
      </c>
      <c r="L634" s="644">
        <v>4586335</v>
      </c>
      <c r="M634" s="644">
        <v>0</v>
      </c>
      <c r="N634" s="644">
        <v>-5974337</v>
      </c>
      <c r="O634" s="644">
        <v>0</v>
      </c>
      <c r="P634" s="644">
        <v>0</v>
      </c>
      <c r="Q634" s="644">
        <v>0</v>
      </c>
      <c r="R634" s="644">
        <v>0</v>
      </c>
      <c r="S634" s="644">
        <v>0</v>
      </c>
      <c r="T634" s="644">
        <v>0</v>
      </c>
      <c r="U634" s="644">
        <v>0</v>
      </c>
      <c r="V634" s="644">
        <v>0</v>
      </c>
      <c r="W634" s="632">
        <v>0</v>
      </c>
      <c r="X634" s="632">
        <v>2950000</v>
      </c>
    </row>
    <row r="635" spans="1:24">
      <c r="A635" s="645">
        <v>617</v>
      </c>
      <c r="B635" s="643" t="s">
        <v>1238</v>
      </c>
      <c r="C635" s="645" t="s">
        <v>442</v>
      </c>
      <c r="D635" s="645" t="s">
        <v>1233</v>
      </c>
      <c r="E635" s="645" t="s">
        <v>905</v>
      </c>
      <c r="F635" s="645" t="s">
        <v>1114</v>
      </c>
      <c r="G635" s="645" t="s">
        <v>777</v>
      </c>
      <c r="H635" s="644">
        <v>5071732805</v>
      </c>
      <c r="I635" s="644">
        <v>162479805</v>
      </c>
      <c r="J635" s="644">
        <v>162479805</v>
      </c>
      <c r="K635" s="644">
        <v>0</v>
      </c>
      <c r="L635" s="644">
        <v>0</v>
      </c>
      <c r="M635" s="644">
        <v>4767438000</v>
      </c>
      <c r="N635" s="644">
        <v>141815000</v>
      </c>
      <c r="O635" s="644">
        <v>0</v>
      </c>
      <c r="P635" s="644">
        <v>5040219717</v>
      </c>
      <c r="Q635" s="644">
        <v>5040219717</v>
      </c>
      <c r="R635" s="644">
        <v>0</v>
      </c>
      <c r="S635" s="644">
        <v>31513088</v>
      </c>
      <c r="T635" s="644">
        <v>31513088</v>
      </c>
      <c r="U635" s="644">
        <v>0</v>
      </c>
      <c r="V635" s="644">
        <v>0</v>
      </c>
      <c r="W635" s="632">
        <v>0</v>
      </c>
      <c r="X635" s="632">
        <v>0</v>
      </c>
    </row>
    <row r="636" spans="1:24" ht="22.5">
      <c r="A636" s="645">
        <v>618</v>
      </c>
      <c r="B636" s="643" t="s">
        <v>1239</v>
      </c>
      <c r="C636" s="645" t="s">
        <v>442</v>
      </c>
      <c r="D636" s="645" t="s">
        <v>1233</v>
      </c>
      <c r="E636" s="645" t="s">
        <v>670</v>
      </c>
      <c r="F636" s="645" t="s">
        <v>1114</v>
      </c>
      <c r="G636" s="645" t="s">
        <v>777</v>
      </c>
      <c r="H636" s="644">
        <v>1967011511</v>
      </c>
      <c r="I636" s="644">
        <v>0</v>
      </c>
      <c r="J636" s="644">
        <v>0</v>
      </c>
      <c r="K636" s="644">
        <v>0</v>
      </c>
      <c r="L636" s="644">
        <v>0</v>
      </c>
      <c r="M636" s="644">
        <v>1967011511</v>
      </c>
      <c r="N636" s="644">
        <v>0</v>
      </c>
      <c r="O636" s="644">
        <v>0</v>
      </c>
      <c r="P636" s="644">
        <v>1901234546</v>
      </c>
      <c r="Q636" s="644">
        <v>1901234546</v>
      </c>
      <c r="R636" s="644">
        <v>0</v>
      </c>
      <c r="S636" s="644">
        <v>0</v>
      </c>
      <c r="T636" s="644">
        <v>0</v>
      </c>
      <c r="U636" s="644">
        <v>0</v>
      </c>
      <c r="V636" s="644">
        <v>0</v>
      </c>
      <c r="W636" s="632">
        <v>0</v>
      </c>
      <c r="X636" s="632">
        <v>0</v>
      </c>
    </row>
    <row r="637" spans="1:24" ht="22.5">
      <c r="A637" s="645">
        <v>619</v>
      </c>
      <c r="B637" s="643" t="s">
        <v>1240</v>
      </c>
      <c r="C637" s="645" t="s">
        <v>442</v>
      </c>
      <c r="D637" s="645" t="s">
        <v>1233</v>
      </c>
      <c r="E637" s="645" t="s">
        <v>670</v>
      </c>
      <c r="F637" s="645" t="s">
        <v>1114</v>
      </c>
      <c r="G637" s="645" t="s">
        <v>777</v>
      </c>
      <c r="H637" s="644">
        <v>5524152000</v>
      </c>
      <c r="I637" s="644">
        <v>0</v>
      </c>
      <c r="J637" s="644">
        <v>0</v>
      </c>
      <c r="K637" s="644">
        <v>0</v>
      </c>
      <c r="L637" s="644">
        <v>0</v>
      </c>
      <c r="M637" s="644">
        <v>5840722000</v>
      </c>
      <c r="N637" s="644">
        <v>-316570000</v>
      </c>
      <c r="O637" s="644">
        <v>0</v>
      </c>
      <c r="P637" s="644">
        <v>5524043845</v>
      </c>
      <c r="Q637" s="644">
        <v>5524043845</v>
      </c>
      <c r="R637" s="644">
        <v>0</v>
      </c>
      <c r="S637" s="644">
        <v>108155</v>
      </c>
      <c r="T637" s="644">
        <v>108155</v>
      </c>
      <c r="U637" s="644">
        <v>0</v>
      </c>
      <c r="V637" s="644">
        <v>0</v>
      </c>
      <c r="W637" s="632">
        <v>0</v>
      </c>
      <c r="X637" s="632">
        <v>0</v>
      </c>
    </row>
    <row r="638" spans="1:24" ht="22.5">
      <c r="A638" s="645">
        <v>620</v>
      </c>
      <c r="B638" s="643" t="s">
        <v>1241</v>
      </c>
      <c r="C638" s="645" t="s">
        <v>442</v>
      </c>
      <c r="D638" s="645" t="s">
        <v>1233</v>
      </c>
      <c r="E638" s="645" t="s">
        <v>670</v>
      </c>
      <c r="F638" s="645" t="s">
        <v>1114</v>
      </c>
      <c r="G638" s="645" t="s">
        <v>777</v>
      </c>
      <c r="H638" s="644">
        <v>6845119000</v>
      </c>
      <c r="I638" s="644">
        <v>0</v>
      </c>
      <c r="J638" s="644">
        <v>0</v>
      </c>
      <c r="K638" s="644">
        <v>0</v>
      </c>
      <c r="L638" s="644">
        <v>0</v>
      </c>
      <c r="M638" s="644">
        <v>7012476000</v>
      </c>
      <c r="N638" s="644">
        <v>-167357000</v>
      </c>
      <c r="O638" s="644">
        <v>0</v>
      </c>
      <c r="P638" s="644">
        <v>6845119000</v>
      </c>
      <c r="Q638" s="644">
        <v>6845119000</v>
      </c>
      <c r="R638" s="644">
        <v>0</v>
      </c>
      <c r="S638" s="644">
        <v>0</v>
      </c>
      <c r="T638" s="644">
        <v>0</v>
      </c>
      <c r="U638" s="644">
        <v>0</v>
      </c>
      <c r="V638" s="644">
        <v>0</v>
      </c>
      <c r="W638" s="632">
        <v>0</v>
      </c>
      <c r="X638" s="632">
        <v>0</v>
      </c>
    </row>
    <row r="639" spans="1:24">
      <c r="A639" s="645">
        <v>621</v>
      </c>
      <c r="B639" s="643" t="s">
        <v>1242</v>
      </c>
      <c r="C639" s="645" t="s">
        <v>442</v>
      </c>
      <c r="D639" s="645" t="s">
        <v>1233</v>
      </c>
      <c r="E639" s="645" t="s">
        <v>671</v>
      </c>
      <c r="F639" s="645" t="s">
        <v>1114</v>
      </c>
      <c r="G639" s="645" t="s">
        <v>777</v>
      </c>
      <c r="H639" s="644">
        <v>21675000000</v>
      </c>
      <c r="I639" s="644">
        <v>0</v>
      </c>
      <c r="J639" s="644">
        <v>0</v>
      </c>
      <c r="K639" s="644">
        <v>0</v>
      </c>
      <c r="L639" s="644">
        <v>0</v>
      </c>
      <c r="M639" s="644">
        <v>21675000000</v>
      </c>
      <c r="N639" s="644">
        <v>0</v>
      </c>
      <c r="O639" s="644">
        <v>0</v>
      </c>
      <c r="P639" s="644">
        <v>21675000000</v>
      </c>
      <c r="Q639" s="644">
        <v>21675000000</v>
      </c>
      <c r="R639" s="644">
        <v>0</v>
      </c>
      <c r="S639" s="644">
        <v>0</v>
      </c>
      <c r="T639" s="644">
        <v>0</v>
      </c>
      <c r="U639" s="644">
        <v>0</v>
      </c>
      <c r="V639" s="644">
        <v>0</v>
      </c>
      <c r="W639" s="632">
        <v>0</v>
      </c>
      <c r="X639" s="632">
        <v>44166418</v>
      </c>
    </row>
    <row r="640" spans="1:24">
      <c r="A640" s="645">
        <v>622</v>
      </c>
      <c r="B640" s="643" t="s">
        <v>1243</v>
      </c>
      <c r="C640" s="645" t="s">
        <v>442</v>
      </c>
      <c r="D640" s="645" t="s">
        <v>1233</v>
      </c>
      <c r="E640" s="645" t="s">
        <v>671</v>
      </c>
      <c r="F640" s="645" t="s">
        <v>1114</v>
      </c>
      <c r="G640" s="645" t="s">
        <v>1190</v>
      </c>
      <c r="H640" s="644">
        <v>5610000000</v>
      </c>
      <c r="I640" s="644">
        <v>0</v>
      </c>
      <c r="J640" s="644">
        <v>0</v>
      </c>
      <c r="K640" s="644">
        <v>0</v>
      </c>
      <c r="L640" s="644">
        <v>0</v>
      </c>
      <c r="M640" s="644">
        <v>5610000000</v>
      </c>
      <c r="N640" s="644">
        <v>0</v>
      </c>
      <c r="O640" s="644">
        <v>0</v>
      </c>
      <c r="P640" s="644">
        <v>5610000000</v>
      </c>
      <c r="Q640" s="644">
        <v>5610000000</v>
      </c>
      <c r="R640" s="644">
        <v>0</v>
      </c>
      <c r="S640" s="644">
        <v>0</v>
      </c>
      <c r="T640" s="644">
        <v>0</v>
      </c>
      <c r="U640" s="644">
        <v>0</v>
      </c>
      <c r="V640" s="644">
        <v>0</v>
      </c>
      <c r="W640" s="632">
        <v>0</v>
      </c>
      <c r="X640" s="632">
        <v>15443000</v>
      </c>
    </row>
    <row r="641" spans="1:24">
      <c r="A641" s="645">
        <v>623</v>
      </c>
      <c r="B641" s="643" t="s">
        <v>1244</v>
      </c>
      <c r="C641" s="645" t="s">
        <v>442</v>
      </c>
      <c r="D641" s="645" t="s">
        <v>1233</v>
      </c>
      <c r="E641" s="645" t="s">
        <v>671</v>
      </c>
      <c r="F641" s="645" t="s">
        <v>1114</v>
      </c>
      <c r="G641" s="645" t="s">
        <v>1203</v>
      </c>
      <c r="H641" s="644">
        <v>5100000000</v>
      </c>
      <c r="I641" s="644">
        <v>0</v>
      </c>
      <c r="J641" s="644">
        <v>0</v>
      </c>
      <c r="K641" s="644">
        <v>0</v>
      </c>
      <c r="L641" s="644">
        <v>0</v>
      </c>
      <c r="M641" s="644">
        <v>5100000000</v>
      </c>
      <c r="N641" s="644">
        <v>0</v>
      </c>
      <c r="O641" s="644">
        <v>0</v>
      </c>
      <c r="P641" s="644">
        <v>5100000000</v>
      </c>
      <c r="Q641" s="644">
        <v>5100000000</v>
      </c>
      <c r="R641" s="644">
        <v>0</v>
      </c>
      <c r="S641" s="644">
        <v>0</v>
      </c>
      <c r="T641" s="644">
        <v>0</v>
      </c>
      <c r="U641" s="644">
        <v>0</v>
      </c>
      <c r="V641" s="644">
        <v>0</v>
      </c>
      <c r="W641" s="632">
        <v>0</v>
      </c>
      <c r="X641" s="632">
        <v>24703736</v>
      </c>
    </row>
    <row r="642" spans="1:24">
      <c r="A642" s="645">
        <v>624</v>
      </c>
      <c r="B642" s="643" t="s">
        <v>1245</v>
      </c>
      <c r="C642" s="645" t="s">
        <v>442</v>
      </c>
      <c r="D642" s="645" t="s">
        <v>1233</v>
      </c>
      <c r="E642" s="645" t="s">
        <v>678</v>
      </c>
      <c r="F642" s="645" t="s">
        <v>1114</v>
      </c>
      <c r="G642" s="645" t="s">
        <v>777</v>
      </c>
      <c r="H642" s="644">
        <v>1464325138</v>
      </c>
      <c r="I642" s="644">
        <v>9733138</v>
      </c>
      <c r="J642" s="644">
        <v>9733138</v>
      </c>
      <c r="K642" s="644">
        <v>0</v>
      </c>
      <c r="L642" s="644">
        <v>0</v>
      </c>
      <c r="M642" s="644">
        <v>1532416000</v>
      </c>
      <c r="N642" s="644">
        <v>-77824000</v>
      </c>
      <c r="O642" s="644">
        <v>0</v>
      </c>
      <c r="P642" s="644">
        <v>1463931653</v>
      </c>
      <c r="Q642" s="644">
        <v>1463931653</v>
      </c>
      <c r="R642" s="644">
        <v>0</v>
      </c>
      <c r="S642" s="644">
        <v>393485</v>
      </c>
      <c r="T642" s="644">
        <v>393485</v>
      </c>
      <c r="U642" s="644">
        <v>0</v>
      </c>
      <c r="V642" s="644">
        <v>0</v>
      </c>
      <c r="W642" s="632">
        <v>0</v>
      </c>
      <c r="X642" s="632">
        <v>0</v>
      </c>
    </row>
    <row r="643" spans="1:24">
      <c r="A643" s="645">
        <v>625</v>
      </c>
      <c r="B643" s="643" t="s">
        <v>1246</v>
      </c>
      <c r="C643" s="645" t="s">
        <v>442</v>
      </c>
      <c r="D643" s="645" t="s">
        <v>1233</v>
      </c>
      <c r="E643" s="645" t="s">
        <v>671</v>
      </c>
      <c r="F643" s="645" t="s">
        <v>1114</v>
      </c>
      <c r="G643" s="645" t="s">
        <v>1205</v>
      </c>
      <c r="H643" s="644">
        <v>5610000000</v>
      </c>
      <c r="I643" s="644">
        <v>0</v>
      </c>
      <c r="J643" s="644">
        <v>0</v>
      </c>
      <c r="K643" s="644">
        <v>0</v>
      </c>
      <c r="L643" s="644">
        <v>0</v>
      </c>
      <c r="M643" s="644">
        <v>5610000000</v>
      </c>
      <c r="N643" s="644">
        <v>0</v>
      </c>
      <c r="O643" s="644">
        <v>0</v>
      </c>
      <c r="P643" s="644">
        <v>5610000000</v>
      </c>
      <c r="Q643" s="644">
        <v>5610000000</v>
      </c>
      <c r="R643" s="644">
        <v>0</v>
      </c>
      <c r="S643" s="644">
        <v>0</v>
      </c>
      <c r="T643" s="644">
        <v>0</v>
      </c>
      <c r="U643" s="644">
        <v>0</v>
      </c>
      <c r="V643" s="644">
        <v>0</v>
      </c>
      <c r="W643" s="632">
        <v>0</v>
      </c>
      <c r="X643" s="632">
        <v>0</v>
      </c>
    </row>
    <row r="644" spans="1:24" ht="22.5">
      <c r="A644" s="645">
        <v>626</v>
      </c>
      <c r="B644" s="643" t="s">
        <v>1247</v>
      </c>
      <c r="C644" s="645" t="s">
        <v>442</v>
      </c>
      <c r="D644" s="645" t="s">
        <v>1233</v>
      </c>
      <c r="E644" s="645" t="s">
        <v>905</v>
      </c>
      <c r="F644" s="645" t="s">
        <v>1114</v>
      </c>
      <c r="G644" s="645" t="s">
        <v>777</v>
      </c>
      <c r="H644" s="644">
        <v>1609674472</v>
      </c>
      <c r="I644" s="644">
        <v>8107472</v>
      </c>
      <c r="J644" s="644">
        <v>3840000</v>
      </c>
      <c r="K644" s="644">
        <v>0</v>
      </c>
      <c r="L644" s="644">
        <v>4267472</v>
      </c>
      <c r="M644" s="644">
        <v>1756000000</v>
      </c>
      <c r="N644" s="644">
        <v>-154433000</v>
      </c>
      <c r="O644" s="644">
        <v>0</v>
      </c>
      <c r="P644" s="644">
        <v>1599339250</v>
      </c>
      <c r="Q644" s="644">
        <v>1599339250</v>
      </c>
      <c r="R644" s="644">
        <v>0</v>
      </c>
      <c r="S644" s="644">
        <v>10335222</v>
      </c>
      <c r="T644" s="644">
        <v>0</v>
      </c>
      <c r="U644" s="644">
        <v>0</v>
      </c>
      <c r="V644" s="644">
        <v>10335222</v>
      </c>
      <c r="W644" s="632">
        <v>0</v>
      </c>
      <c r="X644" s="632">
        <v>0</v>
      </c>
    </row>
    <row r="645" spans="1:24" ht="22.5">
      <c r="A645" s="645">
        <v>627</v>
      </c>
      <c r="B645" s="643" t="s">
        <v>1248</v>
      </c>
      <c r="C645" s="645" t="s">
        <v>442</v>
      </c>
      <c r="D645" s="645" t="s">
        <v>1233</v>
      </c>
      <c r="E645" s="645" t="s">
        <v>670</v>
      </c>
      <c r="F645" s="645" t="s">
        <v>1114</v>
      </c>
      <c r="G645" s="645" t="s">
        <v>777</v>
      </c>
      <c r="H645" s="644">
        <v>2148652</v>
      </c>
      <c r="I645" s="644">
        <v>2148652</v>
      </c>
      <c r="J645" s="644">
        <v>2116277</v>
      </c>
      <c r="K645" s="644">
        <v>0</v>
      </c>
      <c r="L645" s="644">
        <v>32375</v>
      </c>
      <c r="M645" s="644">
        <v>0</v>
      </c>
      <c r="N645" s="644">
        <v>0</v>
      </c>
      <c r="O645" s="644">
        <v>0</v>
      </c>
      <c r="P645" s="644">
        <v>2148652</v>
      </c>
      <c r="Q645" s="644">
        <v>2148652</v>
      </c>
      <c r="R645" s="644">
        <v>0</v>
      </c>
      <c r="S645" s="644">
        <v>0</v>
      </c>
      <c r="T645" s="644">
        <v>0</v>
      </c>
      <c r="U645" s="644">
        <v>0</v>
      </c>
      <c r="V645" s="644">
        <v>0</v>
      </c>
      <c r="W645" s="632">
        <v>0</v>
      </c>
      <c r="X645" s="632">
        <v>0</v>
      </c>
    </row>
    <row r="646" spans="1:24" ht="22.5">
      <c r="A646" s="645">
        <v>628</v>
      </c>
      <c r="B646" s="643" t="s">
        <v>1248</v>
      </c>
      <c r="C646" s="645" t="s">
        <v>442</v>
      </c>
      <c r="D646" s="645" t="s">
        <v>1233</v>
      </c>
      <c r="E646" s="645" t="s">
        <v>905</v>
      </c>
      <c r="F646" s="645" t="s">
        <v>1114</v>
      </c>
      <c r="G646" s="645" t="s">
        <v>777</v>
      </c>
      <c r="H646" s="644">
        <v>1767024728</v>
      </c>
      <c r="I646" s="644">
        <v>4024728</v>
      </c>
      <c r="J646" s="644">
        <v>3207820</v>
      </c>
      <c r="K646" s="644">
        <v>0</v>
      </c>
      <c r="L646" s="644">
        <v>816908</v>
      </c>
      <c r="M646" s="644">
        <v>1763000000</v>
      </c>
      <c r="N646" s="644">
        <v>0</v>
      </c>
      <c r="O646" s="644">
        <v>0</v>
      </c>
      <c r="P646" s="644">
        <v>1761451647</v>
      </c>
      <c r="Q646" s="644">
        <v>1761451647</v>
      </c>
      <c r="R646" s="644">
        <v>0</v>
      </c>
      <c r="S646" s="644">
        <v>5573081</v>
      </c>
      <c r="T646" s="644">
        <v>0</v>
      </c>
      <c r="U646" s="644">
        <v>0</v>
      </c>
      <c r="V646" s="644">
        <v>5573081</v>
      </c>
      <c r="W646" s="632">
        <v>0</v>
      </c>
      <c r="X646" s="632">
        <v>43339000</v>
      </c>
    </row>
    <row r="647" spans="1:24">
      <c r="A647" s="645">
        <v>629</v>
      </c>
      <c r="B647" s="643" t="s">
        <v>1249</v>
      </c>
      <c r="C647" s="645" t="s">
        <v>442</v>
      </c>
      <c r="D647" s="645" t="s">
        <v>1233</v>
      </c>
      <c r="E647" s="645" t="s">
        <v>671</v>
      </c>
      <c r="F647" s="645" t="s">
        <v>1114</v>
      </c>
      <c r="G647" s="645" t="s">
        <v>777</v>
      </c>
      <c r="H647" s="644">
        <v>13171236559</v>
      </c>
      <c r="I647" s="644">
        <v>0</v>
      </c>
      <c r="J647" s="644">
        <v>0</v>
      </c>
      <c r="K647" s="644">
        <v>0</v>
      </c>
      <c r="L647" s="644">
        <v>0</v>
      </c>
      <c r="M647" s="644">
        <v>13171236559</v>
      </c>
      <c r="N647" s="644">
        <v>0</v>
      </c>
      <c r="O647" s="644">
        <v>0</v>
      </c>
      <c r="P647" s="644">
        <v>13171236559</v>
      </c>
      <c r="Q647" s="644">
        <v>13171236559</v>
      </c>
      <c r="R647" s="644">
        <v>0</v>
      </c>
      <c r="S647" s="644">
        <v>0</v>
      </c>
      <c r="T647" s="644">
        <v>0</v>
      </c>
      <c r="U647" s="644">
        <v>0</v>
      </c>
      <c r="V647" s="644">
        <v>0</v>
      </c>
      <c r="W647" s="632">
        <v>0</v>
      </c>
      <c r="X647" s="632">
        <v>110308000</v>
      </c>
    </row>
    <row r="648" spans="1:24" ht="22.5">
      <c r="A648" s="645">
        <v>630</v>
      </c>
      <c r="B648" s="643" t="s">
        <v>1250</v>
      </c>
      <c r="C648" s="645" t="s">
        <v>442</v>
      </c>
      <c r="D648" s="645" t="s">
        <v>1233</v>
      </c>
      <c r="E648" s="645" t="s">
        <v>671</v>
      </c>
      <c r="F648" s="645" t="s">
        <v>1114</v>
      </c>
      <c r="G648" s="645" t="s">
        <v>777</v>
      </c>
      <c r="H648" s="644">
        <v>6840000000</v>
      </c>
      <c r="I648" s="644">
        <v>0</v>
      </c>
      <c r="J648" s="644">
        <v>0</v>
      </c>
      <c r="K648" s="644">
        <v>0</v>
      </c>
      <c r="L648" s="644">
        <v>0</v>
      </c>
      <c r="M648" s="644">
        <v>6840000000</v>
      </c>
      <c r="N648" s="644">
        <v>0</v>
      </c>
      <c r="O648" s="644">
        <v>0</v>
      </c>
      <c r="P648" s="644">
        <v>6840000000</v>
      </c>
      <c r="Q648" s="644">
        <v>6840000000</v>
      </c>
      <c r="R648" s="644">
        <v>0</v>
      </c>
      <c r="S648" s="644">
        <v>0</v>
      </c>
      <c r="T648" s="644">
        <v>0</v>
      </c>
      <c r="U648" s="644">
        <v>0</v>
      </c>
      <c r="V648" s="644">
        <v>0</v>
      </c>
      <c r="W648" s="632">
        <v>0</v>
      </c>
      <c r="X648" s="632">
        <v>0</v>
      </c>
    </row>
    <row r="649" spans="1:24" ht="22.5">
      <c r="A649" s="645">
        <v>631</v>
      </c>
      <c r="B649" s="643" t="s">
        <v>1251</v>
      </c>
      <c r="C649" s="645" t="s">
        <v>442</v>
      </c>
      <c r="D649" s="645" t="s">
        <v>1252</v>
      </c>
      <c r="E649" s="645" t="s">
        <v>905</v>
      </c>
      <c r="F649" s="645" t="s">
        <v>1114</v>
      </c>
      <c r="G649" s="645" t="s">
        <v>777</v>
      </c>
      <c r="H649" s="644">
        <v>952717000</v>
      </c>
      <c r="I649" s="644">
        <v>40000</v>
      </c>
      <c r="J649" s="644">
        <v>40000</v>
      </c>
      <c r="K649" s="644">
        <v>0</v>
      </c>
      <c r="L649" s="644">
        <v>0</v>
      </c>
      <c r="M649" s="644">
        <v>952677000</v>
      </c>
      <c r="N649" s="644">
        <v>0</v>
      </c>
      <c r="O649" s="644">
        <v>0</v>
      </c>
      <c r="P649" s="644">
        <v>952717000</v>
      </c>
      <c r="Q649" s="644">
        <v>952717000</v>
      </c>
      <c r="R649" s="644">
        <v>0</v>
      </c>
      <c r="S649" s="644">
        <v>0</v>
      </c>
      <c r="T649" s="644">
        <v>0</v>
      </c>
      <c r="U649" s="644">
        <v>0</v>
      </c>
      <c r="V649" s="644">
        <v>0</v>
      </c>
      <c r="W649" s="632">
        <v>0</v>
      </c>
      <c r="X649" s="632">
        <v>0</v>
      </c>
    </row>
    <row r="650" spans="1:24" ht="22.5">
      <c r="A650" s="645">
        <v>632</v>
      </c>
      <c r="B650" s="643" t="s">
        <v>1254</v>
      </c>
      <c r="C650" s="645" t="s">
        <v>442</v>
      </c>
      <c r="D650" s="645" t="s">
        <v>1252</v>
      </c>
      <c r="E650" s="645" t="s">
        <v>901</v>
      </c>
      <c r="F650" s="645" t="s">
        <v>1114</v>
      </c>
      <c r="G650" s="645" t="s">
        <v>777</v>
      </c>
      <c r="H650" s="644">
        <v>888438</v>
      </c>
      <c r="I650" s="644">
        <v>888438</v>
      </c>
      <c r="J650" s="644">
        <v>888438</v>
      </c>
      <c r="K650" s="644">
        <v>0</v>
      </c>
      <c r="L650" s="644">
        <v>0</v>
      </c>
      <c r="M650" s="644">
        <v>0</v>
      </c>
      <c r="N650" s="644">
        <v>0</v>
      </c>
      <c r="O650" s="644">
        <v>0</v>
      </c>
      <c r="P650" s="644">
        <v>0</v>
      </c>
      <c r="Q650" s="644">
        <v>0</v>
      </c>
      <c r="R650" s="644">
        <v>0</v>
      </c>
      <c r="S650" s="644">
        <v>888438</v>
      </c>
      <c r="T650" s="644">
        <v>888438</v>
      </c>
      <c r="U650" s="644">
        <v>0</v>
      </c>
      <c r="V650" s="644">
        <v>0</v>
      </c>
      <c r="W650" s="632">
        <v>0</v>
      </c>
      <c r="X650" s="632">
        <v>1109328291</v>
      </c>
    </row>
    <row r="651" spans="1:24" ht="22.5">
      <c r="A651" s="645">
        <v>633</v>
      </c>
      <c r="B651" s="643" t="s">
        <v>1254</v>
      </c>
      <c r="C651" s="645" t="s">
        <v>442</v>
      </c>
      <c r="D651" s="645" t="s">
        <v>1252</v>
      </c>
      <c r="E651" s="645" t="s">
        <v>1115</v>
      </c>
      <c r="F651" s="645" t="s">
        <v>1114</v>
      </c>
      <c r="G651" s="645" t="s">
        <v>777</v>
      </c>
      <c r="H651" s="644">
        <v>900000000</v>
      </c>
      <c r="I651" s="644">
        <v>0</v>
      </c>
      <c r="J651" s="644">
        <v>0</v>
      </c>
      <c r="K651" s="644">
        <v>0</v>
      </c>
      <c r="L651" s="644">
        <v>0</v>
      </c>
      <c r="M651" s="644">
        <v>900000000</v>
      </c>
      <c r="N651" s="644">
        <v>0</v>
      </c>
      <c r="O651" s="644">
        <v>0</v>
      </c>
      <c r="P651" s="644">
        <v>899804842</v>
      </c>
      <c r="Q651" s="644">
        <v>899804842</v>
      </c>
      <c r="R651" s="644">
        <v>0</v>
      </c>
      <c r="S651" s="644">
        <v>195158</v>
      </c>
      <c r="T651" s="644">
        <v>195158</v>
      </c>
      <c r="U651" s="644">
        <v>0</v>
      </c>
      <c r="V651" s="644">
        <v>0</v>
      </c>
      <c r="W651" s="632">
        <v>0</v>
      </c>
      <c r="X651" s="632">
        <v>0</v>
      </c>
    </row>
    <row r="652" spans="1:24" ht="22.5">
      <c r="A652" s="645">
        <v>634</v>
      </c>
      <c r="B652" s="643" t="s">
        <v>1255</v>
      </c>
      <c r="C652" s="645" t="s">
        <v>442</v>
      </c>
      <c r="D652" s="645" t="s">
        <v>1252</v>
      </c>
      <c r="E652" s="645" t="s">
        <v>1115</v>
      </c>
      <c r="F652" s="645" t="s">
        <v>1114</v>
      </c>
      <c r="G652" s="645" t="s">
        <v>777</v>
      </c>
      <c r="H652" s="644">
        <v>5004850003</v>
      </c>
      <c r="I652" s="644">
        <v>309679003</v>
      </c>
      <c r="J652" s="644">
        <v>309679003</v>
      </c>
      <c r="K652" s="644">
        <v>0</v>
      </c>
      <c r="L652" s="644">
        <v>0</v>
      </c>
      <c r="M652" s="644">
        <v>4695171000</v>
      </c>
      <c r="N652" s="644">
        <v>0</v>
      </c>
      <c r="O652" s="644">
        <v>0</v>
      </c>
      <c r="P652" s="644">
        <v>4982857558</v>
      </c>
      <c r="Q652" s="644">
        <v>4982857558</v>
      </c>
      <c r="R652" s="644">
        <v>0</v>
      </c>
      <c r="S652" s="644">
        <v>21992445</v>
      </c>
      <c r="T652" s="644">
        <v>21992445</v>
      </c>
      <c r="U652" s="644">
        <v>0</v>
      </c>
      <c r="V652" s="644">
        <v>0</v>
      </c>
      <c r="W652" s="632">
        <v>0</v>
      </c>
      <c r="X652" s="632">
        <v>159138120</v>
      </c>
    </row>
    <row r="653" spans="1:24" ht="22.5">
      <c r="A653" s="645">
        <v>635</v>
      </c>
      <c r="B653" s="643" t="s">
        <v>1256</v>
      </c>
      <c r="C653" s="645" t="s">
        <v>442</v>
      </c>
      <c r="D653" s="645" t="s">
        <v>1252</v>
      </c>
      <c r="E653" s="645" t="s">
        <v>1115</v>
      </c>
      <c r="F653" s="645" t="s">
        <v>1114</v>
      </c>
      <c r="G653" s="645" t="s">
        <v>777</v>
      </c>
      <c r="H653" s="644">
        <v>5101373558</v>
      </c>
      <c r="I653" s="644">
        <v>48250558</v>
      </c>
      <c r="J653" s="644">
        <v>48250558</v>
      </c>
      <c r="K653" s="644">
        <v>0</v>
      </c>
      <c r="L653" s="644">
        <v>0</v>
      </c>
      <c r="M653" s="644">
        <v>5053123000</v>
      </c>
      <c r="N653" s="644">
        <v>0</v>
      </c>
      <c r="O653" s="644">
        <v>0</v>
      </c>
      <c r="P653" s="644">
        <v>5050664455</v>
      </c>
      <c r="Q653" s="644">
        <v>5050664455</v>
      </c>
      <c r="R653" s="644">
        <v>0</v>
      </c>
      <c r="S653" s="644">
        <v>50709103</v>
      </c>
      <c r="T653" s="644">
        <v>50709103</v>
      </c>
      <c r="U653" s="644">
        <v>0</v>
      </c>
      <c r="V653" s="644">
        <v>0</v>
      </c>
      <c r="W653" s="632">
        <v>0</v>
      </c>
      <c r="X653" s="632">
        <v>44144000</v>
      </c>
    </row>
    <row r="654" spans="1:24" ht="22.5">
      <c r="A654" s="645">
        <v>636</v>
      </c>
      <c r="B654" s="643" t="s">
        <v>1257</v>
      </c>
      <c r="C654" s="645" t="s">
        <v>442</v>
      </c>
      <c r="D654" s="645" t="s">
        <v>1252</v>
      </c>
      <c r="E654" s="645" t="s">
        <v>905</v>
      </c>
      <c r="F654" s="645" t="s">
        <v>1114</v>
      </c>
      <c r="G654" s="645" t="s">
        <v>777</v>
      </c>
      <c r="H654" s="644">
        <v>7407349445</v>
      </c>
      <c r="I654" s="644">
        <v>603243445</v>
      </c>
      <c r="J654" s="644">
        <v>602533384</v>
      </c>
      <c r="K654" s="644">
        <v>0</v>
      </c>
      <c r="L654" s="644">
        <v>710061</v>
      </c>
      <c r="M654" s="644">
        <v>6943593000</v>
      </c>
      <c r="N654" s="644">
        <v>-139487000</v>
      </c>
      <c r="O654" s="644">
        <v>0</v>
      </c>
      <c r="P654" s="644">
        <v>6716724977</v>
      </c>
      <c r="Q654" s="644">
        <v>6716724977</v>
      </c>
      <c r="R654" s="644">
        <v>0</v>
      </c>
      <c r="S654" s="644">
        <v>690624468</v>
      </c>
      <c r="T654" s="644">
        <v>473643507</v>
      </c>
      <c r="U654" s="644">
        <v>0</v>
      </c>
      <c r="V654" s="644">
        <v>216980961</v>
      </c>
      <c r="W654" s="632">
        <v>0</v>
      </c>
      <c r="X654" s="632">
        <v>0</v>
      </c>
    </row>
    <row r="655" spans="1:24" ht="22.5">
      <c r="A655" s="645">
        <v>637</v>
      </c>
      <c r="B655" s="643" t="s">
        <v>1257</v>
      </c>
      <c r="C655" s="645" t="s">
        <v>442</v>
      </c>
      <c r="D655" s="645" t="s">
        <v>1252</v>
      </c>
      <c r="E655" s="645" t="s">
        <v>1116</v>
      </c>
      <c r="F655" s="645" t="s">
        <v>1114</v>
      </c>
      <c r="G655" s="645" t="s">
        <v>777</v>
      </c>
      <c r="H655" s="644">
        <v>50595000</v>
      </c>
      <c r="I655" s="644">
        <v>0</v>
      </c>
      <c r="J655" s="644">
        <v>0</v>
      </c>
      <c r="K655" s="644">
        <v>0</v>
      </c>
      <c r="L655" s="644">
        <v>0</v>
      </c>
      <c r="M655" s="644">
        <v>0</v>
      </c>
      <c r="N655" s="644">
        <v>50595000</v>
      </c>
      <c r="O655" s="644">
        <v>0</v>
      </c>
      <c r="P655" s="644">
        <v>0</v>
      </c>
      <c r="Q655" s="644">
        <v>0</v>
      </c>
      <c r="R655" s="644">
        <v>0</v>
      </c>
      <c r="S655" s="644">
        <v>50595000</v>
      </c>
      <c r="T655" s="644">
        <v>50595000</v>
      </c>
      <c r="U655" s="644">
        <v>0</v>
      </c>
      <c r="V655" s="644">
        <v>0</v>
      </c>
      <c r="W655" s="632">
        <v>0</v>
      </c>
      <c r="X655" s="632">
        <v>0</v>
      </c>
    </row>
    <row r="656" spans="1:24" ht="22.5">
      <c r="A656" s="645">
        <v>638</v>
      </c>
      <c r="B656" s="643" t="s">
        <v>1262</v>
      </c>
      <c r="C656" s="645" t="s">
        <v>442</v>
      </c>
      <c r="D656" s="645" t="s">
        <v>1252</v>
      </c>
      <c r="E656" s="645" t="s">
        <v>1115</v>
      </c>
      <c r="F656" s="645" t="s">
        <v>1114</v>
      </c>
      <c r="G656" s="645" t="s">
        <v>777</v>
      </c>
      <c r="H656" s="644">
        <v>7860798298</v>
      </c>
      <c r="I656" s="644">
        <v>326817298</v>
      </c>
      <c r="J656" s="644">
        <v>326817298</v>
      </c>
      <c r="K656" s="644">
        <v>0</v>
      </c>
      <c r="L656" s="644">
        <v>0</v>
      </c>
      <c r="M656" s="644">
        <v>7533981000</v>
      </c>
      <c r="N656" s="644">
        <v>0</v>
      </c>
      <c r="O656" s="644">
        <v>0</v>
      </c>
      <c r="P656" s="644">
        <v>7706490863</v>
      </c>
      <c r="Q656" s="644">
        <v>7706490863</v>
      </c>
      <c r="R656" s="644">
        <v>0</v>
      </c>
      <c r="S656" s="644">
        <v>154307435</v>
      </c>
      <c r="T656" s="644">
        <v>154307435</v>
      </c>
      <c r="U656" s="644">
        <v>0</v>
      </c>
      <c r="V656" s="644">
        <v>0</v>
      </c>
      <c r="W656" s="632">
        <v>0</v>
      </c>
      <c r="X656" s="632">
        <v>0</v>
      </c>
    </row>
    <row r="657" spans="1:24" ht="22.5">
      <c r="A657" s="645">
        <v>639</v>
      </c>
      <c r="B657" s="643" t="s">
        <v>1263</v>
      </c>
      <c r="C657" s="645" t="s">
        <v>442</v>
      </c>
      <c r="D657" s="645" t="s">
        <v>1252</v>
      </c>
      <c r="E657" s="645" t="s">
        <v>1358</v>
      </c>
      <c r="F657" s="645" t="s">
        <v>1114</v>
      </c>
      <c r="G657" s="645" t="s">
        <v>777</v>
      </c>
      <c r="H657" s="644">
        <v>7374517640</v>
      </c>
      <c r="I657" s="644">
        <v>37640</v>
      </c>
      <c r="J657" s="644">
        <v>37640</v>
      </c>
      <c r="K657" s="644">
        <v>0</v>
      </c>
      <c r="L657" s="644">
        <v>0</v>
      </c>
      <c r="M657" s="644">
        <v>7111000000</v>
      </c>
      <c r="N657" s="644">
        <v>263480000</v>
      </c>
      <c r="O657" s="644">
        <v>0</v>
      </c>
      <c r="P657" s="644">
        <v>6853196151</v>
      </c>
      <c r="Q657" s="644">
        <v>6853196151</v>
      </c>
      <c r="R657" s="644">
        <v>0</v>
      </c>
      <c r="S657" s="644">
        <v>521321489</v>
      </c>
      <c r="T657" s="644">
        <v>521321489</v>
      </c>
      <c r="U657" s="644">
        <v>0</v>
      </c>
      <c r="V657" s="644">
        <v>0</v>
      </c>
      <c r="W657" s="632">
        <v>0</v>
      </c>
      <c r="X657" s="632">
        <v>6409000</v>
      </c>
    </row>
    <row r="658" spans="1:24">
      <c r="A658" s="645">
        <v>640</v>
      </c>
      <c r="B658" s="643" t="s">
        <v>1264</v>
      </c>
      <c r="C658" s="645" t="s">
        <v>442</v>
      </c>
      <c r="D658" s="645" t="s">
        <v>1252</v>
      </c>
      <c r="E658" s="645" t="s">
        <v>1115</v>
      </c>
      <c r="F658" s="645" t="s">
        <v>1114</v>
      </c>
      <c r="G658" s="645" t="s">
        <v>777</v>
      </c>
      <c r="H658" s="644">
        <v>315048000</v>
      </c>
      <c r="I658" s="644">
        <v>0</v>
      </c>
      <c r="J658" s="644">
        <v>0</v>
      </c>
      <c r="K658" s="644">
        <v>0</v>
      </c>
      <c r="L658" s="644">
        <v>0</v>
      </c>
      <c r="M658" s="644">
        <v>315048000</v>
      </c>
      <c r="N658" s="644">
        <v>0</v>
      </c>
      <c r="O658" s="644">
        <v>0</v>
      </c>
      <c r="P658" s="644">
        <v>315048000</v>
      </c>
      <c r="Q658" s="644">
        <v>315048000</v>
      </c>
      <c r="R658" s="644">
        <v>0</v>
      </c>
      <c r="S658" s="644">
        <v>0</v>
      </c>
      <c r="T658" s="644">
        <v>0</v>
      </c>
      <c r="U658" s="644">
        <v>0</v>
      </c>
      <c r="V658" s="644">
        <v>0</v>
      </c>
      <c r="W658" s="632">
        <v>0</v>
      </c>
      <c r="X658" s="632">
        <v>384532734</v>
      </c>
    </row>
    <row r="659" spans="1:24" ht="22.5">
      <c r="A659" s="645">
        <v>641</v>
      </c>
      <c r="B659" s="643" t="s">
        <v>1265</v>
      </c>
      <c r="C659" s="645" t="s">
        <v>442</v>
      </c>
      <c r="D659" s="645" t="s">
        <v>1252</v>
      </c>
      <c r="E659" s="645" t="s">
        <v>1192</v>
      </c>
      <c r="F659" s="645" t="s">
        <v>1114</v>
      </c>
      <c r="G659" s="645" t="s">
        <v>777</v>
      </c>
      <c r="H659" s="644">
        <v>5248310710</v>
      </c>
      <c r="I659" s="644">
        <v>215024710</v>
      </c>
      <c r="J659" s="644">
        <v>215024710</v>
      </c>
      <c r="K659" s="644">
        <v>0</v>
      </c>
      <c r="L659" s="644">
        <v>0</v>
      </c>
      <c r="M659" s="644">
        <v>4712083000</v>
      </c>
      <c r="N659" s="644">
        <v>321203000</v>
      </c>
      <c r="O659" s="644">
        <v>0</v>
      </c>
      <c r="P659" s="644">
        <v>5218761925</v>
      </c>
      <c r="Q659" s="644">
        <v>5218761925</v>
      </c>
      <c r="R659" s="644">
        <v>0</v>
      </c>
      <c r="S659" s="644">
        <v>29548785</v>
      </c>
      <c r="T659" s="644">
        <v>29548785</v>
      </c>
      <c r="U659" s="644">
        <v>0</v>
      </c>
      <c r="V659" s="644">
        <v>0</v>
      </c>
      <c r="W659" s="632">
        <v>0</v>
      </c>
      <c r="X659" s="632">
        <v>246709000</v>
      </c>
    </row>
    <row r="660" spans="1:24">
      <c r="A660" s="645">
        <v>642</v>
      </c>
      <c r="B660" s="643" t="s">
        <v>1266</v>
      </c>
      <c r="C660" s="645" t="s">
        <v>442</v>
      </c>
      <c r="D660" s="645" t="s">
        <v>1267</v>
      </c>
      <c r="E660" s="645" t="s">
        <v>700</v>
      </c>
      <c r="F660" s="645" t="s">
        <v>1114</v>
      </c>
      <c r="G660" s="645" t="s">
        <v>777</v>
      </c>
      <c r="H660" s="644">
        <v>1472567403</v>
      </c>
      <c r="I660" s="644">
        <v>4003403</v>
      </c>
      <c r="J660" s="644">
        <v>4003403</v>
      </c>
      <c r="K660" s="644">
        <v>0</v>
      </c>
      <c r="L660" s="644">
        <v>0</v>
      </c>
      <c r="M660" s="644">
        <v>1468564000</v>
      </c>
      <c r="N660" s="644">
        <v>0</v>
      </c>
      <c r="O660" s="644">
        <v>0</v>
      </c>
      <c r="P660" s="644">
        <v>1472564774</v>
      </c>
      <c r="Q660" s="644">
        <v>1472564774</v>
      </c>
      <c r="R660" s="644">
        <v>0</v>
      </c>
      <c r="S660" s="644">
        <v>2629</v>
      </c>
      <c r="T660" s="644">
        <v>2629</v>
      </c>
      <c r="U660" s="644">
        <v>0</v>
      </c>
      <c r="V660" s="644">
        <v>0</v>
      </c>
      <c r="W660" s="632">
        <v>0</v>
      </c>
      <c r="X660" s="632">
        <v>16942850</v>
      </c>
    </row>
    <row r="661" spans="1:24" ht="22.5">
      <c r="A661" s="645">
        <v>643</v>
      </c>
      <c r="B661" s="643" t="s">
        <v>1268</v>
      </c>
      <c r="C661" s="645" t="s">
        <v>442</v>
      </c>
      <c r="D661" s="645" t="s">
        <v>1267</v>
      </c>
      <c r="E661" s="645" t="s">
        <v>700</v>
      </c>
      <c r="F661" s="645" t="s">
        <v>1114</v>
      </c>
      <c r="G661" s="645" t="s">
        <v>777</v>
      </c>
      <c r="H661" s="644">
        <v>4193788000</v>
      </c>
      <c r="I661" s="644">
        <v>0</v>
      </c>
      <c r="J661" s="644">
        <v>0</v>
      </c>
      <c r="K661" s="644">
        <v>0</v>
      </c>
      <c r="L661" s="644">
        <v>0</v>
      </c>
      <c r="M661" s="644">
        <v>4214531000</v>
      </c>
      <c r="N661" s="644">
        <v>-20743000</v>
      </c>
      <c r="O661" s="644">
        <v>0</v>
      </c>
      <c r="P661" s="644">
        <v>4193526790</v>
      </c>
      <c r="Q661" s="644">
        <v>4193526790</v>
      </c>
      <c r="R661" s="644">
        <v>0</v>
      </c>
      <c r="S661" s="644">
        <v>261210</v>
      </c>
      <c r="T661" s="644">
        <v>261210</v>
      </c>
      <c r="U661" s="644">
        <v>0</v>
      </c>
      <c r="V661" s="644">
        <v>0</v>
      </c>
      <c r="W661" s="632">
        <v>0</v>
      </c>
      <c r="X661" s="632">
        <v>0</v>
      </c>
    </row>
    <row r="662" spans="1:24">
      <c r="A662" s="645">
        <v>644</v>
      </c>
      <c r="B662" s="643" t="s">
        <v>1269</v>
      </c>
      <c r="C662" s="645" t="s">
        <v>442</v>
      </c>
      <c r="D662" s="645" t="s">
        <v>1267</v>
      </c>
      <c r="E662" s="645" t="s">
        <v>700</v>
      </c>
      <c r="F662" s="645" t="s">
        <v>1114</v>
      </c>
      <c r="G662" s="645" t="s">
        <v>777</v>
      </c>
      <c r="H662" s="644">
        <v>1571262000</v>
      </c>
      <c r="I662" s="644">
        <v>0</v>
      </c>
      <c r="J662" s="644">
        <v>0</v>
      </c>
      <c r="K662" s="644">
        <v>0</v>
      </c>
      <c r="L662" s="644">
        <v>0</v>
      </c>
      <c r="M662" s="644">
        <v>1571262000</v>
      </c>
      <c r="N662" s="644">
        <v>0</v>
      </c>
      <c r="O662" s="644">
        <v>0</v>
      </c>
      <c r="P662" s="644">
        <v>1571262000</v>
      </c>
      <c r="Q662" s="644">
        <v>1571262000</v>
      </c>
      <c r="R662" s="644">
        <v>0</v>
      </c>
      <c r="S662" s="644">
        <v>0</v>
      </c>
      <c r="T662" s="644">
        <v>0</v>
      </c>
      <c r="U662" s="644">
        <v>0</v>
      </c>
      <c r="V662" s="644">
        <v>0</v>
      </c>
      <c r="W662" s="632">
        <v>0</v>
      </c>
      <c r="X662" s="632">
        <v>6223000</v>
      </c>
    </row>
    <row r="663" spans="1:24" ht="22.5">
      <c r="A663" s="645">
        <v>645</v>
      </c>
      <c r="B663" s="643" t="s">
        <v>1271</v>
      </c>
      <c r="C663" s="645" t="s">
        <v>442</v>
      </c>
      <c r="D663" s="645" t="s">
        <v>1267</v>
      </c>
      <c r="E663" s="645" t="s">
        <v>905</v>
      </c>
      <c r="F663" s="645" t="s">
        <v>1114</v>
      </c>
      <c r="G663" s="645" t="s">
        <v>777</v>
      </c>
      <c r="H663" s="644">
        <v>6962903111</v>
      </c>
      <c r="I663" s="644">
        <v>371037111</v>
      </c>
      <c r="J663" s="644">
        <v>4553273</v>
      </c>
      <c r="K663" s="644">
        <v>0</v>
      </c>
      <c r="L663" s="644">
        <v>366483838</v>
      </c>
      <c r="M663" s="644">
        <v>6614019000</v>
      </c>
      <c r="N663" s="644">
        <v>-22153000</v>
      </c>
      <c r="O663" s="644">
        <v>0</v>
      </c>
      <c r="P663" s="644">
        <v>6460395546</v>
      </c>
      <c r="Q663" s="644">
        <v>6460395546</v>
      </c>
      <c r="R663" s="644">
        <v>0</v>
      </c>
      <c r="S663" s="644">
        <v>502507565</v>
      </c>
      <c r="T663" s="644">
        <v>236825727</v>
      </c>
      <c r="U663" s="644">
        <v>0</v>
      </c>
      <c r="V663" s="644">
        <v>265681838</v>
      </c>
      <c r="W663" s="632">
        <v>0</v>
      </c>
      <c r="X663" s="632">
        <v>66300000</v>
      </c>
    </row>
    <row r="664" spans="1:24" ht="22.5">
      <c r="A664" s="645">
        <v>646</v>
      </c>
      <c r="B664" s="643" t="s">
        <v>1272</v>
      </c>
      <c r="C664" s="645" t="s">
        <v>442</v>
      </c>
      <c r="D664" s="645" t="s">
        <v>1267</v>
      </c>
      <c r="E664" s="645" t="s">
        <v>700</v>
      </c>
      <c r="F664" s="645" t="s">
        <v>1114</v>
      </c>
      <c r="G664" s="645" t="s">
        <v>777</v>
      </c>
      <c r="H664" s="644">
        <v>2764336242</v>
      </c>
      <c r="I664" s="644">
        <v>26128242</v>
      </c>
      <c r="J664" s="644">
        <v>26128242</v>
      </c>
      <c r="K664" s="644">
        <v>0</v>
      </c>
      <c r="L664" s="644">
        <v>0</v>
      </c>
      <c r="M664" s="644">
        <v>2819354000</v>
      </c>
      <c r="N664" s="644">
        <v>-81146000</v>
      </c>
      <c r="O664" s="644">
        <v>0</v>
      </c>
      <c r="P664" s="644">
        <v>2701898413</v>
      </c>
      <c r="Q664" s="644">
        <v>2701898413</v>
      </c>
      <c r="R664" s="644">
        <v>0</v>
      </c>
      <c r="S664" s="644">
        <v>62437829</v>
      </c>
      <c r="T664" s="644">
        <v>494829</v>
      </c>
      <c r="U664" s="644">
        <v>0</v>
      </c>
      <c r="V664" s="644">
        <v>61943000</v>
      </c>
      <c r="W664" s="632">
        <v>0</v>
      </c>
      <c r="X664" s="632">
        <v>18522000</v>
      </c>
    </row>
    <row r="665" spans="1:24" ht="22.5">
      <c r="A665" s="645">
        <v>647</v>
      </c>
      <c r="B665" s="643" t="s">
        <v>1273</v>
      </c>
      <c r="C665" s="645" t="s">
        <v>442</v>
      </c>
      <c r="D665" s="645" t="s">
        <v>1267</v>
      </c>
      <c r="E665" s="645" t="s">
        <v>700</v>
      </c>
      <c r="F665" s="645" t="s">
        <v>1114</v>
      </c>
      <c r="G665" s="645" t="s">
        <v>777</v>
      </c>
      <c r="H665" s="644">
        <v>3145337090</v>
      </c>
      <c r="I665" s="644">
        <v>148284090</v>
      </c>
      <c r="J665" s="644">
        <v>140215090</v>
      </c>
      <c r="K665" s="644">
        <v>0</v>
      </c>
      <c r="L665" s="644">
        <v>8069000</v>
      </c>
      <c r="M665" s="644">
        <v>3018874000</v>
      </c>
      <c r="N665" s="644">
        <v>-21821000</v>
      </c>
      <c r="O665" s="644">
        <v>0</v>
      </c>
      <c r="P665" s="644">
        <v>3088743528</v>
      </c>
      <c r="Q665" s="644">
        <v>3088743528</v>
      </c>
      <c r="R665" s="644">
        <v>0</v>
      </c>
      <c r="S665" s="644">
        <v>56593562</v>
      </c>
      <c r="T665" s="644">
        <v>26888562</v>
      </c>
      <c r="U665" s="644">
        <v>0</v>
      </c>
      <c r="V665" s="644">
        <v>29705000</v>
      </c>
      <c r="W665" s="632">
        <v>0</v>
      </c>
      <c r="X665" s="632">
        <v>0</v>
      </c>
    </row>
    <row r="666" spans="1:24" ht="22.5">
      <c r="A666" s="645">
        <v>648</v>
      </c>
      <c r="B666" s="643" t="s">
        <v>1274</v>
      </c>
      <c r="C666" s="645" t="s">
        <v>442</v>
      </c>
      <c r="D666" s="645" t="s">
        <v>1267</v>
      </c>
      <c r="E666" s="645" t="s">
        <v>700</v>
      </c>
      <c r="F666" s="645" t="s">
        <v>1114</v>
      </c>
      <c r="G666" s="645" t="s">
        <v>777</v>
      </c>
      <c r="H666" s="644">
        <v>1210722000</v>
      </c>
      <c r="I666" s="644">
        <v>1516000</v>
      </c>
      <c r="J666" s="644">
        <v>1516000</v>
      </c>
      <c r="K666" s="644">
        <v>0</v>
      </c>
      <c r="L666" s="644">
        <v>0</v>
      </c>
      <c r="M666" s="644">
        <v>1343168000</v>
      </c>
      <c r="N666" s="644">
        <v>-133962000</v>
      </c>
      <c r="O666" s="644">
        <v>0</v>
      </c>
      <c r="P666" s="644">
        <v>1210722000</v>
      </c>
      <c r="Q666" s="644">
        <v>1210722000</v>
      </c>
      <c r="R666" s="644">
        <v>0</v>
      </c>
      <c r="S666" s="644">
        <v>0</v>
      </c>
      <c r="T666" s="644">
        <v>0</v>
      </c>
      <c r="U666" s="644">
        <v>0</v>
      </c>
      <c r="V666" s="644">
        <v>0</v>
      </c>
      <c r="W666" s="632">
        <v>0</v>
      </c>
      <c r="X666" s="632">
        <v>0</v>
      </c>
    </row>
    <row r="667" spans="1:24" ht="22.5">
      <c r="A667" s="645">
        <v>649</v>
      </c>
      <c r="B667" s="643" t="s">
        <v>1275</v>
      </c>
      <c r="C667" s="645" t="s">
        <v>442</v>
      </c>
      <c r="D667" s="645" t="s">
        <v>1267</v>
      </c>
      <c r="E667" s="645" t="s">
        <v>885</v>
      </c>
      <c r="F667" s="645" t="s">
        <v>1114</v>
      </c>
      <c r="G667" s="645" t="s">
        <v>777</v>
      </c>
      <c r="H667" s="644">
        <v>3581626170</v>
      </c>
      <c r="I667" s="644">
        <v>43786170</v>
      </c>
      <c r="J667" s="644">
        <v>43786170</v>
      </c>
      <c r="K667" s="644">
        <v>0</v>
      </c>
      <c r="L667" s="644">
        <v>0</v>
      </c>
      <c r="M667" s="644">
        <v>3643634000</v>
      </c>
      <c r="N667" s="644">
        <v>-105794000</v>
      </c>
      <c r="O667" s="644">
        <v>0</v>
      </c>
      <c r="P667" s="644">
        <v>3500411674</v>
      </c>
      <c r="Q667" s="644">
        <v>3500411674</v>
      </c>
      <c r="R667" s="644">
        <v>0</v>
      </c>
      <c r="S667" s="644">
        <v>81214496</v>
      </c>
      <c r="T667" s="644">
        <v>81214496</v>
      </c>
      <c r="U667" s="644">
        <v>0</v>
      </c>
      <c r="V667" s="644">
        <v>0</v>
      </c>
      <c r="W667" s="632">
        <v>0</v>
      </c>
      <c r="X667" s="632">
        <v>0</v>
      </c>
    </row>
    <row r="668" spans="1:24">
      <c r="A668" s="645">
        <v>650</v>
      </c>
      <c r="B668" s="643" t="s">
        <v>1276</v>
      </c>
      <c r="C668" s="645" t="s">
        <v>442</v>
      </c>
      <c r="D668" s="645" t="s">
        <v>1267</v>
      </c>
      <c r="E668" s="645" t="s">
        <v>700</v>
      </c>
      <c r="F668" s="645" t="s">
        <v>1114</v>
      </c>
      <c r="G668" s="645" t="s">
        <v>777</v>
      </c>
      <c r="H668" s="644">
        <v>2066992790</v>
      </c>
      <c r="I668" s="644">
        <v>2720790</v>
      </c>
      <c r="J668" s="644">
        <v>2663083</v>
      </c>
      <c r="K668" s="644">
        <v>0</v>
      </c>
      <c r="L668" s="644">
        <v>57707</v>
      </c>
      <c r="M668" s="644">
        <v>2130306000</v>
      </c>
      <c r="N668" s="644">
        <v>-66034000</v>
      </c>
      <c r="O668" s="644">
        <v>0</v>
      </c>
      <c r="P668" s="644">
        <v>2066862528</v>
      </c>
      <c r="Q668" s="644">
        <v>2066862528</v>
      </c>
      <c r="R668" s="644">
        <v>0</v>
      </c>
      <c r="S668" s="644">
        <v>130262</v>
      </c>
      <c r="T668" s="644">
        <v>130262</v>
      </c>
      <c r="U668" s="644">
        <v>0</v>
      </c>
      <c r="V668" s="644">
        <v>0</v>
      </c>
      <c r="W668" s="632">
        <v>0</v>
      </c>
      <c r="X668" s="632">
        <v>23643200</v>
      </c>
    </row>
    <row r="669" spans="1:24" ht="22.5">
      <c r="A669" s="645">
        <v>651</v>
      </c>
      <c r="B669" s="643" t="s">
        <v>1277</v>
      </c>
      <c r="C669" s="645" t="s">
        <v>442</v>
      </c>
      <c r="D669" s="645" t="s">
        <v>1267</v>
      </c>
      <c r="E669" s="645" t="s">
        <v>700</v>
      </c>
      <c r="F669" s="645" t="s">
        <v>1114</v>
      </c>
      <c r="G669" s="645" t="s">
        <v>777</v>
      </c>
      <c r="H669" s="644">
        <v>665591148</v>
      </c>
      <c r="I669" s="644">
        <v>329561148</v>
      </c>
      <c r="J669" s="644">
        <v>309756748</v>
      </c>
      <c r="K669" s="644">
        <v>0</v>
      </c>
      <c r="L669" s="644">
        <v>19804400</v>
      </c>
      <c r="M669" s="644">
        <v>336030000</v>
      </c>
      <c r="N669" s="644">
        <v>0</v>
      </c>
      <c r="O669" s="644">
        <v>0</v>
      </c>
      <c r="P669" s="644">
        <v>641994602</v>
      </c>
      <c r="Q669" s="644">
        <v>641994602</v>
      </c>
      <c r="R669" s="644">
        <v>0</v>
      </c>
      <c r="S669" s="644">
        <v>23596546</v>
      </c>
      <c r="T669" s="644">
        <v>3792146</v>
      </c>
      <c r="U669" s="644">
        <v>0</v>
      </c>
      <c r="V669" s="644">
        <v>19804400</v>
      </c>
      <c r="W669" s="632">
        <v>0</v>
      </c>
      <c r="X669" s="632">
        <v>74215000</v>
      </c>
    </row>
    <row r="670" spans="1:24" ht="22.5">
      <c r="A670" s="645">
        <v>652</v>
      </c>
      <c r="B670" s="643" t="s">
        <v>1278</v>
      </c>
      <c r="C670" s="645" t="s">
        <v>442</v>
      </c>
      <c r="D670" s="645" t="s">
        <v>1279</v>
      </c>
      <c r="E670" s="645" t="s">
        <v>905</v>
      </c>
      <c r="F670" s="645" t="s">
        <v>1114</v>
      </c>
      <c r="G670" s="645" t="s">
        <v>777</v>
      </c>
      <c r="H670" s="644">
        <v>3976576639</v>
      </c>
      <c r="I670" s="644">
        <v>39261320</v>
      </c>
      <c r="J670" s="644">
        <v>0</v>
      </c>
      <c r="K670" s="644">
        <v>0</v>
      </c>
      <c r="L670" s="644">
        <v>39261320</v>
      </c>
      <c r="M670" s="644">
        <v>4004949319</v>
      </c>
      <c r="N670" s="644">
        <v>-67634000</v>
      </c>
      <c r="O670" s="644">
        <v>0</v>
      </c>
      <c r="P670" s="644">
        <v>3976495119</v>
      </c>
      <c r="Q670" s="644">
        <v>3976495119</v>
      </c>
      <c r="R670" s="644">
        <v>0</v>
      </c>
      <c r="S670" s="644">
        <v>81520</v>
      </c>
      <c r="T670" s="644">
        <v>0</v>
      </c>
      <c r="U670" s="644">
        <v>0</v>
      </c>
      <c r="V670" s="644">
        <v>81520</v>
      </c>
      <c r="W670" s="632">
        <v>0</v>
      </c>
      <c r="X670" s="632">
        <v>0</v>
      </c>
    </row>
    <row r="671" spans="1:24">
      <c r="A671" s="645">
        <v>653</v>
      </c>
      <c r="B671" s="643" t="s">
        <v>1281</v>
      </c>
      <c r="C671" s="645" t="s">
        <v>442</v>
      </c>
      <c r="D671" s="645" t="s">
        <v>1279</v>
      </c>
      <c r="E671" s="645" t="s">
        <v>905</v>
      </c>
      <c r="F671" s="645" t="s">
        <v>1114</v>
      </c>
      <c r="G671" s="645" t="s">
        <v>777</v>
      </c>
      <c r="H671" s="644">
        <v>1381212361</v>
      </c>
      <c r="I671" s="644">
        <v>0</v>
      </c>
      <c r="J671" s="644">
        <v>0</v>
      </c>
      <c r="K671" s="644">
        <v>0</v>
      </c>
      <c r="L671" s="644">
        <v>0</v>
      </c>
      <c r="M671" s="644">
        <v>1400069361</v>
      </c>
      <c r="N671" s="644">
        <v>-18857000</v>
      </c>
      <c r="O671" s="644">
        <v>0</v>
      </c>
      <c r="P671" s="644">
        <v>1381212361</v>
      </c>
      <c r="Q671" s="644">
        <v>1381212361</v>
      </c>
      <c r="R671" s="644">
        <v>0</v>
      </c>
      <c r="S671" s="644">
        <v>0</v>
      </c>
      <c r="T671" s="644">
        <v>0</v>
      </c>
      <c r="U671" s="644">
        <v>0</v>
      </c>
      <c r="V671" s="644">
        <v>0</v>
      </c>
      <c r="W671" s="632">
        <v>0</v>
      </c>
      <c r="X671" s="632">
        <v>0</v>
      </c>
    </row>
    <row r="672" spans="1:24">
      <c r="A672" s="645">
        <v>654</v>
      </c>
      <c r="B672" s="643" t="s">
        <v>1281</v>
      </c>
      <c r="C672" s="645" t="s">
        <v>442</v>
      </c>
      <c r="D672" s="645" t="s">
        <v>1279</v>
      </c>
      <c r="E672" s="645" t="s">
        <v>1116</v>
      </c>
      <c r="F672" s="645" t="s">
        <v>1114</v>
      </c>
      <c r="G672" s="645" t="s">
        <v>777</v>
      </c>
      <c r="H672" s="644">
        <v>57798000</v>
      </c>
      <c r="I672" s="644">
        <v>0</v>
      </c>
      <c r="J672" s="644">
        <v>0</v>
      </c>
      <c r="K672" s="644">
        <v>0</v>
      </c>
      <c r="L672" s="644">
        <v>0</v>
      </c>
      <c r="M672" s="644">
        <v>0</v>
      </c>
      <c r="N672" s="644">
        <v>57798000</v>
      </c>
      <c r="O672" s="644">
        <v>0</v>
      </c>
      <c r="P672" s="644">
        <v>57798000</v>
      </c>
      <c r="Q672" s="644">
        <v>57798000</v>
      </c>
      <c r="R672" s="644">
        <v>0</v>
      </c>
      <c r="S672" s="644">
        <v>0</v>
      </c>
      <c r="T672" s="644">
        <v>0</v>
      </c>
      <c r="U672" s="644">
        <v>0</v>
      </c>
      <c r="V672" s="644">
        <v>0</v>
      </c>
      <c r="W672" s="632">
        <v>0</v>
      </c>
      <c r="X672" s="632">
        <v>0</v>
      </c>
    </row>
    <row r="673" spans="1:24">
      <c r="A673" s="645">
        <v>655</v>
      </c>
      <c r="B673" s="643" t="s">
        <v>1282</v>
      </c>
      <c r="C673" s="645" t="s">
        <v>442</v>
      </c>
      <c r="D673" s="645" t="s">
        <v>1279</v>
      </c>
      <c r="E673" s="645" t="s">
        <v>905</v>
      </c>
      <c r="F673" s="645" t="s">
        <v>1114</v>
      </c>
      <c r="G673" s="645" t="s">
        <v>777</v>
      </c>
      <c r="H673" s="644">
        <v>1254070911</v>
      </c>
      <c r="I673" s="644">
        <v>21691</v>
      </c>
      <c r="J673" s="644">
        <v>0</v>
      </c>
      <c r="K673" s="644">
        <v>0</v>
      </c>
      <c r="L673" s="644">
        <v>21691</v>
      </c>
      <c r="M673" s="644">
        <v>1274991220</v>
      </c>
      <c r="N673" s="644">
        <v>-20942000</v>
      </c>
      <c r="O673" s="644">
        <v>0</v>
      </c>
      <c r="P673" s="644">
        <v>1223540260</v>
      </c>
      <c r="Q673" s="644">
        <v>1223540260</v>
      </c>
      <c r="R673" s="644">
        <v>0</v>
      </c>
      <c r="S673" s="644">
        <v>30530651</v>
      </c>
      <c r="T673" s="644">
        <v>30530651</v>
      </c>
      <c r="U673" s="644">
        <v>0</v>
      </c>
      <c r="V673" s="644">
        <v>0</v>
      </c>
      <c r="W673" s="632">
        <v>0</v>
      </c>
      <c r="X673" s="632">
        <v>0</v>
      </c>
    </row>
    <row r="674" spans="1:24" ht="22.5">
      <c r="A674" s="645">
        <v>656</v>
      </c>
      <c r="B674" s="643" t="s">
        <v>1283</v>
      </c>
      <c r="C674" s="645" t="s">
        <v>442</v>
      </c>
      <c r="D674" s="645" t="s">
        <v>1279</v>
      </c>
      <c r="E674" s="645" t="s">
        <v>905</v>
      </c>
      <c r="F674" s="645" t="s">
        <v>1114</v>
      </c>
      <c r="G674" s="645" t="s">
        <v>777</v>
      </c>
      <c r="H674" s="644">
        <v>1484133100</v>
      </c>
      <c r="I674" s="644">
        <v>0</v>
      </c>
      <c r="J674" s="644">
        <v>0</v>
      </c>
      <c r="K674" s="644">
        <v>0</v>
      </c>
      <c r="L674" s="644">
        <v>0</v>
      </c>
      <c r="M674" s="644">
        <v>1502990100</v>
      </c>
      <c r="N674" s="644">
        <v>-18857000</v>
      </c>
      <c r="O674" s="644">
        <v>0</v>
      </c>
      <c r="P674" s="644">
        <v>1470824671</v>
      </c>
      <c r="Q674" s="644">
        <v>1470824671</v>
      </c>
      <c r="R674" s="644">
        <v>0</v>
      </c>
      <c r="S674" s="644">
        <v>13308429</v>
      </c>
      <c r="T674" s="644">
        <v>13308429</v>
      </c>
      <c r="U674" s="644">
        <v>0</v>
      </c>
      <c r="V674" s="644">
        <v>0</v>
      </c>
      <c r="W674" s="632">
        <v>0</v>
      </c>
      <c r="X674" s="632">
        <v>190726000</v>
      </c>
    </row>
    <row r="675" spans="1:24" ht="22.5">
      <c r="A675" s="645">
        <v>657</v>
      </c>
      <c r="B675" s="643" t="s">
        <v>1359</v>
      </c>
      <c r="C675" s="645" t="s">
        <v>442</v>
      </c>
      <c r="D675" s="645" t="s">
        <v>1279</v>
      </c>
      <c r="E675" s="645" t="s">
        <v>888</v>
      </c>
      <c r="F675" s="645" t="s">
        <v>1114</v>
      </c>
      <c r="G675" s="645" t="s">
        <v>777</v>
      </c>
      <c r="H675" s="644">
        <v>1206409544</v>
      </c>
      <c r="I675" s="644">
        <v>18221544</v>
      </c>
      <c r="J675" s="644">
        <v>17536744</v>
      </c>
      <c r="K675" s="644">
        <v>0</v>
      </c>
      <c r="L675" s="644">
        <v>684800</v>
      </c>
      <c r="M675" s="644">
        <v>1205040000</v>
      </c>
      <c r="N675" s="644">
        <v>-16852000</v>
      </c>
      <c r="O675" s="644">
        <v>0</v>
      </c>
      <c r="P675" s="644">
        <v>1195132643</v>
      </c>
      <c r="Q675" s="644">
        <v>1195132643</v>
      </c>
      <c r="R675" s="644">
        <v>0</v>
      </c>
      <c r="S675" s="644">
        <v>11276901</v>
      </c>
      <c r="T675" s="644">
        <v>11276901</v>
      </c>
      <c r="U675" s="644">
        <v>0</v>
      </c>
      <c r="V675" s="644">
        <v>0</v>
      </c>
      <c r="W675" s="632">
        <v>0</v>
      </c>
      <c r="X675" s="632">
        <v>778683000</v>
      </c>
    </row>
    <row r="676" spans="1:24" ht="22.5">
      <c r="A676" s="645">
        <v>658</v>
      </c>
      <c r="B676" s="643" t="s">
        <v>1284</v>
      </c>
      <c r="C676" s="645" t="s">
        <v>442</v>
      </c>
      <c r="D676" s="645" t="s">
        <v>1285</v>
      </c>
      <c r="E676" s="645" t="s">
        <v>905</v>
      </c>
      <c r="F676" s="645" t="s">
        <v>1114</v>
      </c>
      <c r="G676" s="645" t="s">
        <v>777</v>
      </c>
      <c r="H676" s="644">
        <v>3882028129</v>
      </c>
      <c r="I676" s="644">
        <v>11689129</v>
      </c>
      <c r="J676" s="644">
        <v>667129</v>
      </c>
      <c r="K676" s="644">
        <v>0</v>
      </c>
      <c r="L676" s="644">
        <v>11022000</v>
      </c>
      <c r="M676" s="644">
        <v>3870339000</v>
      </c>
      <c r="N676" s="644">
        <v>0</v>
      </c>
      <c r="O676" s="644">
        <v>0</v>
      </c>
      <c r="P676" s="644">
        <v>3859701095</v>
      </c>
      <c r="Q676" s="644">
        <v>3859701095</v>
      </c>
      <c r="R676" s="644">
        <v>0</v>
      </c>
      <c r="S676" s="644">
        <v>22327034</v>
      </c>
      <c r="T676" s="644">
        <v>10047034</v>
      </c>
      <c r="U676" s="644">
        <v>0</v>
      </c>
      <c r="V676" s="644">
        <v>12280000</v>
      </c>
      <c r="W676" s="632">
        <v>0</v>
      </c>
      <c r="X676" s="632">
        <v>0</v>
      </c>
    </row>
    <row r="677" spans="1:24" ht="22.5">
      <c r="A677" s="645">
        <v>659</v>
      </c>
      <c r="B677" s="643" t="s">
        <v>1286</v>
      </c>
      <c r="C677" s="645" t="s">
        <v>442</v>
      </c>
      <c r="D677" s="645" t="s">
        <v>1285</v>
      </c>
      <c r="E677" s="645" t="s">
        <v>641</v>
      </c>
      <c r="F677" s="645" t="s">
        <v>1114</v>
      </c>
      <c r="G677" s="645" t="s">
        <v>777</v>
      </c>
      <c r="H677" s="644">
        <v>56622969</v>
      </c>
      <c r="I677" s="644">
        <v>56622969</v>
      </c>
      <c r="J677" s="644">
        <v>6878069</v>
      </c>
      <c r="K677" s="644">
        <v>0</v>
      </c>
      <c r="L677" s="644">
        <v>49744900</v>
      </c>
      <c r="M677" s="644">
        <v>0</v>
      </c>
      <c r="N677" s="644">
        <v>0</v>
      </c>
      <c r="O677" s="644">
        <v>0</v>
      </c>
      <c r="P677" s="644">
        <v>52211969</v>
      </c>
      <c r="Q677" s="644">
        <v>52211969</v>
      </c>
      <c r="R677" s="644">
        <v>0</v>
      </c>
      <c r="S677" s="644">
        <v>4411000</v>
      </c>
      <c r="T677" s="644">
        <v>0</v>
      </c>
      <c r="U677" s="644">
        <v>0</v>
      </c>
      <c r="V677" s="644">
        <v>4411000</v>
      </c>
      <c r="W677" s="632">
        <v>0</v>
      </c>
      <c r="X677" s="632">
        <v>0</v>
      </c>
    </row>
    <row r="678" spans="1:24" ht="22.5">
      <c r="A678" s="645">
        <v>660</v>
      </c>
      <c r="B678" s="643" t="s">
        <v>1286</v>
      </c>
      <c r="C678" s="645" t="s">
        <v>442</v>
      </c>
      <c r="D678" s="645" t="s">
        <v>1285</v>
      </c>
      <c r="E678" s="645" t="s">
        <v>900</v>
      </c>
      <c r="F678" s="645" t="s">
        <v>1114</v>
      </c>
      <c r="G678" s="645" t="s">
        <v>777</v>
      </c>
      <c r="H678" s="644">
        <v>1560000000</v>
      </c>
      <c r="I678" s="644">
        <v>0</v>
      </c>
      <c r="J678" s="644">
        <v>0</v>
      </c>
      <c r="K678" s="644">
        <v>0</v>
      </c>
      <c r="L678" s="644">
        <v>0</v>
      </c>
      <c r="M678" s="644">
        <v>1560000000</v>
      </c>
      <c r="N678" s="644">
        <v>0</v>
      </c>
      <c r="O678" s="644">
        <v>0</v>
      </c>
      <c r="P678" s="644">
        <v>1559334111</v>
      </c>
      <c r="Q678" s="644">
        <v>1559334111</v>
      </c>
      <c r="R678" s="644">
        <v>0</v>
      </c>
      <c r="S678" s="644">
        <v>665889</v>
      </c>
      <c r="T678" s="644">
        <v>0</v>
      </c>
      <c r="U678" s="644">
        <v>0</v>
      </c>
      <c r="V678" s="644">
        <v>665889</v>
      </c>
      <c r="W678" s="632">
        <v>0</v>
      </c>
      <c r="X678" s="632">
        <v>0</v>
      </c>
    </row>
    <row r="679" spans="1:24">
      <c r="A679" s="645">
        <v>661</v>
      </c>
      <c r="B679" s="643" t="s">
        <v>1287</v>
      </c>
      <c r="C679" s="645" t="s">
        <v>442</v>
      </c>
      <c r="D679" s="645" t="s">
        <v>1288</v>
      </c>
      <c r="E679" s="645" t="s">
        <v>905</v>
      </c>
      <c r="F679" s="645" t="s">
        <v>1114</v>
      </c>
      <c r="G679" s="645" t="s">
        <v>777</v>
      </c>
      <c r="H679" s="644">
        <v>5273230299</v>
      </c>
      <c r="I679" s="644">
        <v>84322299</v>
      </c>
      <c r="J679" s="644">
        <v>6507199</v>
      </c>
      <c r="K679" s="644">
        <v>0</v>
      </c>
      <c r="L679" s="644">
        <v>77815100</v>
      </c>
      <c r="M679" s="644">
        <v>5211498000</v>
      </c>
      <c r="N679" s="644">
        <v>-22590000</v>
      </c>
      <c r="O679" s="644">
        <v>0</v>
      </c>
      <c r="P679" s="644">
        <v>5153017509</v>
      </c>
      <c r="Q679" s="644">
        <v>5153017509</v>
      </c>
      <c r="R679" s="644">
        <v>0</v>
      </c>
      <c r="S679" s="644">
        <v>120212790</v>
      </c>
      <c r="T679" s="644">
        <v>92884000</v>
      </c>
      <c r="U679" s="644">
        <v>0</v>
      </c>
      <c r="V679" s="644">
        <v>27328790</v>
      </c>
      <c r="W679" s="632">
        <v>0</v>
      </c>
      <c r="X679" s="632">
        <v>0</v>
      </c>
    </row>
    <row r="680" spans="1:24">
      <c r="A680" s="645">
        <v>662</v>
      </c>
      <c r="B680" s="643" t="s">
        <v>1290</v>
      </c>
      <c r="C680" s="645" t="s">
        <v>442</v>
      </c>
      <c r="D680" s="645" t="s">
        <v>1288</v>
      </c>
      <c r="E680" s="645" t="s">
        <v>905</v>
      </c>
      <c r="F680" s="645" t="s">
        <v>1114</v>
      </c>
      <c r="G680" s="645" t="s">
        <v>777</v>
      </c>
      <c r="H680" s="644">
        <v>1239365000</v>
      </c>
      <c r="I680" s="644">
        <v>0</v>
      </c>
      <c r="J680" s="644">
        <v>0</v>
      </c>
      <c r="K680" s="644">
        <v>0</v>
      </c>
      <c r="L680" s="644">
        <v>0</v>
      </c>
      <c r="M680" s="644">
        <v>1258222000</v>
      </c>
      <c r="N680" s="644">
        <v>-18857000</v>
      </c>
      <c r="O680" s="644">
        <v>0</v>
      </c>
      <c r="P680" s="644">
        <v>1239365000</v>
      </c>
      <c r="Q680" s="644">
        <v>1239365000</v>
      </c>
      <c r="R680" s="644">
        <v>0</v>
      </c>
      <c r="S680" s="644">
        <v>0</v>
      </c>
      <c r="T680" s="644">
        <v>0</v>
      </c>
      <c r="U680" s="644">
        <v>0</v>
      </c>
      <c r="V680" s="644">
        <v>0</v>
      </c>
      <c r="W680" s="632">
        <v>0</v>
      </c>
      <c r="X680" s="632">
        <v>300000</v>
      </c>
    </row>
    <row r="681" spans="1:24" ht="22.5">
      <c r="A681" s="645">
        <v>663</v>
      </c>
      <c r="B681" s="643" t="s">
        <v>1291</v>
      </c>
      <c r="C681" s="645" t="s">
        <v>442</v>
      </c>
      <c r="D681" s="645" t="s">
        <v>1288</v>
      </c>
      <c r="E681" s="645" t="s">
        <v>905</v>
      </c>
      <c r="F681" s="645" t="s">
        <v>1114</v>
      </c>
      <c r="G681" s="645" t="s">
        <v>777</v>
      </c>
      <c r="H681" s="644">
        <v>1066099000</v>
      </c>
      <c r="I681" s="644">
        <v>0</v>
      </c>
      <c r="J681" s="644">
        <v>0</v>
      </c>
      <c r="K681" s="644">
        <v>0</v>
      </c>
      <c r="L681" s="644">
        <v>0</v>
      </c>
      <c r="M681" s="644">
        <v>1066099000</v>
      </c>
      <c r="N681" s="644">
        <v>0</v>
      </c>
      <c r="O681" s="644">
        <v>0</v>
      </c>
      <c r="P681" s="644">
        <v>997765000</v>
      </c>
      <c r="Q681" s="644">
        <v>997765000</v>
      </c>
      <c r="R681" s="644">
        <v>0</v>
      </c>
      <c r="S681" s="644">
        <v>68334000</v>
      </c>
      <c r="T681" s="644">
        <v>44780000</v>
      </c>
      <c r="U681" s="644">
        <v>0</v>
      </c>
      <c r="V681" s="644">
        <v>23554000</v>
      </c>
      <c r="W681" s="632">
        <v>0</v>
      </c>
      <c r="X681" s="632">
        <v>381903118</v>
      </c>
    </row>
    <row r="682" spans="1:24">
      <c r="A682" s="645">
        <v>664</v>
      </c>
      <c r="B682" s="643" t="s">
        <v>1292</v>
      </c>
      <c r="C682" s="645" t="s">
        <v>442</v>
      </c>
      <c r="D682" s="645" t="s">
        <v>1288</v>
      </c>
      <c r="E682" s="645" t="s">
        <v>905</v>
      </c>
      <c r="F682" s="645" t="s">
        <v>1114</v>
      </c>
      <c r="G682" s="645" t="s">
        <v>777</v>
      </c>
      <c r="H682" s="644">
        <v>1066842000</v>
      </c>
      <c r="I682" s="644">
        <v>0</v>
      </c>
      <c r="J682" s="644">
        <v>0</v>
      </c>
      <c r="K682" s="644">
        <v>0</v>
      </c>
      <c r="L682" s="644">
        <v>0</v>
      </c>
      <c r="M682" s="644">
        <v>1091181000</v>
      </c>
      <c r="N682" s="644">
        <v>-24339000</v>
      </c>
      <c r="O682" s="644">
        <v>0</v>
      </c>
      <c r="P682" s="644">
        <v>1066842000</v>
      </c>
      <c r="Q682" s="644">
        <v>1066842000</v>
      </c>
      <c r="R682" s="644">
        <v>0</v>
      </c>
      <c r="S682" s="644">
        <v>0</v>
      </c>
      <c r="T682" s="644">
        <v>0</v>
      </c>
      <c r="U682" s="644">
        <v>0</v>
      </c>
      <c r="V682" s="644">
        <v>0</v>
      </c>
      <c r="W682" s="632">
        <v>0</v>
      </c>
      <c r="X682" s="632">
        <v>4794900</v>
      </c>
    </row>
    <row r="683" spans="1:24" ht="22.5">
      <c r="A683" s="645">
        <v>665</v>
      </c>
      <c r="B683" s="643" t="s">
        <v>1293</v>
      </c>
      <c r="C683" s="645" t="s">
        <v>442</v>
      </c>
      <c r="D683" s="645" t="s">
        <v>1288</v>
      </c>
      <c r="E683" s="645" t="s">
        <v>904</v>
      </c>
      <c r="F683" s="645" t="s">
        <v>1114</v>
      </c>
      <c r="G683" s="645" t="s">
        <v>777</v>
      </c>
      <c r="H683" s="644">
        <v>952000000</v>
      </c>
      <c r="I683" s="644">
        <v>0</v>
      </c>
      <c r="J683" s="644">
        <v>0</v>
      </c>
      <c r="K683" s="644">
        <v>0</v>
      </c>
      <c r="L683" s="644">
        <v>0</v>
      </c>
      <c r="M683" s="644">
        <v>952000000</v>
      </c>
      <c r="N683" s="644">
        <v>0</v>
      </c>
      <c r="O683" s="644">
        <v>0</v>
      </c>
      <c r="P683" s="644">
        <v>952000000</v>
      </c>
      <c r="Q683" s="644">
        <v>952000000</v>
      </c>
      <c r="R683" s="644">
        <v>0</v>
      </c>
      <c r="S683" s="644">
        <v>0</v>
      </c>
      <c r="T683" s="644">
        <v>0</v>
      </c>
      <c r="U683" s="644">
        <v>0</v>
      </c>
      <c r="V683" s="644">
        <v>0</v>
      </c>
      <c r="W683" s="632">
        <v>0</v>
      </c>
      <c r="X683" s="632">
        <v>0</v>
      </c>
    </row>
    <row r="684" spans="1:24">
      <c r="A684" s="645">
        <v>666</v>
      </c>
      <c r="B684" s="643" t="s">
        <v>1294</v>
      </c>
      <c r="C684" s="645" t="s">
        <v>442</v>
      </c>
      <c r="D684" s="645" t="s">
        <v>1295</v>
      </c>
      <c r="E684" s="645" t="s">
        <v>905</v>
      </c>
      <c r="F684" s="645" t="s">
        <v>1114</v>
      </c>
      <c r="G684" s="645" t="s">
        <v>777</v>
      </c>
      <c r="H684" s="644">
        <v>5722213004</v>
      </c>
      <c r="I684" s="644">
        <v>106475004</v>
      </c>
      <c r="J684" s="644">
        <v>106475004</v>
      </c>
      <c r="K684" s="644">
        <v>0</v>
      </c>
      <c r="L684" s="644">
        <v>0</v>
      </c>
      <c r="M684" s="644">
        <v>5642283000</v>
      </c>
      <c r="N684" s="644">
        <v>-26545000</v>
      </c>
      <c r="O684" s="644">
        <v>0</v>
      </c>
      <c r="P684" s="644">
        <v>5360476059</v>
      </c>
      <c r="Q684" s="644">
        <v>5360476059</v>
      </c>
      <c r="R684" s="644">
        <v>0</v>
      </c>
      <c r="S684" s="644">
        <v>361736945</v>
      </c>
      <c r="T684" s="644">
        <v>361736945</v>
      </c>
      <c r="U684" s="644">
        <v>0</v>
      </c>
      <c r="V684" s="644">
        <v>0</v>
      </c>
      <c r="W684" s="632">
        <v>0</v>
      </c>
      <c r="X684" s="632">
        <v>700000</v>
      </c>
    </row>
    <row r="685" spans="1:24" ht="22.5">
      <c r="A685" s="645">
        <v>667</v>
      </c>
      <c r="B685" s="643" t="s">
        <v>1296</v>
      </c>
      <c r="C685" s="645" t="s">
        <v>442</v>
      </c>
      <c r="D685" s="645" t="s">
        <v>1297</v>
      </c>
      <c r="E685" s="645" t="s">
        <v>884</v>
      </c>
      <c r="F685" s="645" t="s">
        <v>1114</v>
      </c>
      <c r="G685" s="645" t="s">
        <v>777</v>
      </c>
      <c r="H685" s="644">
        <v>8782273445</v>
      </c>
      <c r="I685" s="644">
        <v>0</v>
      </c>
      <c r="J685" s="644">
        <v>0</v>
      </c>
      <c r="K685" s="644">
        <v>0</v>
      </c>
      <c r="L685" s="644">
        <v>0</v>
      </c>
      <c r="M685" s="644">
        <v>8840000000</v>
      </c>
      <c r="N685" s="644">
        <v>-57726555</v>
      </c>
      <c r="O685" s="644">
        <v>0</v>
      </c>
      <c r="P685" s="644">
        <v>8782273445</v>
      </c>
      <c r="Q685" s="644">
        <v>8782273445</v>
      </c>
      <c r="R685" s="644">
        <v>0</v>
      </c>
      <c r="S685" s="644">
        <v>0</v>
      </c>
      <c r="T685" s="644">
        <v>0</v>
      </c>
      <c r="U685" s="644">
        <v>0</v>
      </c>
      <c r="V685" s="644">
        <v>0</v>
      </c>
      <c r="W685" s="632">
        <v>0</v>
      </c>
      <c r="X685" s="632">
        <v>38417850</v>
      </c>
    </row>
    <row r="686" spans="1:24" ht="22.5">
      <c r="A686" s="645">
        <v>668</v>
      </c>
      <c r="B686" s="643" t="s">
        <v>1298</v>
      </c>
      <c r="C686" s="645" t="s">
        <v>442</v>
      </c>
      <c r="D686" s="645" t="s">
        <v>1299</v>
      </c>
      <c r="E686" s="645" t="s">
        <v>907</v>
      </c>
      <c r="F686" s="645" t="s">
        <v>1114</v>
      </c>
      <c r="G686" s="645" t="s">
        <v>777</v>
      </c>
      <c r="H686" s="644">
        <v>1579000000</v>
      </c>
      <c r="I686" s="644">
        <v>0</v>
      </c>
      <c r="J686" s="644">
        <v>0</v>
      </c>
      <c r="K686" s="644">
        <v>0</v>
      </c>
      <c r="L686" s="644">
        <v>0</v>
      </c>
      <c r="M686" s="644">
        <v>1579000000</v>
      </c>
      <c r="N686" s="644">
        <v>0</v>
      </c>
      <c r="O686" s="644">
        <v>0</v>
      </c>
      <c r="P686" s="644">
        <v>1579000000</v>
      </c>
      <c r="Q686" s="644">
        <v>1579000000</v>
      </c>
      <c r="R686" s="644">
        <v>0</v>
      </c>
      <c r="S686" s="644">
        <v>0</v>
      </c>
      <c r="T686" s="644">
        <v>0</v>
      </c>
      <c r="U686" s="644">
        <v>0</v>
      </c>
      <c r="V686" s="644">
        <v>0</v>
      </c>
      <c r="W686" s="632">
        <v>0</v>
      </c>
      <c r="X686" s="632">
        <v>0</v>
      </c>
    </row>
    <row r="687" spans="1:24" ht="22.5">
      <c r="A687" s="645">
        <v>669</v>
      </c>
      <c r="B687" s="643" t="s">
        <v>1360</v>
      </c>
      <c r="C687" s="645" t="s">
        <v>442</v>
      </c>
      <c r="D687" s="645" t="s">
        <v>1299</v>
      </c>
      <c r="E687" s="645" t="s">
        <v>904</v>
      </c>
      <c r="F687" s="645" t="s">
        <v>1114</v>
      </c>
      <c r="G687" s="645" t="s">
        <v>777</v>
      </c>
      <c r="H687" s="644">
        <v>489613202</v>
      </c>
      <c r="I687" s="644">
        <v>164586202</v>
      </c>
      <c r="J687" s="644">
        <v>164586202</v>
      </c>
      <c r="K687" s="644">
        <v>0</v>
      </c>
      <c r="L687" s="644">
        <v>0</v>
      </c>
      <c r="M687" s="644">
        <v>346000000</v>
      </c>
      <c r="N687" s="644">
        <v>-20973000</v>
      </c>
      <c r="O687" s="644">
        <v>0</v>
      </c>
      <c r="P687" s="644">
        <v>283130792</v>
      </c>
      <c r="Q687" s="644">
        <v>283130792</v>
      </c>
      <c r="R687" s="644">
        <v>0</v>
      </c>
      <c r="S687" s="644">
        <v>206482410</v>
      </c>
      <c r="T687" s="644">
        <v>206482410</v>
      </c>
      <c r="U687" s="644">
        <v>0</v>
      </c>
      <c r="V687" s="644">
        <v>0</v>
      </c>
      <c r="W687" s="632">
        <v>0</v>
      </c>
      <c r="X687" s="632">
        <v>0</v>
      </c>
    </row>
    <row r="688" spans="1:24">
      <c r="A688" s="645">
        <v>670</v>
      </c>
      <c r="B688" s="643" t="s">
        <v>1301</v>
      </c>
      <c r="C688" s="645" t="s">
        <v>442</v>
      </c>
      <c r="D688" s="645" t="s">
        <v>1302</v>
      </c>
      <c r="E688" s="645" t="s">
        <v>905</v>
      </c>
      <c r="F688" s="645" t="s">
        <v>1114</v>
      </c>
      <c r="G688" s="645" t="s">
        <v>777</v>
      </c>
      <c r="H688" s="644">
        <v>2842049525</v>
      </c>
      <c r="I688" s="644">
        <v>4512525</v>
      </c>
      <c r="J688" s="644">
        <v>4512188</v>
      </c>
      <c r="K688" s="644">
        <v>0</v>
      </c>
      <c r="L688" s="644">
        <v>337</v>
      </c>
      <c r="M688" s="644">
        <v>2837537000</v>
      </c>
      <c r="N688" s="644">
        <v>0</v>
      </c>
      <c r="O688" s="644">
        <v>0</v>
      </c>
      <c r="P688" s="644">
        <v>2831491343</v>
      </c>
      <c r="Q688" s="644">
        <v>2831491343</v>
      </c>
      <c r="R688" s="644">
        <v>0</v>
      </c>
      <c r="S688" s="644">
        <v>10558182</v>
      </c>
      <c r="T688" s="644">
        <v>10557845</v>
      </c>
      <c r="U688" s="644">
        <v>0</v>
      </c>
      <c r="V688" s="644">
        <v>337</v>
      </c>
      <c r="W688" s="632">
        <v>0</v>
      </c>
      <c r="X688" s="632">
        <v>0</v>
      </c>
    </row>
    <row r="689" spans="1:24" ht="22.5">
      <c r="A689" s="645">
        <v>671</v>
      </c>
      <c r="B689" s="643" t="s">
        <v>1304</v>
      </c>
      <c r="C689" s="645" t="s">
        <v>442</v>
      </c>
      <c r="D689" s="645" t="s">
        <v>1305</v>
      </c>
      <c r="E689" s="645" t="s">
        <v>905</v>
      </c>
      <c r="F689" s="645" t="s">
        <v>1114</v>
      </c>
      <c r="G689" s="645" t="s">
        <v>777</v>
      </c>
      <c r="H689" s="644">
        <v>2723949476</v>
      </c>
      <c r="I689" s="644">
        <v>17975476</v>
      </c>
      <c r="J689" s="644">
        <v>17975476</v>
      </c>
      <c r="K689" s="644">
        <v>0</v>
      </c>
      <c r="L689" s="644">
        <v>0</v>
      </c>
      <c r="M689" s="644">
        <v>2705974000</v>
      </c>
      <c r="N689" s="644">
        <v>0</v>
      </c>
      <c r="O689" s="644">
        <v>0</v>
      </c>
      <c r="P689" s="644">
        <v>2683314419</v>
      </c>
      <c r="Q689" s="644">
        <v>2683314419</v>
      </c>
      <c r="R689" s="644">
        <v>0</v>
      </c>
      <c r="S689" s="644">
        <v>40635057</v>
      </c>
      <c r="T689" s="644">
        <v>40635057</v>
      </c>
      <c r="U689" s="644">
        <v>0</v>
      </c>
      <c r="V689" s="644">
        <v>0</v>
      </c>
      <c r="W689" s="632">
        <v>0</v>
      </c>
      <c r="X689" s="632">
        <v>0</v>
      </c>
    </row>
    <row r="690" spans="1:24" ht="22.5">
      <c r="A690" s="645">
        <v>672</v>
      </c>
      <c r="B690" s="643" t="s">
        <v>1304</v>
      </c>
      <c r="C690" s="645" t="s">
        <v>442</v>
      </c>
      <c r="D690" s="645" t="s">
        <v>1305</v>
      </c>
      <c r="E690" s="645" t="s">
        <v>1116</v>
      </c>
      <c r="F690" s="645" t="s">
        <v>1114</v>
      </c>
      <c r="G690" s="645" t="s">
        <v>777</v>
      </c>
      <c r="H690" s="644">
        <v>90591000</v>
      </c>
      <c r="I690" s="644">
        <v>0</v>
      </c>
      <c r="J690" s="644">
        <v>0</v>
      </c>
      <c r="K690" s="644">
        <v>0</v>
      </c>
      <c r="L690" s="644">
        <v>0</v>
      </c>
      <c r="M690" s="644">
        <v>0</v>
      </c>
      <c r="N690" s="644">
        <v>90591000</v>
      </c>
      <c r="O690" s="644">
        <v>0</v>
      </c>
      <c r="P690" s="644">
        <v>90591000</v>
      </c>
      <c r="Q690" s="644">
        <v>90591000</v>
      </c>
      <c r="R690" s="644">
        <v>0</v>
      </c>
      <c r="S690" s="644">
        <v>0</v>
      </c>
      <c r="T690" s="644">
        <v>0</v>
      </c>
      <c r="U690" s="644">
        <v>0</v>
      </c>
      <c r="V690" s="644">
        <v>0</v>
      </c>
      <c r="W690" s="632">
        <v>0</v>
      </c>
      <c r="X690" s="632">
        <v>0</v>
      </c>
    </row>
    <row r="691" spans="1:24" ht="22.5">
      <c r="A691" s="645">
        <v>673</v>
      </c>
      <c r="B691" s="643" t="s">
        <v>1361</v>
      </c>
      <c r="C691" s="645" t="s">
        <v>442</v>
      </c>
      <c r="D691" s="645" t="s">
        <v>1305</v>
      </c>
      <c r="E691" s="645" t="s">
        <v>898</v>
      </c>
      <c r="F691" s="645" t="s">
        <v>1114</v>
      </c>
      <c r="G691" s="645" t="s">
        <v>777</v>
      </c>
      <c r="H691" s="644">
        <v>955498</v>
      </c>
      <c r="I691" s="644">
        <v>955498</v>
      </c>
      <c r="J691" s="644">
        <v>955498</v>
      </c>
      <c r="K691" s="644">
        <v>0</v>
      </c>
      <c r="L691" s="644">
        <v>0</v>
      </c>
      <c r="M691" s="644">
        <v>0</v>
      </c>
      <c r="N691" s="644">
        <v>0</v>
      </c>
      <c r="O691" s="644">
        <v>0</v>
      </c>
      <c r="P691" s="644">
        <v>0</v>
      </c>
      <c r="Q691" s="644">
        <v>0</v>
      </c>
      <c r="R691" s="644">
        <v>0</v>
      </c>
      <c r="S691" s="644">
        <v>955498</v>
      </c>
      <c r="T691" s="644">
        <v>955498</v>
      </c>
      <c r="U691" s="644">
        <v>0</v>
      </c>
      <c r="V691" s="644">
        <v>0</v>
      </c>
      <c r="W691" s="632">
        <v>0</v>
      </c>
      <c r="X691" s="632">
        <v>0</v>
      </c>
    </row>
    <row r="692" spans="1:24" ht="22.5">
      <c r="A692" s="645">
        <v>674</v>
      </c>
      <c r="B692" s="643" t="s">
        <v>1361</v>
      </c>
      <c r="C692" s="645" t="s">
        <v>442</v>
      </c>
      <c r="D692" s="645" t="s">
        <v>1305</v>
      </c>
      <c r="E692" s="645" t="s">
        <v>903</v>
      </c>
      <c r="F692" s="645" t="s">
        <v>1114</v>
      </c>
      <c r="G692" s="645" t="s">
        <v>777</v>
      </c>
      <c r="H692" s="644">
        <v>1207000000</v>
      </c>
      <c r="I692" s="644">
        <v>0</v>
      </c>
      <c r="J692" s="644">
        <v>0</v>
      </c>
      <c r="K692" s="644">
        <v>0</v>
      </c>
      <c r="L692" s="644">
        <v>0</v>
      </c>
      <c r="M692" s="644">
        <v>1207000000</v>
      </c>
      <c r="N692" s="644">
        <v>0</v>
      </c>
      <c r="O692" s="644">
        <v>0</v>
      </c>
      <c r="P692" s="644">
        <v>1200847865</v>
      </c>
      <c r="Q692" s="644">
        <v>1200847865</v>
      </c>
      <c r="R692" s="644">
        <v>0</v>
      </c>
      <c r="S692" s="644">
        <v>6152135</v>
      </c>
      <c r="T692" s="644">
        <v>6152135</v>
      </c>
      <c r="U692" s="644">
        <v>0</v>
      </c>
      <c r="V692" s="644">
        <v>0</v>
      </c>
      <c r="W692" s="632">
        <v>0</v>
      </c>
      <c r="X692" s="632">
        <v>12208900</v>
      </c>
    </row>
    <row r="693" spans="1:24" ht="22.5">
      <c r="A693" s="645">
        <v>675</v>
      </c>
      <c r="B693" s="643" t="s">
        <v>1306</v>
      </c>
      <c r="C693" s="645" t="s">
        <v>442</v>
      </c>
      <c r="D693" s="645" t="s">
        <v>1307</v>
      </c>
      <c r="E693" s="645" t="s">
        <v>906</v>
      </c>
      <c r="F693" s="645" t="s">
        <v>1114</v>
      </c>
      <c r="G693" s="645" t="s">
        <v>777</v>
      </c>
      <c r="H693" s="644">
        <v>3268898316</v>
      </c>
      <c r="I693" s="644">
        <v>254316</v>
      </c>
      <c r="J693" s="644">
        <v>254316</v>
      </c>
      <c r="K693" s="644">
        <v>0</v>
      </c>
      <c r="L693" s="644">
        <v>0</v>
      </c>
      <c r="M693" s="644">
        <v>3096000000</v>
      </c>
      <c r="N693" s="644">
        <v>172644000</v>
      </c>
      <c r="O693" s="644">
        <v>0</v>
      </c>
      <c r="P693" s="644">
        <v>3266314793</v>
      </c>
      <c r="Q693" s="644">
        <v>3266314793</v>
      </c>
      <c r="R693" s="644">
        <v>0</v>
      </c>
      <c r="S693" s="644">
        <v>2583523</v>
      </c>
      <c r="T693" s="644">
        <v>2583523</v>
      </c>
      <c r="U693" s="644">
        <v>0</v>
      </c>
      <c r="V693" s="644">
        <v>0</v>
      </c>
      <c r="W693" s="632">
        <v>0</v>
      </c>
      <c r="X693" s="632">
        <v>123100</v>
      </c>
    </row>
    <row r="694" spans="1:24">
      <c r="A694" s="645">
        <v>676</v>
      </c>
      <c r="B694" s="643" t="s">
        <v>1308</v>
      </c>
      <c r="C694" s="645" t="s">
        <v>442</v>
      </c>
      <c r="D694" s="645" t="s">
        <v>1309</v>
      </c>
      <c r="E694" s="645" t="s">
        <v>700</v>
      </c>
      <c r="F694" s="645" t="s">
        <v>1114</v>
      </c>
      <c r="G694" s="645" t="s">
        <v>777</v>
      </c>
      <c r="H694" s="644">
        <v>534500000</v>
      </c>
      <c r="I694" s="644">
        <v>0</v>
      </c>
      <c r="J694" s="644">
        <v>0</v>
      </c>
      <c r="K694" s="644">
        <v>0</v>
      </c>
      <c r="L694" s="644">
        <v>0</v>
      </c>
      <c r="M694" s="644">
        <v>582000000</v>
      </c>
      <c r="N694" s="644">
        <v>-47500000</v>
      </c>
      <c r="O694" s="644">
        <v>0</v>
      </c>
      <c r="P694" s="644">
        <v>519316000</v>
      </c>
      <c r="Q694" s="644">
        <v>519316000</v>
      </c>
      <c r="R694" s="644">
        <v>0</v>
      </c>
      <c r="S694" s="644">
        <v>15184000</v>
      </c>
      <c r="T694" s="644">
        <v>15184000</v>
      </c>
      <c r="U694" s="644">
        <v>0</v>
      </c>
      <c r="V694" s="644">
        <v>0</v>
      </c>
      <c r="W694" s="632">
        <v>0</v>
      </c>
      <c r="X694" s="632">
        <v>0</v>
      </c>
    </row>
    <row r="695" spans="1:24">
      <c r="A695" s="645">
        <v>677</v>
      </c>
      <c r="B695" s="643" t="s">
        <v>1310</v>
      </c>
      <c r="C695" s="645" t="s">
        <v>442</v>
      </c>
      <c r="D695" s="645" t="s">
        <v>1309</v>
      </c>
      <c r="E695" s="645" t="s">
        <v>906</v>
      </c>
      <c r="F695" s="645" t="s">
        <v>1114</v>
      </c>
      <c r="G695" s="645" t="s">
        <v>777</v>
      </c>
      <c r="H695" s="644">
        <v>4208410000</v>
      </c>
      <c r="I695" s="644">
        <v>0</v>
      </c>
      <c r="J695" s="644">
        <v>0</v>
      </c>
      <c r="K695" s="644">
        <v>0</v>
      </c>
      <c r="L695" s="644">
        <v>0</v>
      </c>
      <c r="M695" s="644">
        <v>4345000000</v>
      </c>
      <c r="N695" s="644">
        <v>-136590000</v>
      </c>
      <c r="O695" s="644">
        <v>0</v>
      </c>
      <c r="P695" s="644">
        <v>4208410000</v>
      </c>
      <c r="Q695" s="644">
        <v>4208410000</v>
      </c>
      <c r="R695" s="644">
        <v>0</v>
      </c>
      <c r="S695" s="644">
        <v>0</v>
      </c>
      <c r="T695" s="644">
        <v>0</v>
      </c>
      <c r="U695" s="644">
        <v>0</v>
      </c>
      <c r="V695" s="644">
        <v>0</v>
      </c>
      <c r="W695" s="632">
        <v>0</v>
      </c>
      <c r="X695" s="632">
        <v>0</v>
      </c>
    </row>
    <row r="696" spans="1:24" ht="22.5">
      <c r="A696" s="645">
        <v>678</v>
      </c>
      <c r="B696" s="643" t="s">
        <v>1311</v>
      </c>
      <c r="C696" s="645" t="s">
        <v>442</v>
      </c>
      <c r="D696" s="645" t="s">
        <v>1312</v>
      </c>
      <c r="E696" s="645" t="s">
        <v>906</v>
      </c>
      <c r="F696" s="645" t="s">
        <v>1114</v>
      </c>
      <c r="G696" s="645" t="s">
        <v>777</v>
      </c>
      <c r="H696" s="644">
        <v>3496244030</v>
      </c>
      <c r="I696" s="644">
        <v>30</v>
      </c>
      <c r="J696" s="644">
        <v>30</v>
      </c>
      <c r="K696" s="644">
        <v>0</v>
      </c>
      <c r="L696" s="644">
        <v>0</v>
      </c>
      <c r="M696" s="644">
        <v>3632143000</v>
      </c>
      <c r="N696" s="644">
        <v>-135899000</v>
      </c>
      <c r="O696" s="644">
        <v>0</v>
      </c>
      <c r="P696" s="644">
        <v>3451242778</v>
      </c>
      <c r="Q696" s="644">
        <v>3451242778</v>
      </c>
      <c r="R696" s="644">
        <v>0</v>
      </c>
      <c r="S696" s="644">
        <v>45001252</v>
      </c>
      <c r="T696" s="644">
        <v>45001252</v>
      </c>
      <c r="U696" s="644">
        <v>0</v>
      </c>
      <c r="V696" s="644">
        <v>0</v>
      </c>
      <c r="W696" s="632">
        <v>0</v>
      </c>
      <c r="X696" s="632">
        <v>0</v>
      </c>
    </row>
    <row r="697" spans="1:24">
      <c r="A697" s="645">
        <v>679</v>
      </c>
      <c r="B697" s="643" t="s">
        <v>1314</v>
      </c>
      <c r="C697" s="645" t="s">
        <v>442</v>
      </c>
      <c r="D697" s="645" t="s">
        <v>1315</v>
      </c>
      <c r="E697" s="645" t="s">
        <v>906</v>
      </c>
      <c r="F697" s="645" t="s">
        <v>1114</v>
      </c>
      <c r="G697" s="645" t="s">
        <v>777</v>
      </c>
      <c r="H697" s="644">
        <v>3472686000</v>
      </c>
      <c r="I697" s="644">
        <v>69800000</v>
      </c>
      <c r="J697" s="644">
        <v>0</v>
      </c>
      <c r="K697" s="644">
        <v>0</v>
      </c>
      <c r="L697" s="644">
        <v>69800000</v>
      </c>
      <c r="M697" s="644">
        <v>3500000000</v>
      </c>
      <c r="N697" s="644">
        <v>-97114000</v>
      </c>
      <c r="O697" s="644">
        <v>0</v>
      </c>
      <c r="P697" s="644">
        <v>3472686000</v>
      </c>
      <c r="Q697" s="644">
        <v>3472686000</v>
      </c>
      <c r="R697" s="644">
        <v>0</v>
      </c>
      <c r="S697" s="644">
        <v>0</v>
      </c>
      <c r="T697" s="644">
        <v>0</v>
      </c>
      <c r="U697" s="644">
        <v>0</v>
      </c>
      <c r="V697" s="644">
        <v>0</v>
      </c>
      <c r="W697" s="632">
        <v>0</v>
      </c>
      <c r="X697" s="632">
        <v>0</v>
      </c>
    </row>
    <row r="698" spans="1:24">
      <c r="A698" s="645">
        <v>680</v>
      </c>
      <c r="B698" s="643" t="s">
        <v>1317</v>
      </c>
      <c r="C698" s="645" t="s">
        <v>442</v>
      </c>
      <c r="D698" s="645" t="s">
        <v>1318</v>
      </c>
      <c r="E698" s="645" t="s">
        <v>906</v>
      </c>
      <c r="F698" s="645" t="s">
        <v>1114</v>
      </c>
      <c r="G698" s="645" t="s">
        <v>777</v>
      </c>
      <c r="H698" s="644">
        <v>1897889000</v>
      </c>
      <c r="I698" s="644">
        <v>0</v>
      </c>
      <c r="J698" s="644">
        <v>0</v>
      </c>
      <c r="K698" s="644">
        <v>0</v>
      </c>
      <c r="L698" s="644">
        <v>0</v>
      </c>
      <c r="M698" s="644">
        <v>1897889000</v>
      </c>
      <c r="N698" s="644">
        <v>0</v>
      </c>
      <c r="O698" s="644">
        <v>0</v>
      </c>
      <c r="P698" s="644">
        <v>1870420376</v>
      </c>
      <c r="Q698" s="644">
        <v>1870420376</v>
      </c>
      <c r="R698" s="644">
        <v>0</v>
      </c>
      <c r="S698" s="644">
        <v>27468624</v>
      </c>
      <c r="T698" s="644">
        <v>27468624</v>
      </c>
      <c r="U698" s="644">
        <v>0</v>
      </c>
      <c r="V698" s="644">
        <v>0</v>
      </c>
      <c r="W698" s="632">
        <v>0</v>
      </c>
      <c r="X698" s="632">
        <v>2964000</v>
      </c>
    </row>
    <row r="699" spans="1:24" ht="22.5">
      <c r="A699" s="645">
        <v>681</v>
      </c>
      <c r="B699" s="643" t="s">
        <v>1319</v>
      </c>
      <c r="C699" s="645" t="s">
        <v>442</v>
      </c>
      <c r="D699" s="645" t="s">
        <v>1320</v>
      </c>
      <c r="E699" s="645" t="s">
        <v>907</v>
      </c>
      <c r="F699" s="645" t="s">
        <v>1114</v>
      </c>
      <c r="G699" s="645" t="s">
        <v>777</v>
      </c>
      <c r="H699" s="644">
        <v>949000000</v>
      </c>
      <c r="I699" s="644">
        <v>0</v>
      </c>
      <c r="J699" s="644">
        <v>0</v>
      </c>
      <c r="K699" s="644">
        <v>0</v>
      </c>
      <c r="L699" s="644">
        <v>0</v>
      </c>
      <c r="M699" s="644">
        <v>949000000</v>
      </c>
      <c r="N699" s="644">
        <v>0</v>
      </c>
      <c r="O699" s="644">
        <v>0</v>
      </c>
      <c r="P699" s="644">
        <v>949000000</v>
      </c>
      <c r="Q699" s="644">
        <v>949000000</v>
      </c>
      <c r="R699" s="644">
        <v>0</v>
      </c>
      <c r="S699" s="644">
        <v>0</v>
      </c>
      <c r="T699" s="644">
        <v>0</v>
      </c>
      <c r="U699" s="644">
        <v>0</v>
      </c>
      <c r="V699" s="644">
        <v>0</v>
      </c>
      <c r="W699" s="632">
        <v>0</v>
      </c>
      <c r="X699" s="632">
        <v>1057059363</v>
      </c>
    </row>
    <row r="700" spans="1:24" ht="22.5">
      <c r="A700" s="645">
        <v>682</v>
      </c>
      <c r="B700" s="643" t="s">
        <v>1321</v>
      </c>
      <c r="C700" s="645" t="s">
        <v>442</v>
      </c>
      <c r="D700" s="645" t="s">
        <v>1322</v>
      </c>
      <c r="E700" s="645" t="s">
        <v>907</v>
      </c>
      <c r="F700" s="645" t="s">
        <v>1114</v>
      </c>
      <c r="G700" s="645" t="s">
        <v>777</v>
      </c>
      <c r="H700" s="644">
        <v>1573142000</v>
      </c>
      <c r="I700" s="644">
        <v>0</v>
      </c>
      <c r="J700" s="644">
        <v>0</v>
      </c>
      <c r="K700" s="644">
        <v>0</v>
      </c>
      <c r="L700" s="644">
        <v>0</v>
      </c>
      <c r="M700" s="644">
        <v>1590000000</v>
      </c>
      <c r="N700" s="644">
        <v>-16858000</v>
      </c>
      <c r="O700" s="644">
        <v>0</v>
      </c>
      <c r="P700" s="644">
        <v>1573142000</v>
      </c>
      <c r="Q700" s="644">
        <v>1573142000</v>
      </c>
      <c r="R700" s="644">
        <v>0</v>
      </c>
      <c r="S700" s="644">
        <v>0</v>
      </c>
      <c r="T700" s="644">
        <v>0</v>
      </c>
      <c r="U700" s="644">
        <v>0</v>
      </c>
      <c r="V700" s="644">
        <v>0</v>
      </c>
      <c r="W700" s="632">
        <v>0</v>
      </c>
      <c r="X700" s="632">
        <v>76437000</v>
      </c>
    </row>
    <row r="701" spans="1:24" ht="22.5">
      <c r="A701" s="645">
        <v>683</v>
      </c>
      <c r="B701" s="643" t="s">
        <v>1323</v>
      </c>
      <c r="C701" s="645" t="s">
        <v>442</v>
      </c>
      <c r="D701" s="645" t="s">
        <v>1324</v>
      </c>
      <c r="E701" s="645" t="s">
        <v>907</v>
      </c>
      <c r="F701" s="645" t="s">
        <v>1114</v>
      </c>
      <c r="G701" s="645" t="s">
        <v>777</v>
      </c>
      <c r="H701" s="644">
        <v>1707472000</v>
      </c>
      <c r="I701" s="644">
        <v>0</v>
      </c>
      <c r="J701" s="644">
        <v>0</v>
      </c>
      <c r="K701" s="644">
        <v>0</v>
      </c>
      <c r="L701" s="644">
        <v>0</v>
      </c>
      <c r="M701" s="644">
        <v>1707472000</v>
      </c>
      <c r="N701" s="644">
        <v>0</v>
      </c>
      <c r="O701" s="644">
        <v>0</v>
      </c>
      <c r="P701" s="644">
        <v>1707472000</v>
      </c>
      <c r="Q701" s="644">
        <v>1707472000</v>
      </c>
      <c r="R701" s="644">
        <v>0</v>
      </c>
      <c r="S701" s="644">
        <v>0</v>
      </c>
      <c r="T701" s="644">
        <v>0</v>
      </c>
      <c r="U701" s="644">
        <v>0</v>
      </c>
      <c r="V701" s="644">
        <v>0</v>
      </c>
      <c r="W701" s="632">
        <v>0</v>
      </c>
      <c r="X701" s="632">
        <v>47698000</v>
      </c>
    </row>
    <row r="702" spans="1:24" ht="22.5">
      <c r="A702" s="645">
        <v>684</v>
      </c>
      <c r="B702" s="643" t="s">
        <v>1325</v>
      </c>
      <c r="C702" s="645" t="s">
        <v>442</v>
      </c>
      <c r="D702" s="645" t="s">
        <v>1326</v>
      </c>
      <c r="E702" s="645" t="s">
        <v>907</v>
      </c>
      <c r="F702" s="645" t="s">
        <v>1114</v>
      </c>
      <c r="G702" s="645" t="s">
        <v>777</v>
      </c>
      <c r="H702" s="644">
        <v>989017758</v>
      </c>
      <c r="I702" s="644">
        <v>36875758</v>
      </c>
      <c r="J702" s="644">
        <v>36663758</v>
      </c>
      <c r="K702" s="644">
        <v>0</v>
      </c>
      <c r="L702" s="644">
        <v>212000</v>
      </c>
      <c r="M702" s="644">
        <v>952142000</v>
      </c>
      <c r="N702" s="644">
        <v>0</v>
      </c>
      <c r="O702" s="644">
        <v>0</v>
      </c>
      <c r="P702" s="644">
        <v>969783915</v>
      </c>
      <c r="Q702" s="644">
        <v>969783915</v>
      </c>
      <c r="R702" s="644">
        <v>0</v>
      </c>
      <c r="S702" s="644">
        <v>19233843</v>
      </c>
      <c r="T702" s="644">
        <v>19233843</v>
      </c>
      <c r="U702" s="644">
        <v>0</v>
      </c>
      <c r="V702" s="644">
        <v>0</v>
      </c>
      <c r="W702" s="632">
        <v>0</v>
      </c>
      <c r="X702" s="632">
        <v>0</v>
      </c>
    </row>
    <row r="703" spans="1:24">
      <c r="A703" s="645">
        <v>685</v>
      </c>
      <c r="B703" s="643" t="s">
        <v>1327</v>
      </c>
      <c r="C703" s="645" t="s">
        <v>442</v>
      </c>
      <c r="D703" s="645" t="s">
        <v>1328</v>
      </c>
      <c r="E703" s="645" t="s">
        <v>907</v>
      </c>
      <c r="F703" s="645" t="s">
        <v>1114</v>
      </c>
      <c r="G703" s="645" t="s">
        <v>777</v>
      </c>
      <c r="H703" s="644">
        <v>220000000</v>
      </c>
      <c r="I703" s="644">
        <v>0</v>
      </c>
      <c r="J703" s="644">
        <v>0</v>
      </c>
      <c r="K703" s="644">
        <v>0</v>
      </c>
      <c r="L703" s="644">
        <v>0</v>
      </c>
      <c r="M703" s="644">
        <v>220000000</v>
      </c>
      <c r="N703" s="644">
        <v>0</v>
      </c>
      <c r="O703" s="644">
        <v>0</v>
      </c>
      <c r="P703" s="644">
        <v>219991440</v>
      </c>
      <c r="Q703" s="644">
        <v>219991440</v>
      </c>
      <c r="R703" s="644">
        <v>0</v>
      </c>
      <c r="S703" s="644">
        <v>8560</v>
      </c>
      <c r="T703" s="644">
        <v>8560</v>
      </c>
      <c r="U703" s="644">
        <v>0</v>
      </c>
      <c r="V703" s="644">
        <v>0</v>
      </c>
      <c r="W703" s="632">
        <v>0</v>
      </c>
      <c r="X703" s="632">
        <v>10200000</v>
      </c>
    </row>
    <row r="704" spans="1:24">
      <c r="A704" s="645">
        <v>686</v>
      </c>
      <c r="B704" s="643" t="s">
        <v>1329</v>
      </c>
      <c r="C704" s="645" t="s">
        <v>442</v>
      </c>
      <c r="D704" s="645" t="s">
        <v>1330</v>
      </c>
      <c r="E704" s="645" t="s">
        <v>907</v>
      </c>
      <c r="F704" s="645" t="s">
        <v>1114</v>
      </c>
      <c r="G704" s="645" t="s">
        <v>777</v>
      </c>
      <c r="H704" s="644">
        <v>1194408000</v>
      </c>
      <c r="I704" s="644">
        <v>0</v>
      </c>
      <c r="J704" s="644">
        <v>0</v>
      </c>
      <c r="K704" s="644">
        <v>0</v>
      </c>
      <c r="L704" s="644">
        <v>0</v>
      </c>
      <c r="M704" s="644">
        <v>1194408000</v>
      </c>
      <c r="N704" s="644">
        <v>0</v>
      </c>
      <c r="O704" s="644">
        <v>0</v>
      </c>
      <c r="P704" s="644">
        <v>1193147731</v>
      </c>
      <c r="Q704" s="644">
        <v>1193147731</v>
      </c>
      <c r="R704" s="644">
        <v>0</v>
      </c>
      <c r="S704" s="644">
        <v>1260269</v>
      </c>
      <c r="T704" s="644">
        <v>1260269</v>
      </c>
      <c r="U704" s="644">
        <v>0</v>
      </c>
      <c r="V704" s="644">
        <v>0</v>
      </c>
      <c r="W704" s="632">
        <v>0</v>
      </c>
      <c r="X704" s="632">
        <v>67660000</v>
      </c>
    </row>
    <row r="705" spans="1:24" ht="22.5">
      <c r="A705" s="645">
        <v>687</v>
      </c>
      <c r="B705" s="643" t="s">
        <v>1331</v>
      </c>
      <c r="C705" s="645" t="s">
        <v>442</v>
      </c>
      <c r="D705" s="645" t="s">
        <v>1332</v>
      </c>
      <c r="E705" s="645" t="s">
        <v>907</v>
      </c>
      <c r="F705" s="645" t="s">
        <v>1114</v>
      </c>
      <c r="G705" s="645" t="s">
        <v>777</v>
      </c>
      <c r="H705" s="644">
        <v>223049799</v>
      </c>
      <c r="I705" s="644">
        <v>3049799</v>
      </c>
      <c r="J705" s="644">
        <v>522899</v>
      </c>
      <c r="K705" s="644">
        <v>0</v>
      </c>
      <c r="L705" s="644">
        <v>2526900</v>
      </c>
      <c r="M705" s="644">
        <v>220000000</v>
      </c>
      <c r="N705" s="644">
        <v>0</v>
      </c>
      <c r="O705" s="644">
        <v>0</v>
      </c>
      <c r="P705" s="644">
        <v>221151531</v>
      </c>
      <c r="Q705" s="644">
        <v>221151531</v>
      </c>
      <c r="R705" s="644">
        <v>0</v>
      </c>
      <c r="S705" s="644">
        <v>1898268</v>
      </c>
      <c r="T705" s="644">
        <v>634368</v>
      </c>
      <c r="U705" s="644">
        <v>0</v>
      </c>
      <c r="V705" s="644">
        <v>1263900</v>
      </c>
      <c r="W705" s="632">
        <v>0</v>
      </c>
      <c r="X705" s="632">
        <v>0</v>
      </c>
    </row>
    <row r="706" spans="1:24">
      <c r="A706" s="645">
        <v>688</v>
      </c>
      <c r="B706" s="643" t="s">
        <v>1362</v>
      </c>
      <c r="C706" s="645" t="s">
        <v>442</v>
      </c>
      <c r="D706" s="645" t="s">
        <v>1363</v>
      </c>
      <c r="E706" s="645" t="s">
        <v>907</v>
      </c>
      <c r="F706" s="645" t="s">
        <v>1114</v>
      </c>
      <c r="G706" s="645" t="s">
        <v>777</v>
      </c>
      <c r="H706" s="644">
        <v>231393000</v>
      </c>
      <c r="I706" s="644">
        <v>11393000</v>
      </c>
      <c r="J706" s="644">
        <v>11393000</v>
      </c>
      <c r="K706" s="644">
        <v>0</v>
      </c>
      <c r="L706" s="644">
        <v>0</v>
      </c>
      <c r="M706" s="644">
        <v>220000000</v>
      </c>
      <c r="N706" s="644">
        <v>0</v>
      </c>
      <c r="O706" s="644">
        <v>0</v>
      </c>
      <c r="P706" s="644">
        <v>224110000</v>
      </c>
      <c r="Q706" s="644">
        <v>224110000</v>
      </c>
      <c r="R706" s="644">
        <v>0</v>
      </c>
      <c r="S706" s="644">
        <v>7283000</v>
      </c>
      <c r="T706" s="644">
        <v>7283000</v>
      </c>
      <c r="U706" s="644">
        <v>0</v>
      </c>
      <c r="V706" s="644">
        <v>0</v>
      </c>
      <c r="W706" s="632">
        <v>0</v>
      </c>
      <c r="X706" s="632">
        <v>0</v>
      </c>
    </row>
    <row r="707" spans="1:24">
      <c r="A707" s="645">
        <v>689</v>
      </c>
      <c r="B707" s="643" t="s">
        <v>1333</v>
      </c>
      <c r="C707" s="645" t="s">
        <v>442</v>
      </c>
      <c r="D707" s="645" t="s">
        <v>1334</v>
      </c>
      <c r="E707" s="645" t="s">
        <v>907</v>
      </c>
      <c r="F707" s="645" t="s">
        <v>1114</v>
      </c>
      <c r="G707" s="645" t="s">
        <v>777</v>
      </c>
      <c r="H707" s="644">
        <v>1008000000</v>
      </c>
      <c r="I707" s="644">
        <v>0</v>
      </c>
      <c r="J707" s="644">
        <v>0</v>
      </c>
      <c r="K707" s="644">
        <v>0</v>
      </c>
      <c r="L707" s="644">
        <v>0</v>
      </c>
      <c r="M707" s="644">
        <v>952000000</v>
      </c>
      <c r="N707" s="644">
        <v>56000000</v>
      </c>
      <c r="O707" s="644">
        <v>0</v>
      </c>
      <c r="P707" s="644">
        <v>1008000000</v>
      </c>
      <c r="Q707" s="644">
        <v>1008000000</v>
      </c>
      <c r="R707" s="644">
        <v>0</v>
      </c>
      <c r="S707" s="644">
        <v>0</v>
      </c>
      <c r="T707" s="644">
        <v>0</v>
      </c>
      <c r="U707" s="644">
        <v>0</v>
      </c>
      <c r="V707" s="644">
        <v>0</v>
      </c>
      <c r="W707" s="632">
        <v>0</v>
      </c>
      <c r="X707" s="632">
        <v>0</v>
      </c>
    </row>
    <row r="708" spans="1:24" ht="22.5">
      <c r="A708" s="645">
        <v>690</v>
      </c>
      <c r="B708" s="643" t="s">
        <v>1335</v>
      </c>
      <c r="C708" s="645" t="s">
        <v>442</v>
      </c>
      <c r="D708" s="645" t="s">
        <v>1336</v>
      </c>
      <c r="E708" s="645" t="s">
        <v>907</v>
      </c>
      <c r="F708" s="645" t="s">
        <v>1114</v>
      </c>
      <c r="G708" s="645" t="s">
        <v>777</v>
      </c>
      <c r="H708" s="644">
        <v>220000000</v>
      </c>
      <c r="I708" s="644">
        <v>0</v>
      </c>
      <c r="J708" s="644">
        <v>0</v>
      </c>
      <c r="K708" s="644">
        <v>0</v>
      </c>
      <c r="L708" s="644">
        <v>0</v>
      </c>
      <c r="M708" s="644">
        <v>220000000</v>
      </c>
      <c r="N708" s="644">
        <v>0</v>
      </c>
      <c r="O708" s="644">
        <v>0</v>
      </c>
      <c r="P708" s="644">
        <v>220000000</v>
      </c>
      <c r="Q708" s="644">
        <v>220000000</v>
      </c>
      <c r="R708" s="644">
        <v>0</v>
      </c>
      <c r="S708" s="644">
        <v>0</v>
      </c>
      <c r="T708" s="644">
        <v>0</v>
      </c>
      <c r="U708" s="644">
        <v>0</v>
      </c>
      <c r="V708" s="644">
        <v>0</v>
      </c>
      <c r="W708" s="632">
        <v>0</v>
      </c>
      <c r="X708" s="632">
        <v>0</v>
      </c>
    </row>
    <row r="709" spans="1:24" ht="22.5">
      <c r="A709" s="645">
        <v>691</v>
      </c>
      <c r="B709" s="643" t="s">
        <v>1337</v>
      </c>
      <c r="C709" s="645" t="s">
        <v>442</v>
      </c>
      <c r="D709" s="645" t="s">
        <v>1338</v>
      </c>
      <c r="E709" s="645" t="s">
        <v>907</v>
      </c>
      <c r="F709" s="645" t="s">
        <v>1114</v>
      </c>
      <c r="G709" s="645" t="s">
        <v>777</v>
      </c>
      <c r="H709" s="644">
        <v>220419492</v>
      </c>
      <c r="I709" s="644">
        <v>419492</v>
      </c>
      <c r="J709" s="644">
        <v>419492</v>
      </c>
      <c r="K709" s="644">
        <v>0</v>
      </c>
      <c r="L709" s="644">
        <v>0</v>
      </c>
      <c r="M709" s="644">
        <v>220000000</v>
      </c>
      <c r="N709" s="644">
        <v>0</v>
      </c>
      <c r="O709" s="644">
        <v>0</v>
      </c>
      <c r="P709" s="644">
        <v>157832000</v>
      </c>
      <c r="Q709" s="644">
        <v>157832000</v>
      </c>
      <c r="R709" s="644">
        <v>0</v>
      </c>
      <c r="S709" s="644">
        <v>62587492</v>
      </c>
      <c r="T709" s="644">
        <v>419492</v>
      </c>
      <c r="U709" s="644">
        <v>0</v>
      </c>
      <c r="V709" s="644">
        <v>62168000</v>
      </c>
      <c r="W709" s="632">
        <v>0</v>
      </c>
      <c r="X709" s="632">
        <v>49500000</v>
      </c>
    </row>
    <row r="710" spans="1:24" ht="22.5">
      <c r="A710" s="645">
        <v>692</v>
      </c>
      <c r="B710" s="643" t="s">
        <v>1339</v>
      </c>
      <c r="C710" s="645" t="s">
        <v>442</v>
      </c>
      <c r="D710" s="645" t="s">
        <v>1340</v>
      </c>
      <c r="E710" s="645" t="s">
        <v>907</v>
      </c>
      <c r="F710" s="645" t="s">
        <v>1114</v>
      </c>
      <c r="G710" s="645" t="s">
        <v>777</v>
      </c>
      <c r="H710" s="644">
        <v>235451559</v>
      </c>
      <c r="I710" s="644">
        <v>9036559</v>
      </c>
      <c r="J710" s="644">
        <v>753720</v>
      </c>
      <c r="K710" s="644">
        <v>0</v>
      </c>
      <c r="L710" s="644">
        <v>8282839</v>
      </c>
      <c r="M710" s="644">
        <v>220000000</v>
      </c>
      <c r="N710" s="644">
        <v>6415000</v>
      </c>
      <c r="O710" s="644">
        <v>0</v>
      </c>
      <c r="P710" s="644">
        <v>214005160</v>
      </c>
      <c r="Q710" s="644">
        <v>214005160</v>
      </c>
      <c r="R710" s="644">
        <v>0</v>
      </c>
      <c r="S710" s="644">
        <v>21446399</v>
      </c>
      <c r="T710" s="644">
        <v>2953560</v>
      </c>
      <c r="U710" s="644">
        <v>0</v>
      </c>
      <c r="V710" s="644">
        <v>18492839</v>
      </c>
      <c r="W710" s="632">
        <v>0</v>
      </c>
      <c r="X710" s="632">
        <v>3196600</v>
      </c>
    </row>
    <row r="711" spans="1:24">
      <c r="A711" s="645">
        <v>693</v>
      </c>
      <c r="B711" s="643" t="s">
        <v>1364</v>
      </c>
      <c r="C711" s="645" t="s">
        <v>442</v>
      </c>
      <c r="D711" s="645" t="s">
        <v>1365</v>
      </c>
      <c r="E711" s="645" t="s">
        <v>907</v>
      </c>
      <c r="F711" s="645" t="s">
        <v>1114</v>
      </c>
      <c r="G711" s="645" t="s">
        <v>777</v>
      </c>
      <c r="H711" s="644">
        <v>222958324</v>
      </c>
      <c r="I711" s="644">
        <v>2958324</v>
      </c>
      <c r="J711" s="644">
        <v>2958324</v>
      </c>
      <c r="K711" s="644">
        <v>0</v>
      </c>
      <c r="L711" s="644">
        <v>0</v>
      </c>
      <c r="M711" s="644">
        <v>220000000</v>
      </c>
      <c r="N711" s="644">
        <v>0</v>
      </c>
      <c r="O711" s="644">
        <v>0</v>
      </c>
      <c r="P711" s="644">
        <v>222176925</v>
      </c>
      <c r="Q711" s="644">
        <v>222176925</v>
      </c>
      <c r="R711" s="644">
        <v>0</v>
      </c>
      <c r="S711" s="644">
        <v>781399</v>
      </c>
      <c r="T711" s="644">
        <v>781399</v>
      </c>
      <c r="U711" s="644">
        <v>0</v>
      </c>
      <c r="V711" s="644">
        <v>0</v>
      </c>
      <c r="W711" s="632">
        <v>0</v>
      </c>
      <c r="X711" s="632">
        <v>0</v>
      </c>
    </row>
    <row r="712" spans="1:24">
      <c r="A712" s="645">
        <v>694</v>
      </c>
      <c r="B712" s="643" t="s">
        <v>1344</v>
      </c>
      <c r="C712" s="645" t="s">
        <v>442</v>
      </c>
      <c r="D712" s="645" t="s">
        <v>1345</v>
      </c>
      <c r="E712" s="645" t="s">
        <v>1300</v>
      </c>
      <c r="F712" s="645" t="s">
        <v>1114</v>
      </c>
      <c r="G712" s="645" t="s">
        <v>777</v>
      </c>
      <c r="H712" s="644">
        <v>9524431729</v>
      </c>
      <c r="I712" s="644">
        <v>2174208729</v>
      </c>
      <c r="J712" s="644">
        <v>2174208729</v>
      </c>
      <c r="K712" s="644">
        <v>0</v>
      </c>
      <c r="L712" s="644">
        <v>0</v>
      </c>
      <c r="M712" s="644">
        <v>7370100000</v>
      </c>
      <c r="N712" s="644">
        <v>-19877000</v>
      </c>
      <c r="O712" s="644">
        <v>0</v>
      </c>
      <c r="P712" s="644">
        <v>8783795375</v>
      </c>
      <c r="Q712" s="644">
        <v>8783795375</v>
      </c>
      <c r="R712" s="644">
        <v>0</v>
      </c>
      <c r="S712" s="644">
        <v>740636354</v>
      </c>
      <c r="T712" s="644">
        <v>740636354</v>
      </c>
      <c r="U712" s="644">
        <v>0</v>
      </c>
      <c r="V712" s="644">
        <v>0</v>
      </c>
      <c r="W712" s="632">
        <v>0</v>
      </c>
      <c r="X712" s="632">
        <v>0</v>
      </c>
    </row>
    <row r="713" spans="1:24">
      <c r="A713" s="645">
        <v>695</v>
      </c>
      <c r="B713" s="643" t="s">
        <v>1346</v>
      </c>
      <c r="C713" s="645" t="s">
        <v>442</v>
      </c>
      <c r="D713" s="645" t="s">
        <v>1345</v>
      </c>
      <c r="E713" s="645" t="s">
        <v>886</v>
      </c>
      <c r="F713" s="645" t="s">
        <v>1114</v>
      </c>
      <c r="G713" s="645" t="s">
        <v>777</v>
      </c>
      <c r="H713" s="644">
        <v>6215397000</v>
      </c>
      <c r="I713" s="644">
        <v>0</v>
      </c>
      <c r="J713" s="644">
        <v>0</v>
      </c>
      <c r="K713" s="644">
        <v>0</v>
      </c>
      <c r="L713" s="644">
        <v>0</v>
      </c>
      <c r="M713" s="644">
        <v>6194918000</v>
      </c>
      <c r="N713" s="644">
        <v>20479000</v>
      </c>
      <c r="O713" s="644">
        <v>0</v>
      </c>
      <c r="P713" s="644">
        <v>6215397000</v>
      </c>
      <c r="Q713" s="644">
        <v>6215397000</v>
      </c>
      <c r="R713" s="644">
        <v>0</v>
      </c>
      <c r="S713" s="644">
        <v>0</v>
      </c>
      <c r="T713" s="644">
        <v>0</v>
      </c>
      <c r="U713" s="644">
        <v>0</v>
      </c>
      <c r="V713" s="644">
        <v>0</v>
      </c>
      <c r="W713" s="632">
        <v>0</v>
      </c>
      <c r="X713" s="632">
        <v>0</v>
      </c>
    </row>
    <row r="714" spans="1:24">
      <c r="A714" s="645">
        <v>696</v>
      </c>
      <c r="B714" s="643" t="s">
        <v>1347</v>
      </c>
      <c r="C714" s="645" t="s">
        <v>442</v>
      </c>
      <c r="D714" s="645" t="s">
        <v>1345</v>
      </c>
      <c r="E714" s="645" t="s">
        <v>710</v>
      </c>
      <c r="F714" s="645" t="s">
        <v>1114</v>
      </c>
      <c r="G714" s="645" t="s">
        <v>777</v>
      </c>
      <c r="H714" s="644">
        <v>2683021000</v>
      </c>
      <c r="I714" s="644">
        <v>0</v>
      </c>
      <c r="J714" s="644">
        <v>0</v>
      </c>
      <c r="K714" s="644">
        <v>0</v>
      </c>
      <c r="L714" s="644">
        <v>0</v>
      </c>
      <c r="M714" s="644">
        <v>2683021000</v>
      </c>
      <c r="N714" s="644">
        <v>0</v>
      </c>
      <c r="O714" s="644">
        <v>0</v>
      </c>
      <c r="P714" s="644">
        <v>2683021000</v>
      </c>
      <c r="Q714" s="644">
        <v>2683021000</v>
      </c>
      <c r="R714" s="644">
        <v>0</v>
      </c>
      <c r="S714" s="644">
        <v>0</v>
      </c>
      <c r="T714" s="644">
        <v>0</v>
      </c>
      <c r="U714" s="644">
        <v>0</v>
      </c>
      <c r="V714" s="644">
        <v>0</v>
      </c>
      <c r="W714" s="632">
        <v>0</v>
      </c>
      <c r="X714" s="632">
        <v>0</v>
      </c>
    </row>
    <row r="715" spans="1:24">
      <c r="A715" s="645">
        <v>697</v>
      </c>
      <c r="B715" s="643" t="s">
        <v>1348</v>
      </c>
      <c r="C715" s="645" t="s">
        <v>442</v>
      </c>
      <c r="D715" s="645" t="s">
        <v>1345</v>
      </c>
      <c r="E715" s="645" t="s">
        <v>886</v>
      </c>
      <c r="F715" s="645" t="s">
        <v>1114</v>
      </c>
      <c r="G715" s="645" t="s">
        <v>777</v>
      </c>
      <c r="H715" s="644">
        <v>289619</v>
      </c>
      <c r="I715" s="644">
        <v>289619</v>
      </c>
      <c r="J715" s="644">
        <v>289619</v>
      </c>
      <c r="K715" s="644">
        <v>0</v>
      </c>
      <c r="L715" s="644">
        <v>0</v>
      </c>
      <c r="M715" s="644">
        <v>0</v>
      </c>
      <c r="N715" s="644">
        <v>0</v>
      </c>
      <c r="O715" s="644">
        <v>0</v>
      </c>
      <c r="P715" s="644">
        <v>289619</v>
      </c>
      <c r="Q715" s="644">
        <v>289619</v>
      </c>
      <c r="R715" s="644">
        <v>0</v>
      </c>
      <c r="S715" s="644">
        <v>0</v>
      </c>
      <c r="T715" s="644">
        <v>0</v>
      </c>
      <c r="U715" s="644">
        <v>0</v>
      </c>
      <c r="V715" s="644">
        <v>0</v>
      </c>
      <c r="W715" s="632">
        <v>0</v>
      </c>
      <c r="X715" s="632">
        <v>300000</v>
      </c>
    </row>
    <row r="716" spans="1:24">
      <c r="A716" s="645">
        <v>698</v>
      </c>
      <c r="B716" s="643" t="s">
        <v>1348</v>
      </c>
      <c r="C716" s="645" t="s">
        <v>442</v>
      </c>
      <c r="D716" s="645" t="s">
        <v>1345</v>
      </c>
      <c r="E716" s="645" t="s">
        <v>888</v>
      </c>
      <c r="F716" s="645" t="s">
        <v>1114</v>
      </c>
      <c r="G716" s="645" t="s">
        <v>777</v>
      </c>
      <c r="H716" s="644">
        <v>7944135000</v>
      </c>
      <c r="I716" s="644">
        <v>0</v>
      </c>
      <c r="J716" s="644">
        <v>0</v>
      </c>
      <c r="K716" s="644">
        <v>0</v>
      </c>
      <c r="L716" s="644">
        <v>0</v>
      </c>
      <c r="M716" s="644">
        <v>8137000000</v>
      </c>
      <c r="N716" s="644">
        <v>-192865000</v>
      </c>
      <c r="O716" s="644">
        <v>0</v>
      </c>
      <c r="P716" s="644">
        <v>7944135000</v>
      </c>
      <c r="Q716" s="644">
        <v>7944135000</v>
      </c>
      <c r="R716" s="644">
        <v>0</v>
      </c>
      <c r="S716" s="644">
        <v>0</v>
      </c>
      <c r="T716" s="644">
        <v>0</v>
      </c>
      <c r="U716" s="644">
        <v>0</v>
      </c>
      <c r="V716" s="644">
        <v>0</v>
      </c>
      <c r="W716" s="632">
        <v>0</v>
      </c>
      <c r="X716" s="632">
        <v>573736</v>
      </c>
    </row>
    <row r="717" spans="1:24" ht="22.5">
      <c r="A717" s="645">
        <v>699</v>
      </c>
      <c r="B717" s="643" t="s">
        <v>1349</v>
      </c>
      <c r="C717" s="645" t="s">
        <v>442</v>
      </c>
      <c r="D717" s="645" t="s">
        <v>1345</v>
      </c>
      <c r="E717" s="645" t="s">
        <v>886</v>
      </c>
      <c r="F717" s="645" t="s">
        <v>1114</v>
      </c>
      <c r="G717" s="645" t="s">
        <v>777</v>
      </c>
      <c r="H717" s="644">
        <v>544000000</v>
      </c>
      <c r="I717" s="644">
        <v>0</v>
      </c>
      <c r="J717" s="644">
        <v>0</v>
      </c>
      <c r="K717" s="644">
        <v>0</v>
      </c>
      <c r="L717" s="644">
        <v>0</v>
      </c>
      <c r="M717" s="644">
        <v>544000000</v>
      </c>
      <c r="N717" s="644">
        <v>0</v>
      </c>
      <c r="O717" s="644">
        <v>0</v>
      </c>
      <c r="P717" s="644">
        <v>544000000</v>
      </c>
      <c r="Q717" s="644">
        <v>544000000</v>
      </c>
      <c r="R717" s="644">
        <v>0</v>
      </c>
      <c r="S717" s="644">
        <v>0</v>
      </c>
      <c r="T717" s="644">
        <v>0</v>
      </c>
      <c r="U717" s="644">
        <v>0</v>
      </c>
      <c r="V717" s="644">
        <v>0</v>
      </c>
      <c r="W717" s="632">
        <v>0</v>
      </c>
      <c r="X717" s="632">
        <v>200000</v>
      </c>
    </row>
    <row r="718" spans="1:24">
      <c r="A718" s="645">
        <v>700</v>
      </c>
      <c r="B718" s="643" t="s">
        <v>1366</v>
      </c>
      <c r="C718" s="645" t="s">
        <v>442</v>
      </c>
      <c r="D718" s="645" t="s">
        <v>1345</v>
      </c>
      <c r="E718" s="645" t="s">
        <v>904</v>
      </c>
      <c r="F718" s="645" t="s">
        <v>1114</v>
      </c>
      <c r="G718" s="645" t="s">
        <v>777</v>
      </c>
      <c r="H718" s="644">
        <v>658</v>
      </c>
      <c r="I718" s="644">
        <v>658</v>
      </c>
      <c r="J718" s="644">
        <v>0</v>
      </c>
      <c r="K718" s="644">
        <v>0</v>
      </c>
      <c r="L718" s="644">
        <v>658</v>
      </c>
      <c r="M718" s="644">
        <v>0</v>
      </c>
      <c r="N718" s="644">
        <v>0</v>
      </c>
      <c r="O718" s="644">
        <v>0</v>
      </c>
      <c r="P718" s="644">
        <v>0</v>
      </c>
      <c r="Q718" s="644">
        <v>0</v>
      </c>
      <c r="R718" s="644">
        <v>0</v>
      </c>
      <c r="S718" s="644">
        <v>0</v>
      </c>
      <c r="T718" s="644">
        <v>0</v>
      </c>
      <c r="U718" s="644">
        <v>0</v>
      </c>
      <c r="V718" s="644">
        <v>0</v>
      </c>
      <c r="W718" s="632">
        <v>0</v>
      </c>
      <c r="X718" s="632">
        <v>0</v>
      </c>
    </row>
    <row r="719" spans="1:24">
      <c r="A719" s="645">
        <v>701</v>
      </c>
      <c r="B719" s="643" t="s">
        <v>1367</v>
      </c>
      <c r="C719" s="645" t="s">
        <v>442</v>
      </c>
      <c r="D719" s="645" t="s">
        <v>1345</v>
      </c>
      <c r="E719" s="645" t="s">
        <v>907</v>
      </c>
      <c r="F719" s="645" t="s">
        <v>1114</v>
      </c>
      <c r="G719" s="645" t="s">
        <v>777</v>
      </c>
      <c r="H719" s="644">
        <v>572151345</v>
      </c>
      <c r="I719" s="644">
        <v>352151345</v>
      </c>
      <c r="J719" s="644">
        <v>352151345</v>
      </c>
      <c r="K719" s="644">
        <v>0</v>
      </c>
      <c r="L719" s="644">
        <v>0</v>
      </c>
      <c r="M719" s="644">
        <v>220000000</v>
      </c>
      <c r="N719" s="644">
        <v>0</v>
      </c>
      <c r="O719" s="644">
        <v>0</v>
      </c>
      <c r="P719" s="644">
        <v>176519460</v>
      </c>
      <c r="Q719" s="644">
        <v>176519460</v>
      </c>
      <c r="R719" s="644">
        <v>0</v>
      </c>
      <c r="S719" s="644">
        <v>395631885</v>
      </c>
      <c r="T719" s="644">
        <v>395631885</v>
      </c>
      <c r="U719" s="644">
        <v>0</v>
      </c>
      <c r="V719" s="644">
        <v>0</v>
      </c>
      <c r="W719" s="632">
        <v>0</v>
      </c>
      <c r="X719" s="632">
        <v>0</v>
      </c>
    </row>
    <row r="720" spans="1:24" ht="22.5">
      <c r="A720" s="645">
        <v>702</v>
      </c>
      <c r="B720" s="643" t="s">
        <v>1368</v>
      </c>
      <c r="C720" s="645" t="s">
        <v>442</v>
      </c>
      <c r="D720" s="645" t="s">
        <v>1345</v>
      </c>
      <c r="E720" s="645" t="s">
        <v>907</v>
      </c>
      <c r="F720" s="645" t="s">
        <v>1114</v>
      </c>
      <c r="G720" s="645" t="s">
        <v>777</v>
      </c>
      <c r="H720" s="644">
        <v>235429826</v>
      </c>
      <c r="I720" s="644">
        <v>2849826</v>
      </c>
      <c r="J720" s="644">
        <v>1575025</v>
      </c>
      <c r="K720" s="644">
        <v>0</v>
      </c>
      <c r="L720" s="644">
        <v>1274801</v>
      </c>
      <c r="M720" s="644">
        <v>220000000</v>
      </c>
      <c r="N720" s="644">
        <v>12580000</v>
      </c>
      <c r="O720" s="644">
        <v>0</v>
      </c>
      <c r="P720" s="644">
        <v>225745025</v>
      </c>
      <c r="Q720" s="644">
        <v>225745025</v>
      </c>
      <c r="R720" s="644">
        <v>0</v>
      </c>
      <c r="S720" s="644">
        <v>9684801</v>
      </c>
      <c r="T720" s="644">
        <v>0</v>
      </c>
      <c r="U720" s="644">
        <v>0</v>
      </c>
      <c r="V720" s="644">
        <v>9684801</v>
      </c>
      <c r="W720" s="632">
        <v>0</v>
      </c>
      <c r="X720" s="632">
        <v>21646250</v>
      </c>
    </row>
    <row r="721" spans="1:24">
      <c r="A721" s="645">
        <v>703</v>
      </c>
      <c r="B721" s="643" t="s">
        <v>1369</v>
      </c>
      <c r="C721" s="645" t="s">
        <v>442</v>
      </c>
      <c r="D721" s="645" t="s">
        <v>1345</v>
      </c>
      <c r="E721" s="645" t="s">
        <v>907</v>
      </c>
      <c r="F721" s="645" t="s">
        <v>1114</v>
      </c>
      <c r="G721" s="645" t="s">
        <v>777</v>
      </c>
      <c r="H721" s="644">
        <v>220000000</v>
      </c>
      <c r="I721" s="644">
        <v>0</v>
      </c>
      <c r="J721" s="644">
        <v>0</v>
      </c>
      <c r="K721" s="644">
        <v>0</v>
      </c>
      <c r="L721" s="644">
        <v>0</v>
      </c>
      <c r="M721" s="644">
        <v>220000000</v>
      </c>
      <c r="N721" s="644">
        <v>0</v>
      </c>
      <c r="O721" s="644">
        <v>0</v>
      </c>
      <c r="P721" s="644">
        <v>220000000</v>
      </c>
      <c r="Q721" s="644">
        <v>220000000</v>
      </c>
      <c r="R721" s="644">
        <v>0</v>
      </c>
      <c r="S721" s="644">
        <v>0</v>
      </c>
      <c r="T721" s="644">
        <v>0</v>
      </c>
      <c r="U721" s="644">
        <v>0</v>
      </c>
      <c r="V721" s="644">
        <v>0</v>
      </c>
      <c r="W721" s="632">
        <v>0</v>
      </c>
      <c r="X721" s="632">
        <v>0</v>
      </c>
    </row>
    <row r="722" spans="1:24" ht="22.5">
      <c r="A722" s="645">
        <v>704</v>
      </c>
      <c r="B722" s="643" t="s">
        <v>1370</v>
      </c>
      <c r="C722" s="645" t="s">
        <v>442</v>
      </c>
      <c r="D722" s="645" t="s">
        <v>1345</v>
      </c>
      <c r="E722" s="645" t="s">
        <v>907</v>
      </c>
      <c r="F722" s="645" t="s">
        <v>1114</v>
      </c>
      <c r="G722" s="645" t="s">
        <v>777</v>
      </c>
      <c r="H722" s="644">
        <v>220000000</v>
      </c>
      <c r="I722" s="644">
        <v>0</v>
      </c>
      <c r="J722" s="644">
        <v>0</v>
      </c>
      <c r="K722" s="644">
        <v>0</v>
      </c>
      <c r="L722" s="644">
        <v>0</v>
      </c>
      <c r="M722" s="644">
        <v>220000000</v>
      </c>
      <c r="N722" s="644">
        <v>0</v>
      </c>
      <c r="O722" s="644">
        <v>0</v>
      </c>
      <c r="P722" s="644">
        <v>220000000</v>
      </c>
      <c r="Q722" s="644">
        <v>220000000</v>
      </c>
      <c r="R722" s="644">
        <v>0</v>
      </c>
      <c r="S722" s="644">
        <v>0</v>
      </c>
      <c r="T722" s="644">
        <v>0</v>
      </c>
      <c r="U722" s="644">
        <v>0</v>
      </c>
      <c r="V722" s="644">
        <v>0</v>
      </c>
      <c r="W722" s="632">
        <v>0</v>
      </c>
      <c r="X722" s="632">
        <v>0</v>
      </c>
    </row>
    <row r="723" spans="1:24" ht="22.5">
      <c r="A723" s="645">
        <v>705</v>
      </c>
      <c r="B723" s="643" t="s">
        <v>1350</v>
      </c>
      <c r="C723" s="645" t="s">
        <v>442</v>
      </c>
      <c r="D723" s="645" t="s">
        <v>1345</v>
      </c>
      <c r="E723" s="645" t="s">
        <v>905</v>
      </c>
      <c r="F723" s="645" t="s">
        <v>1114</v>
      </c>
      <c r="G723" s="645" t="s">
        <v>777</v>
      </c>
      <c r="H723" s="644">
        <v>986944682</v>
      </c>
      <c r="I723" s="644">
        <v>57843682</v>
      </c>
      <c r="J723" s="644">
        <v>55946156</v>
      </c>
      <c r="K723" s="644">
        <v>0</v>
      </c>
      <c r="L723" s="644">
        <v>1897526</v>
      </c>
      <c r="M723" s="644">
        <v>929101000</v>
      </c>
      <c r="N723" s="644">
        <v>0</v>
      </c>
      <c r="O723" s="644">
        <v>0</v>
      </c>
      <c r="P723" s="644">
        <v>966817552</v>
      </c>
      <c r="Q723" s="644">
        <v>966817552</v>
      </c>
      <c r="R723" s="644">
        <v>0</v>
      </c>
      <c r="S723" s="644">
        <v>20127130</v>
      </c>
      <c r="T723" s="644">
        <v>10349204</v>
      </c>
      <c r="U723" s="644">
        <v>0</v>
      </c>
      <c r="V723" s="644">
        <v>9777926</v>
      </c>
      <c r="W723" s="632">
        <v>0</v>
      </c>
      <c r="X723" s="632">
        <v>0</v>
      </c>
    </row>
    <row r="724" spans="1:24">
      <c r="A724" s="645">
        <v>706</v>
      </c>
      <c r="B724" s="643" t="s">
        <v>1371</v>
      </c>
      <c r="C724" s="645" t="s">
        <v>442</v>
      </c>
      <c r="D724" s="645" t="s">
        <v>1345</v>
      </c>
      <c r="E724" s="645" t="s">
        <v>710</v>
      </c>
      <c r="F724" s="645" t="s">
        <v>1114</v>
      </c>
      <c r="G724" s="645" t="s">
        <v>777</v>
      </c>
      <c r="H724" s="644">
        <v>10316888</v>
      </c>
      <c r="I724" s="644">
        <v>10316888</v>
      </c>
      <c r="J724" s="644">
        <v>10316888</v>
      </c>
      <c r="K724" s="644">
        <v>0</v>
      </c>
      <c r="L724" s="644">
        <v>0</v>
      </c>
      <c r="M724" s="644">
        <v>0</v>
      </c>
      <c r="N724" s="644">
        <v>0</v>
      </c>
      <c r="O724" s="644">
        <v>0</v>
      </c>
      <c r="P724" s="644">
        <v>0</v>
      </c>
      <c r="Q724" s="644">
        <v>0</v>
      </c>
      <c r="R724" s="644">
        <v>0</v>
      </c>
      <c r="S724" s="644">
        <v>0</v>
      </c>
      <c r="T724" s="644">
        <v>0</v>
      </c>
      <c r="U724" s="644">
        <v>0</v>
      </c>
      <c r="V724" s="644">
        <v>0</v>
      </c>
      <c r="W724" s="632">
        <v>0</v>
      </c>
      <c r="X724" s="632">
        <v>0</v>
      </c>
    </row>
    <row r="725" spans="1:24" ht="22.5">
      <c r="A725" s="645">
        <v>707</v>
      </c>
      <c r="B725" s="643" t="s">
        <v>1112</v>
      </c>
      <c r="C725" s="645" t="s">
        <v>443</v>
      </c>
      <c r="D725" s="645" t="s">
        <v>1113</v>
      </c>
      <c r="E725" s="645" t="s">
        <v>905</v>
      </c>
      <c r="F725" s="645" t="s">
        <v>1114</v>
      </c>
      <c r="G725" s="645" t="s">
        <v>777</v>
      </c>
      <c r="H725" s="644">
        <v>0</v>
      </c>
      <c r="I725" s="644">
        <v>155148262</v>
      </c>
      <c r="J725" s="644">
        <v>155148262</v>
      </c>
      <c r="K725" s="644">
        <v>0</v>
      </c>
      <c r="L725" s="644">
        <v>0</v>
      </c>
      <c r="M725" s="644">
        <v>-155148262</v>
      </c>
      <c r="N725" s="644">
        <v>0</v>
      </c>
      <c r="O725" s="644">
        <v>0</v>
      </c>
      <c r="P725" s="644">
        <v>0</v>
      </c>
      <c r="Q725" s="644">
        <v>0</v>
      </c>
      <c r="R725" s="644">
        <v>0</v>
      </c>
      <c r="S725" s="644">
        <v>0</v>
      </c>
      <c r="T725" s="644">
        <v>0</v>
      </c>
      <c r="U725" s="644">
        <v>0</v>
      </c>
      <c r="V725" s="644">
        <v>0</v>
      </c>
      <c r="W725" s="632">
        <v>0</v>
      </c>
      <c r="X725" s="632">
        <v>0</v>
      </c>
    </row>
    <row r="726" spans="1:24" ht="22.5">
      <c r="A726" s="645">
        <v>708</v>
      </c>
      <c r="B726" s="643" t="s">
        <v>1112</v>
      </c>
      <c r="C726" s="645" t="s">
        <v>443</v>
      </c>
      <c r="D726" s="645" t="s">
        <v>1113</v>
      </c>
      <c r="E726" s="645" t="s">
        <v>1115</v>
      </c>
      <c r="F726" s="645" t="s">
        <v>1114</v>
      </c>
      <c r="G726" s="645" t="s">
        <v>777</v>
      </c>
      <c r="H726" s="644">
        <v>103140000</v>
      </c>
      <c r="I726" s="644">
        <v>0</v>
      </c>
      <c r="J726" s="644">
        <v>0</v>
      </c>
      <c r="K726" s="644">
        <v>0</v>
      </c>
      <c r="L726" s="644">
        <v>0</v>
      </c>
      <c r="M726" s="644">
        <v>0</v>
      </c>
      <c r="N726" s="644">
        <v>103140000</v>
      </c>
      <c r="O726" s="644">
        <v>0</v>
      </c>
      <c r="P726" s="644">
        <v>103140000</v>
      </c>
      <c r="Q726" s="644">
        <v>103140000</v>
      </c>
      <c r="R726" s="644">
        <v>0</v>
      </c>
      <c r="S726" s="644">
        <v>0</v>
      </c>
      <c r="T726" s="644">
        <v>0</v>
      </c>
      <c r="U726" s="644">
        <v>0</v>
      </c>
      <c r="V726" s="644">
        <v>0</v>
      </c>
      <c r="W726" s="632">
        <v>0</v>
      </c>
      <c r="X726" s="632">
        <v>0</v>
      </c>
    </row>
    <row r="727" spans="1:24">
      <c r="A727" s="645">
        <v>709</v>
      </c>
      <c r="B727" s="643" t="s">
        <v>1117</v>
      </c>
      <c r="C727" s="645" t="s">
        <v>443</v>
      </c>
      <c r="D727" s="645" t="s">
        <v>1118</v>
      </c>
      <c r="E727" s="645" t="s">
        <v>905</v>
      </c>
      <c r="F727" s="645" t="s">
        <v>1114</v>
      </c>
      <c r="G727" s="645" t="s">
        <v>777</v>
      </c>
      <c r="H727" s="644">
        <v>0</v>
      </c>
      <c r="I727" s="644">
        <v>356193000</v>
      </c>
      <c r="J727" s="644">
        <v>356193000</v>
      </c>
      <c r="K727" s="644">
        <v>0</v>
      </c>
      <c r="L727" s="644">
        <v>0</v>
      </c>
      <c r="M727" s="644">
        <v>-356193000</v>
      </c>
      <c r="N727" s="644">
        <v>0</v>
      </c>
      <c r="O727" s="644">
        <v>0</v>
      </c>
      <c r="P727" s="644">
        <v>0</v>
      </c>
      <c r="Q727" s="644">
        <v>0</v>
      </c>
      <c r="R727" s="644">
        <v>0</v>
      </c>
      <c r="S727" s="644">
        <v>0</v>
      </c>
      <c r="T727" s="644">
        <v>0</v>
      </c>
      <c r="U727" s="644">
        <v>0</v>
      </c>
      <c r="V727" s="644">
        <v>0</v>
      </c>
      <c r="W727" s="632">
        <v>0</v>
      </c>
      <c r="X727" s="632">
        <v>14780000</v>
      </c>
    </row>
    <row r="728" spans="1:24">
      <c r="A728" s="645">
        <v>710</v>
      </c>
      <c r="B728" s="643" t="s">
        <v>1117</v>
      </c>
      <c r="C728" s="645" t="s">
        <v>443</v>
      </c>
      <c r="D728" s="645" t="s">
        <v>1118</v>
      </c>
      <c r="E728" s="645" t="s">
        <v>1115</v>
      </c>
      <c r="F728" s="645" t="s">
        <v>1114</v>
      </c>
      <c r="G728" s="645" t="s">
        <v>777</v>
      </c>
      <c r="H728" s="644">
        <v>176427000</v>
      </c>
      <c r="I728" s="644">
        <v>0</v>
      </c>
      <c r="J728" s="644">
        <v>0</v>
      </c>
      <c r="K728" s="644">
        <v>0</v>
      </c>
      <c r="L728" s="644">
        <v>0</v>
      </c>
      <c r="M728" s="644">
        <v>0</v>
      </c>
      <c r="N728" s="644">
        <v>176427000</v>
      </c>
      <c r="O728" s="644">
        <v>0</v>
      </c>
      <c r="P728" s="644">
        <v>176427000</v>
      </c>
      <c r="Q728" s="644">
        <v>176427000</v>
      </c>
      <c r="R728" s="644">
        <v>0</v>
      </c>
      <c r="S728" s="644">
        <v>0</v>
      </c>
      <c r="T728" s="644">
        <v>0</v>
      </c>
      <c r="U728" s="644">
        <v>0</v>
      </c>
      <c r="V728" s="644">
        <v>0</v>
      </c>
      <c r="W728" s="632">
        <v>0</v>
      </c>
      <c r="X728" s="632">
        <v>44150072</v>
      </c>
    </row>
    <row r="729" spans="1:24" ht="22.5">
      <c r="A729" s="645">
        <v>711</v>
      </c>
      <c r="B729" s="643" t="s">
        <v>1119</v>
      </c>
      <c r="C729" s="645" t="s">
        <v>443</v>
      </c>
      <c r="D729" s="645" t="s">
        <v>1118</v>
      </c>
      <c r="E729" s="645" t="s">
        <v>641</v>
      </c>
      <c r="F729" s="645" t="s">
        <v>1114</v>
      </c>
      <c r="G729" s="645" t="s">
        <v>777</v>
      </c>
      <c r="H729" s="644">
        <v>0</v>
      </c>
      <c r="I729" s="644">
        <v>401373432</v>
      </c>
      <c r="J729" s="644">
        <v>401373432</v>
      </c>
      <c r="K729" s="644">
        <v>0</v>
      </c>
      <c r="L729" s="644">
        <v>0</v>
      </c>
      <c r="M729" s="644">
        <v>-401373432</v>
      </c>
      <c r="N729" s="644">
        <v>0</v>
      </c>
      <c r="O729" s="644">
        <v>0</v>
      </c>
      <c r="P729" s="644">
        <v>0</v>
      </c>
      <c r="Q729" s="644">
        <v>0</v>
      </c>
      <c r="R729" s="644">
        <v>0</v>
      </c>
      <c r="S729" s="644">
        <v>0</v>
      </c>
      <c r="T729" s="644">
        <v>0</v>
      </c>
      <c r="U729" s="644">
        <v>0</v>
      </c>
      <c r="V729" s="644">
        <v>0</v>
      </c>
      <c r="W729" s="632">
        <v>0</v>
      </c>
      <c r="X729" s="632">
        <v>0</v>
      </c>
    </row>
    <row r="730" spans="1:24" ht="22.5">
      <c r="A730" s="645">
        <v>712</v>
      </c>
      <c r="B730" s="643" t="s">
        <v>1119</v>
      </c>
      <c r="C730" s="645" t="s">
        <v>443</v>
      </c>
      <c r="D730" s="645" t="s">
        <v>1118</v>
      </c>
      <c r="E730" s="645" t="s">
        <v>710</v>
      </c>
      <c r="F730" s="645" t="s">
        <v>1114</v>
      </c>
      <c r="G730" s="645" t="s">
        <v>777</v>
      </c>
      <c r="H730" s="644">
        <v>0</v>
      </c>
      <c r="I730" s="644">
        <v>85022000</v>
      </c>
      <c r="J730" s="644">
        <v>85022000</v>
      </c>
      <c r="K730" s="644">
        <v>0</v>
      </c>
      <c r="L730" s="644">
        <v>0</v>
      </c>
      <c r="M730" s="644">
        <v>-85022000</v>
      </c>
      <c r="N730" s="644">
        <v>0</v>
      </c>
      <c r="O730" s="644">
        <v>0</v>
      </c>
      <c r="P730" s="644">
        <v>0</v>
      </c>
      <c r="Q730" s="644">
        <v>0</v>
      </c>
      <c r="R730" s="644">
        <v>0</v>
      </c>
      <c r="S730" s="644">
        <v>0</v>
      </c>
      <c r="T730" s="644">
        <v>0</v>
      </c>
      <c r="U730" s="644">
        <v>0</v>
      </c>
      <c r="V730" s="644">
        <v>0</v>
      </c>
      <c r="W730" s="632">
        <v>0</v>
      </c>
      <c r="X730" s="632">
        <v>696000</v>
      </c>
    </row>
    <row r="731" spans="1:24" ht="22.5">
      <c r="A731" s="645">
        <v>713</v>
      </c>
      <c r="B731" s="643" t="s">
        <v>1119</v>
      </c>
      <c r="C731" s="645" t="s">
        <v>443</v>
      </c>
      <c r="D731" s="645" t="s">
        <v>1118</v>
      </c>
      <c r="E731" s="645" t="s">
        <v>900</v>
      </c>
      <c r="F731" s="645" t="s">
        <v>1114</v>
      </c>
      <c r="G731" s="645" t="s">
        <v>777</v>
      </c>
      <c r="H731" s="644">
        <v>0</v>
      </c>
      <c r="I731" s="644">
        <v>23360000</v>
      </c>
      <c r="J731" s="644">
        <v>23360000</v>
      </c>
      <c r="K731" s="644">
        <v>0</v>
      </c>
      <c r="L731" s="644">
        <v>0</v>
      </c>
      <c r="M731" s="644">
        <v>-23360000</v>
      </c>
      <c r="N731" s="644">
        <v>0</v>
      </c>
      <c r="O731" s="644">
        <v>0</v>
      </c>
      <c r="P731" s="644">
        <v>0</v>
      </c>
      <c r="Q731" s="644">
        <v>0</v>
      </c>
      <c r="R731" s="644">
        <v>0</v>
      </c>
      <c r="S731" s="644">
        <v>0</v>
      </c>
      <c r="T731" s="644">
        <v>0</v>
      </c>
      <c r="U731" s="644">
        <v>0</v>
      </c>
      <c r="V731" s="644">
        <v>0</v>
      </c>
      <c r="W731" s="632">
        <v>0</v>
      </c>
      <c r="X731" s="632">
        <v>0</v>
      </c>
    </row>
    <row r="732" spans="1:24" ht="22.5">
      <c r="A732" s="645">
        <v>714</v>
      </c>
      <c r="B732" s="643" t="s">
        <v>1119</v>
      </c>
      <c r="C732" s="645" t="s">
        <v>443</v>
      </c>
      <c r="D732" s="645" t="s">
        <v>1118</v>
      </c>
      <c r="E732" s="645" t="s">
        <v>1115</v>
      </c>
      <c r="F732" s="645" t="s">
        <v>1114</v>
      </c>
      <c r="G732" s="645" t="s">
        <v>777</v>
      </c>
      <c r="H732" s="644">
        <v>33153000</v>
      </c>
      <c r="I732" s="644">
        <v>0</v>
      </c>
      <c r="J732" s="644">
        <v>0</v>
      </c>
      <c r="K732" s="644">
        <v>0</v>
      </c>
      <c r="L732" s="644">
        <v>0</v>
      </c>
      <c r="M732" s="644">
        <v>0</v>
      </c>
      <c r="N732" s="644">
        <v>33153000</v>
      </c>
      <c r="O732" s="644">
        <v>0</v>
      </c>
      <c r="P732" s="644">
        <v>33153000</v>
      </c>
      <c r="Q732" s="644">
        <v>33153000</v>
      </c>
      <c r="R732" s="644">
        <v>0</v>
      </c>
      <c r="S732" s="644">
        <v>0</v>
      </c>
      <c r="T732" s="644">
        <v>0</v>
      </c>
      <c r="U732" s="644">
        <v>0</v>
      </c>
      <c r="V732" s="644">
        <v>0</v>
      </c>
      <c r="W732" s="632">
        <v>0</v>
      </c>
      <c r="X732" s="632">
        <v>17432000</v>
      </c>
    </row>
    <row r="733" spans="1:24">
      <c r="A733" s="645">
        <v>715</v>
      </c>
      <c r="B733" s="643" t="s">
        <v>1121</v>
      </c>
      <c r="C733" s="645" t="s">
        <v>443</v>
      </c>
      <c r="D733" s="645" t="s">
        <v>1118</v>
      </c>
      <c r="E733" s="645" t="s">
        <v>905</v>
      </c>
      <c r="F733" s="645" t="s">
        <v>1114</v>
      </c>
      <c r="G733" s="645" t="s">
        <v>777</v>
      </c>
      <c r="H733" s="644">
        <v>0</v>
      </c>
      <c r="I733" s="644">
        <v>34075000</v>
      </c>
      <c r="J733" s="644">
        <v>34075000</v>
      </c>
      <c r="K733" s="644">
        <v>0</v>
      </c>
      <c r="L733" s="644">
        <v>0</v>
      </c>
      <c r="M733" s="644">
        <v>-34075000</v>
      </c>
      <c r="N733" s="644">
        <v>0</v>
      </c>
      <c r="O733" s="644">
        <v>0</v>
      </c>
      <c r="P733" s="644">
        <v>0</v>
      </c>
      <c r="Q733" s="644">
        <v>0</v>
      </c>
      <c r="R733" s="644">
        <v>0</v>
      </c>
      <c r="S733" s="644">
        <v>0</v>
      </c>
      <c r="T733" s="644">
        <v>0</v>
      </c>
      <c r="U733" s="644">
        <v>0</v>
      </c>
      <c r="V733" s="644">
        <v>0</v>
      </c>
      <c r="W733" s="632">
        <v>0</v>
      </c>
      <c r="X733" s="632">
        <v>0</v>
      </c>
    </row>
    <row r="734" spans="1:24">
      <c r="A734" s="645">
        <v>716</v>
      </c>
      <c r="B734" s="643" t="s">
        <v>1121</v>
      </c>
      <c r="C734" s="645" t="s">
        <v>443</v>
      </c>
      <c r="D734" s="645" t="s">
        <v>1118</v>
      </c>
      <c r="E734" s="645" t="s">
        <v>1115</v>
      </c>
      <c r="F734" s="645" t="s">
        <v>1114</v>
      </c>
      <c r="G734" s="645" t="s">
        <v>777</v>
      </c>
      <c r="H734" s="644">
        <v>9293000</v>
      </c>
      <c r="I734" s="644">
        <v>0</v>
      </c>
      <c r="J734" s="644">
        <v>0</v>
      </c>
      <c r="K734" s="644">
        <v>0</v>
      </c>
      <c r="L734" s="644">
        <v>0</v>
      </c>
      <c r="M734" s="644">
        <v>0</v>
      </c>
      <c r="N734" s="644">
        <v>9293000</v>
      </c>
      <c r="O734" s="644">
        <v>0</v>
      </c>
      <c r="P734" s="644">
        <v>9293000</v>
      </c>
      <c r="Q734" s="644">
        <v>9293000</v>
      </c>
      <c r="R734" s="644">
        <v>0</v>
      </c>
      <c r="S734" s="644">
        <v>0</v>
      </c>
      <c r="T734" s="644">
        <v>0</v>
      </c>
      <c r="U734" s="644">
        <v>0</v>
      </c>
      <c r="V734" s="644">
        <v>0</v>
      </c>
      <c r="W734" s="632">
        <v>0</v>
      </c>
      <c r="X734" s="632">
        <v>0</v>
      </c>
    </row>
    <row r="735" spans="1:24" ht="22.5">
      <c r="A735" s="645">
        <v>717</v>
      </c>
      <c r="B735" s="643" t="s">
        <v>1122</v>
      </c>
      <c r="C735" s="645" t="s">
        <v>443</v>
      </c>
      <c r="D735" s="645" t="s">
        <v>1118</v>
      </c>
      <c r="E735" s="645" t="s">
        <v>904</v>
      </c>
      <c r="F735" s="645" t="s">
        <v>1114</v>
      </c>
      <c r="G735" s="645" t="s">
        <v>777</v>
      </c>
      <c r="H735" s="644">
        <v>0</v>
      </c>
      <c r="I735" s="644">
        <v>23110000</v>
      </c>
      <c r="J735" s="644">
        <v>23110000</v>
      </c>
      <c r="K735" s="644">
        <v>0</v>
      </c>
      <c r="L735" s="644">
        <v>0</v>
      </c>
      <c r="M735" s="644">
        <v>-23110000</v>
      </c>
      <c r="N735" s="644">
        <v>0</v>
      </c>
      <c r="O735" s="644">
        <v>0</v>
      </c>
      <c r="P735" s="644">
        <v>0</v>
      </c>
      <c r="Q735" s="644">
        <v>0</v>
      </c>
      <c r="R735" s="644">
        <v>0</v>
      </c>
      <c r="S735" s="644">
        <v>0</v>
      </c>
      <c r="T735" s="644">
        <v>0</v>
      </c>
      <c r="U735" s="644">
        <v>0</v>
      </c>
      <c r="V735" s="644">
        <v>0</v>
      </c>
      <c r="W735" s="632">
        <v>0</v>
      </c>
      <c r="X735" s="632">
        <v>2089093</v>
      </c>
    </row>
    <row r="736" spans="1:24">
      <c r="A736" s="645">
        <v>718</v>
      </c>
      <c r="B736" s="643" t="s">
        <v>1123</v>
      </c>
      <c r="C736" s="645" t="s">
        <v>443</v>
      </c>
      <c r="D736" s="645" t="s">
        <v>1124</v>
      </c>
      <c r="E736" s="645" t="s">
        <v>905</v>
      </c>
      <c r="F736" s="645" t="s">
        <v>1114</v>
      </c>
      <c r="G736" s="645" t="s">
        <v>777</v>
      </c>
      <c r="H736" s="644">
        <v>0</v>
      </c>
      <c r="I736" s="644">
        <v>36548000</v>
      </c>
      <c r="J736" s="644">
        <v>36548000</v>
      </c>
      <c r="K736" s="644">
        <v>0</v>
      </c>
      <c r="L736" s="644">
        <v>0</v>
      </c>
      <c r="M736" s="644">
        <v>-36548000</v>
      </c>
      <c r="N736" s="644">
        <v>0</v>
      </c>
      <c r="O736" s="644">
        <v>0</v>
      </c>
      <c r="P736" s="644">
        <v>0</v>
      </c>
      <c r="Q736" s="644">
        <v>0</v>
      </c>
      <c r="R736" s="644">
        <v>0</v>
      </c>
      <c r="S736" s="644">
        <v>0</v>
      </c>
      <c r="T736" s="644">
        <v>0</v>
      </c>
      <c r="U736" s="644">
        <v>0</v>
      </c>
      <c r="V736" s="644">
        <v>0</v>
      </c>
      <c r="W736" s="632">
        <v>0</v>
      </c>
      <c r="X736" s="632">
        <v>221371000</v>
      </c>
    </row>
    <row r="737" spans="1:24">
      <c r="A737" s="645">
        <v>719</v>
      </c>
      <c r="B737" s="643" t="s">
        <v>1123</v>
      </c>
      <c r="C737" s="645" t="s">
        <v>443</v>
      </c>
      <c r="D737" s="645" t="s">
        <v>1124</v>
      </c>
      <c r="E737" s="645" t="s">
        <v>1115</v>
      </c>
      <c r="F737" s="645" t="s">
        <v>1114</v>
      </c>
      <c r="G737" s="645" t="s">
        <v>777</v>
      </c>
      <c r="H737" s="644">
        <v>59000000</v>
      </c>
      <c r="I737" s="644">
        <v>0</v>
      </c>
      <c r="J737" s="644">
        <v>0</v>
      </c>
      <c r="K737" s="644">
        <v>0</v>
      </c>
      <c r="L737" s="644">
        <v>0</v>
      </c>
      <c r="M737" s="644">
        <v>0</v>
      </c>
      <c r="N737" s="644">
        <v>59000000</v>
      </c>
      <c r="O737" s="644">
        <v>0</v>
      </c>
      <c r="P737" s="644">
        <v>59000000</v>
      </c>
      <c r="Q737" s="644">
        <v>59000000</v>
      </c>
      <c r="R737" s="644">
        <v>0</v>
      </c>
      <c r="S737" s="644">
        <v>0</v>
      </c>
      <c r="T737" s="644">
        <v>0</v>
      </c>
      <c r="U737" s="644">
        <v>0</v>
      </c>
      <c r="V737" s="644">
        <v>0</v>
      </c>
      <c r="W737" s="632">
        <v>0</v>
      </c>
      <c r="X737" s="632">
        <v>5499900</v>
      </c>
    </row>
    <row r="738" spans="1:24">
      <c r="A738" s="645">
        <v>720</v>
      </c>
      <c r="B738" s="643" t="s">
        <v>1126</v>
      </c>
      <c r="C738" s="645" t="s">
        <v>443</v>
      </c>
      <c r="D738" s="645" t="s">
        <v>1127</v>
      </c>
      <c r="E738" s="645" t="s">
        <v>890</v>
      </c>
      <c r="F738" s="645" t="s">
        <v>1114</v>
      </c>
      <c r="G738" s="645" t="s">
        <v>777</v>
      </c>
      <c r="H738" s="644">
        <v>0</v>
      </c>
      <c r="I738" s="644">
        <v>28592870</v>
      </c>
      <c r="J738" s="644">
        <v>28592870</v>
      </c>
      <c r="K738" s="644">
        <v>0</v>
      </c>
      <c r="L738" s="644">
        <v>0</v>
      </c>
      <c r="M738" s="644">
        <v>-28592870</v>
      </c>
      <c r="N738" s="644">
        <v>0</v>
      </c>
      <c r="O738" s="644">
        <v>0</v>
      </c>
      <c r="P738" s="644">
        <v>0</v>
      </c>
      <c r="Q738" s="644">
        <v>0</v>
      </c>
      <c r="R738" s="644">
        <v>0</v>
      </c>
      <c r="S738" s="644">
        <v>0</v>
      </c>
      <c r="T738" s="644">
        <v>0</v>
      </c>
      <c r="U738" s="644">
        <v>0</v>
      </c>
      <c r="V738" s="644">
        <v>0</v>
      </c>
      <c r="W738" s="632">
        <v>0</v>
      </c>
      <c r="X738" s="632">
        <v>0</v>
      </c>
    </row>
    <row r="739" spans="1:24">
      <c r="A739" s="645">
        <v>721</v>
      </c>
      <c r="B739" s="643" t="s">
        <v>1126</v>
      </c>
      <c r="C739" s="645" t="s">
        <v>443</v>
      </c>
      <c r="D739" s="645" t="s">
        <v>1127</v>
      </c>
      <c r="E739" s="645" t="s">
        <v>1115</v>
      </c>
      <c r="F739" s="645" t="s">
        <v>1114</v>
      </c>
      <c r="G739" s="645" t="s">
        <v>777</v>
      </c>
      <c r="H739" s="644">
        <v>3913164541</v>
      </c>
      <c r="I739" s="644">
        <v>0</v>
      </c>
      <c r="J739" s="644">
        <v>0</v>
      </c>
      <c r="K739" s="644">
        <v>0</v>
      </c>
      <c r="L739" s="644">
        <v>0</v>
      </c>
      <c r="M739" s="644">
        <v>0</v>
      </c>
      <c r="N739" s="644">
        <v>3913164541</v>
      </c>
      <c r="O739" s="644">
        <v>0</v>
      </c>
      <c r="P739" s="644">
        <v>3891269941</v>
      </c>
      <c r="Q739" s="644">
        <v>3891269941</v>
      </c>
      <c r="R739" s="644">
        <v>0</v>
      </c>
      <c r="S739" s="644">
        <v>0</v>
      </c>
      <c r="T739" s="644">
        <v>0</v>
      </c>
      <c r="U739" s="644">
        <v>0</v>
      </c>
      <c r="V739" s="644">
        <v>0</v>
      </c>
      <c r="W739" s="632">
        <v>0</v>
      </c>
      <c r="X739" s="632">
        <v>0</v>
      </c>
    </row>
    <row r="740" spans="1:24" ht="22.5">
      <c r="A740" s="645">
        <v>722</v>
      </c>
      <c r="B740" s="643" t="s">
        <v>1130</v>
      </c>
      <c r="C740" s="645" t="s">
        <v>443</v>
      </c>
      <c r="D740" s="645" t="s">
        <v>1127</v>
      </c>
      <c r="E740" s="645" t="s">
        <v>889</v>
      </c>
      <c r="F740" s="645" t="s">
        <v>1114</v>
      </c>
      <c r="G740" s="645" t="s">
        <v>777</v>
      </c>
      <c r="H740" s="644">
        <v>0</v>
      </c>
      <c r="I740" s="644">
        <v>79302286</v>
      </c>
      <c r="J740" s="644">
        <v>79302286</v>
      </c>
      <c r="K740" s="644">
        <v>0</v>
      </c>
      <c r="L740" s="644">
        <v>0</v>
      </c>
      <c r="M740" s="644">
        <v>-79302286</v>
      </c>
      <c r="N740" s="644">
        <v>0</v>
      </c>
      <c r="O740" s="644">
        <v>0</v>
      </c>
      <c r="P740" s="644">
        <v>0</v>
      </c>
      <c r="Q740" s="644">
        <v>0</v>
      </c>
      <c r="R740" s="644">
        <v>0</v>
      </c>
      <c r="S740" s="644">
        <v>0</v>
      </c>
      <c r="T740" s="644">
        <v>0</v>
      </c>
      <c r="U740" s="644">
        <v>0</v>
      </c>
      <c r="V740" s="644">
        <v>0</v>
      </c>
      <c r="W740" s="632">
        <v>0</v>
      </c>
      <c r="X740" s="632">
        <v>0</v>
      </c>
    </row>
    <row r="741" spans="1:24" ht="22.5">
      <c r="A741" s="645">
        <v>723</v>
      </c>
      <c r="B741" s="643" t="s">
        <v>1130</v>
      </c>
      <c r="C741" s="645" t="s">
        <v>443</v>
      </c>
      <c r="D741" s="645" t="s">
        <v>1127</v>
      </c>
      <c r="E741" s="645" t="s">
        <v>1115</v>
      </c>
      <c r="F741" s="645" t="s">
        <v>1114</v>
      </c>
      <c r="G741" s="645" t="s">
        <v>777</v>
      </c>
      <c r="H741" s="644">
        <v>207303709</v>
      </c>
      <c r="I741" s="644">
        <v>0</v>
      </c>
      <c r="J741" s="644">
        <v>0</v>
      </c>
      <c r="K741" s="644">
        <v>0</v>
      </c>
      <c r="L741" s="644">
        <v>0</v>
      </c>
      <c r="M741" s="644">
        <v>0</v>
      </c>
      <c r="N741" s="644">
        <v>207303709</v>
      </c>
      <c r="O741" s="644">
        <v>0</v>
      </c>
      <c r="P741" s="644">
        <v>207303709</v>
      </c>
      <c r="Q741" s="644">
        <v>207303709</v>
      </c>
      <c r="R741" s="644">
        <v>0</v>
      </c>
      <c r="S741" s="644">
        <v>0</v>
      </c>
      <c r="T741" s="644">
        <v>0</v>
      </c>
      <c r="U741" s="644">
        <v>0</v>
      </c>
      <c r="V741" s="644">
        <v>0</v>
      </c>
      <c r="W741" s="632">
        <v>0</v>
      </c>
      <c r="X741" s="632">
        <v>0</v>
      </c>
    </row>
    <row r="742" spans="1:24" ht="22.5">
      <c r="A742" s="645">
        <v>724</v>
      </c>
      <c r="B742" s="643" t="s">
        <v>1131</v>
      </c>
      <c r="C742" s="645" t="s">
        <v>443</v>
      </c>
      <c r="D742" s="645" t="s">
        <v>1127</v>
      </c>
      <c r="E742" s="645" t="s">
        <v>889</v>
      </c>
      <c r="F742" s="645" t="s">
        <v>1114</v>
      </c>
      <c r="G742" s="645" t="s">
        <v>777</v>
      </c>
      <c r="H742" s="644">
        <v>0</v>
      </c>
      <c r="I742" s="644">
        <v>38270000</v>
      </c>
      <c r="J742" s="644">
        <v>38270000</v>
      </c>
      <c r="K742" s="644">
        <v>0</v>
      </c>
      <c r="L742" s="644">
        <v>0</v>
      </c>
      <c r="M742" s="644">
        <v>-38270000</v>
      </c>
      <c r="N742" s="644">
        <v>0</v>
      </c>
      <c r="O742" s="644">
        <v>0</v>
      </c>
      <c r="P742" s="644">
        <v>0</v>
      </c>
      <c r="Q742" s="644">
        <v>0</v>
      </c>
      <c r="R742" s="644">
        <v>0</v>
      </c>
      <c r="S742" s="644">
        <v>0</v>
      </c>
      <c r="T742" s="644">
        <v>0</v>
      </c>
      <c r="U742" s="644">
        <v>0</v>
      </c>
      <c r="V742" s="644">
        <v>0</v>
      </c>
      <c r="W742" s="632">
        <v>0</v>
      </c>
      <c r="X742" s="632">
        <v>0</v>
      </c>
    </row>
    <row r="743" spans="1:24" ht="22.5">
      <c r="A743" s="645">
        <v>725</v>
      </c>
      <c r="B743" s="643" t="s">
        <v>1131</v>
      </c>
      <c r="C743" s="645" t="s">
        <v>443</v>
      </c>
      <c r="D743" s="645" t="s">
        <v>1127</v>
      </c>
      <c r="E743" s="645" t="s">
        <v>1115</v>
      </c>
      <c r="F743" s="645" t="s">
        <v>1114</v>
      </c>
      <c r="G743" s="645" t="s">
        <v>777</v>
      </c>
      <c r="H743" s="644">
        <v>1317090147</v>
      </c>
      <c r="I743" s="644">
        <v>0</v>
      </c>
      <c r="J743" s="644">
        <v>0</v>
      </c>
      <c r="K743" s="644">
        <v>0</v>
      </c>
      <c r="L743" s="644">
        <v>0</v>
      </c>
      <c r="M743" s="644">
        <v>0</v>
      </c>
      <c r="N743" s="644">
        <v>1317090147</v>
      </c>
      <c r="O743" s="644">
        <v>0</v>
      </c>
      <c r="P743" s="644">
        <v>1317090147</v>
      </c>
      <c r="Q743" s="644">
        <v>1317090147</v>
      </c>
      <c r="R743" s="644">
        <v>0</v>
      </c>
      <c r="S743" s="644">
        <v>0</v>
      </c>
      <c r="T743" s="644">
        <v>0</v>
      </c>
      <c r="U743" s="644">
        <v>0</v>
      </c>
      <c r="V743" s="644">
        <v>0</v>
      </c>
      <c r="W743" s="632">
        <v>0</v>
      </c>
      <c r="X743" s="632">
        <v>0</v>
      </c>
    </row>
    <row r="744" spans="1:24">
      <c r="A744" s="645">
        <v>726</v>
      </c>
      <c r="B744" s="643" t="s">
        <v>1135</v>
      </c>
      <c r="C744" s="645" t="s">
        <v>443</v>
      </c>
      <c r="D744" s="645" t="s">
        <v>1127</v>
      </c>
      <c r="E744" s="645" t="s">
        <v>1115</v>
      </c>
      <c r="F744" s="645" t="s">
        <v>1114</v>
      </c>
      <c r="G744" s="645" t="s">
        <v>777</v>
      </c>
      <c r="H744" s="644">
        <v>2297186350</v>
      </c>
      <c r="I744" s="644">
        <v>0</v>
      </c>
      <c r="J744" s="644">
        <v>0</v>
      </c>
      <c r="K744" s="644">
        <v>0</v>
      </c>
      <c r="L744" s="644">
        <v>0</v>
      </c>
      <c r="M744" s="644">
        <v>0</v>
      </c>
      <c r="N744" s="644">
        <v>2297186350</v>
      </c>
      <c r="O744" s="644">
        <v>0</v>
      </c>
      <c r="P744" s="644">
        <v>2297186350</v>
      </c>
      <c r="Q744" s="644">
        <v>2297186350</v>
      </c>
      <c r="R744" s="644">
        <v>0</v>
      </c>
      <c r="S744" s="644">
        <v>0</v>
      </c>
      <c r="T744" s="644">
        <v>0</v>
      </c>
      <c r="U744" s="644">
        <v>0</v>
      </c>
      <c r="V744" s="644">
        <v>0</v>
      </c>
      <c r="W744" s="632">
        <v>0</v>
      </c>
      <c r="X744" s="632">
        <v>4281600</v>
      </c>
    </row>
    <row r="745" spans="1:24">
      <c r="A745" s="645">
        <v>727</v>
      </c>
      <c r="B745" s="643" t="s">
        <v>1136</v>
      </c>
      <c r="C745" s="645" t="s">
        <v>443</v>
      </c>
      <c r="D745" s="645" t="s">
        <v>1127</v>
      </c>
      <c r="E745" s="645" t="s">
        <v>1115</v>
      </c>
      <c r="F745" s="645" t="s">
        <v>1114</v>
      </c>
      <c r="G745" s="645" t="s">
        <v>777</v>
      </c>
      <c r="H745" s="644">
        <v>873966842</v>
      </c>
      <c r="I745" s="644">
        <v>0</v>
      </c>
      <c r="J745" s="644">
        <v>0</v>
      </c>
      <c r="K745" s="644">
        <v>0</v>
      </c>
      <c r="L745" s="644">
        <v>0</v>
      </c>
      <c r="M745" s="644">
        <v>0</v>
      </c>
      <c r="N745" s="644">
        <v>873966842</v>
      </c>
      <c r="O745" s="644">
        <v>0</v>
      </c>
      <c r="P745" s="644">
        <v>873966842</v>
      </c>
      <c r="Q745" s="644">
        <v>873966842</v>
      </c>
      <c r="R745" s="644">
        <v>0</v>
      </c>
      <c r="S745" s="644">
        <v>0</v>
      </c>
      <c r="T745" s="644">
        <v>0</v>
      </c>
      <c r="U745" s="644">
        <v>0</v>
      </c>
      <c r="V745" s="644">
        <v>0</v>
      </c>
      <c r="W745" s="632">
        <v>0</v>
      </c>
      <c r="X745" s="632">
        <v>0</v>
      </c>
    </row>
    <row r="746" spans="1:24">
      <c r="A746" s="645">
        <v>728</v>
      </c>
      <c r="B746" s="643" t="s">
        <v>1137</v>
      </c>
      <c r="C746" s="645" t="s">
        <v>443</v>
      </c>
      <c r="D746" s="645" t="s">
        <v>1127</v>
      </c>
      <c r="E746" s="645" t="s">
        <v>1115</v>
      </c>
      <c r="F746" s="645" t="s">
        <v>1114</v>
      </c>
      <c r="G746" s="645" t="s">
        <v>777</v>
      </c>
      <c r="H746" s="644">
        <v>2697017931</v>
      </c>
      <c r="I746" s="644">
        <v>0</v>
      </c>
      <c r="J746" s="644">
        <v>0</v>
      </c>
      <c r="K746" s="644">
        <v>0</v>
      </c>
      <c r="L746" s="644">
        <v>0</v>
      </c>
      <c r="M746" s="644">
        <v>0</v>
      </c>
      <c r="N746" s="644">
        <v>2697017931</v>
      </c>
      <c r="O746" s="644">
        <v>0</v>
      </c>
      <c r="P746" s="644">
        <v>2697017931</v>
      </c>
      <c r="Q746" s="644">
        <v>2697017931</v>
      </c>
      <c r="R746" s="644">
        <v>0</v>
      </c>
      <c r="S746" s="644">
        <v>0</v>
      </c>
      <c r="T746" s="644">
        <v>0</v>
      </c>
      <c r="U746" s="644">
        <v>0</v>
      </c>
      <c r="V746" s="644">
        <v>0</v>
      </c>
      <c r="W746" s="632">
        <v>0</v>
      </c>
      <c r="X746" s="632">
        <v>0</v>
      </c>
    </row>
    <row r="747" spans="1:24">
      <c r="A747" s="645">
        <v>729</v>
      </c>
      <c r="B747" s="643" t="s">
        <v>1138</v>
      </c>
      <c r="C747" s="645" t="s">
        <v>443</v>
      </c>
      <c r="D747" s="645" t="s">
        <v>1127</v>
      </c>
      <c r="E747" s="645" t="s">
        <v>1115</v>
      </c>
      <c r="F747" s="645" t="s">
        <v>1114</v>
      </c>
      <c r="G747" s="645" t="s">
        <v>777</v>
      </c>
      <c r="H747" s="644">
        <v>1124259325</v>
      </c>
      <c r="I747" s="644">
        <v>0</v>
      </c>
      <c r="J747" s="644">
        <v>0</v>
      </c>
      <c r="K747" s="644">
        <v>0</v>
      </c>
      <c r="L747" s="644">
        <v>0</v>
      </c>
      <c r="M747" s="644">
        <v>0</v>
      </c>
      <c r="N747" s="644">
        <v>1124259325</v>
      </c>
      <c r="O747" s="644">
        <v>0</v>
      </c>
      <c r="P747" s="644">
        <v>1124259325</v>
      </c>
      <c r="Q747" s="644">
        <v>1124259325</v>
      </c>
      <c r="R747" s="644">
        <v>0</v>
      </c>
      <c r="S747" s="644">
        <v>0</v>
      </c>
      <c r="T747" s="644">
        <v>0</v>
      </c>
      <c r="U747" s="644">
        <v>0</v>
      </c>
      <c r="V747" s="644">
        <v>0</v>
      </c>
      <c r="W747" s="632">
        <v>0</v>
      </c>
      <c r="X747" s="632">
        <v>15000000</v>
      </c>
    </row>
    <row r="748" spans="1:24">
      <c r="A748" s="645">
        <v>730</v>
      </c>
      <c r="B748" s="643" t="s">
        <v>1139</v>
      </c>
      <c r="C748" s="645" t="s">
        <v>443</v>
      </c>
      <c r="D748" s="645" t="s">
        <v>1127</v>
      </c>
      <c r="E748" s="645" t="s">
        <v>890</v>
      </c>
      <c r="F748" s="645" t="s">
        <v>1114</v>
      </c>
      <c r="G748" s="645" t="s">
        <v>777</v>
      </c>
      <c r="H748" s="644">
        <v>0</v>
      </c>
      <c r="I748" s="644">
        <v>40018000</v>
      </c>
      <c r="J748" s="644">
        <v>40018000</v>
      </c>
      <c r="K748" s="644">
        <v>0</v>
      </c>
      <c r="L748" s="644">
        <v>0</v>
      </c>
      <c r="M748" s="644">
        <v>-40018000</v>
      </c>
      <c r="N748" s="644">
        <v>0</v>
      </c>
      <c r="O748" s="644">
        <v>0</v>
      </c>
      <c r="P748" s="644">
        <v>0</v>
      </c>
      <c r="Q748" s="644">
        <v>0</v>
      </c>
      <c r="R748" s="644">
        <v>0</v>
      </c>
      <c r="S748" s="644">
        <v>0</v>
      </c>
      <c r="T748" s="644">
        <v>0</v>
      </c>
      <c r="U748" s="644">
        <v>0</v>
      </c>
      <c r="V748" s="644">
        <v>0</v>
      </c>
      <c r="W748" s="632">
        <v>0</v>
      </c>
      <c r="X748" s="632">
        <v>19551536</v>
      </c>
    </row>
    <row r="749" spans="1:24">
      <c r="A749" s="645">
        <v>731</v>
      </c>
      <c r="B749" s="643" t="s">
        <v>1139</v>
      </c>
      <c r="C749" s="645" t="s">
        <v>443</v>
      </c>
      <c r="D749" s="645" t="s">
        <v>1127</v>
      </c>
      <c r="E749" s="645" t="s">
        <v>1115</v>
      </c>
      <c r="F749" s="645" t="s">
        <v>1114</v>
      </c>
      <c r="G749" s="645" t="s">
        <v>777</v>
      </c>
      <c r="H749" s="644">
        <v>1262805950</v>
      </c>
      <c r="I749" s="644">
        <v>0</v>
      </c>
      <c r="J749" s="644">
        <v>0</v>
      </c>
      <c r="K749" s="644">
        <v>0</v>
      </c>
      <c r="L749" s="644">
        <v>0</v>
      </c>
      <c r="M749" s="644">
        <v>0</v>
      </c>
      <c r="N749" s="644">
        <v>1262805950</v>
      </c>
      <c r="O749" s="644">
        <v>0</v>
      </c>
      <c r="P749" s="644">
        <v>1262805950</v>
      </c>
      <c r="Q749" s="644">
        <v>1262805950</v>
      </c>
      <c r="R749" s="644">
        <v>0</v>
      </c>
      <c r="S749" s="644">
        <v>0</v>
      </c>
      <c r="T749" s="644">
        <v>0</v>
      </c>
      <c r="U749" s="644">
        <v>0</v>
      </c>
      <c r="V749" s="644">
        <v>0</v>
      </c>
      <c r="W749" s="632">
        <v>0</v>
      </c>
      <c r="X749" s="632">
        <v>500000</v>
      </c>
    </row>
    <row r="750" spans="1:24">
      <c r="A750" s="645">
        <v>732</v>
      </c>
      <c r="B750" s="643" t="s">
        <v>1140</v>
      </c>
      <c r="C750" s="645" t="s">
        <v>443</v>
      </c>
      <c r="D750" s="645" t="s">
        <v>1127</v>
      </c>
      <c r="E750" s="645" t="s">
        <v>892</v>
      </c>
      <c r="F750" s="645" t="s">
        <v>1114</v>
      </c>
      <c r="G750" s="645" t="s">
        <v>777</v>
      </c>
      <c r="H750" s="644">
        <v>0</v>
      </c>
      <c r="I750" s="644">
        <v>56590427</v>
      </c>
      <c r="J750" s="644">
        <v>56590427</v>
      </c>
      <c r="K750" s="644">
        <v>0</v>
      </c>
      <c r="L750" s="644">
        <v>0</v>
      </c>
      <c r="M750" s="644">
        <v>-56590427</v>
      </c>
      <c r="N750" s="644">
        <v>0</v>
      </c>
      <c r="O750" s="644">
        <v>0</v>
      </c>
      <c r="P750" s="644">
        <v>0</v>
      </c>
      <c r="Q750" s="644">
        <v>0</v>
      </c>
      <c r="R750" s="644">
        <v>0</v>
      </c>
      <c r="S750" s="644">
        <v>0</v>
      </c>
      <c r="T750" s="644">
        <v>0</v>
      </c>
      <c r="U750" s="644">
        <v>0</v>
      </c>
      <c r="V750" s="644">
        <v>0</v>
      </c>
      <c r="W750" s="632">
        <v>0</v>
      </c>
      <c r="X750" s="632">
        <v>0</v>
      </c>
    </row>
    <row r="751" spans="1:24">
      <c r="A751" s="645">
        <v>733</v>
      </c>
      <c r="B751" s="643" t="s">
        <v>1140</v>
      </c>
      <c r="C751" s="645" t="s">
        <v>443</v>
      </c>
      <c r="D751" s="645" t="s">
        <v>1127</v>
      </c>
      <c r="E751" s="645" t="s">
        <v>1115</v>
      </c>
      <c r="F751" s="645" t="s">
        <v>1114</v>
      </c>
      <c r="G751" s="645" t="s">
        <v>777</v>
      </c>
      <c r="H751" s="644">
        <v>909544219</v>
      </c>
      <c r="I751" s="644">
        <v>0</v>
      </c>
      <c r="J751" s="644">
        <v>0</v>
      </c>
      <c r="K751" s="644">
        <v>0</v>
      </c>
      <c r="L751" s="644">
        <v>0</v>
      </c>
      <c r="M751" s="644">
        <v>0</v>
      </c>
      <c r="N751" s="644">
        <v>909544219</v>
      </c>
      <c r="O751" s="644">
        <v>0</v>
      </c>
      <c r="P751" s="644">
        <v>898141920</v>
      </c>
      <c r="Q751" s="644">
        <v>898141920</v>
      </c>
      <c r="R751" s="644">
        <v>0</v>
      </c>
      <c r="S751" s="644">
        <v>0</v>
      </c>
      <c r="T751" s="644">
        <v>0</v>
      </c>
      <c r="U751" s="644">
        <v>0</v>
      </c>
      <c r="V751" s="644">
        <v>0</v>
      </c>
      <c r="W751" s="632">
        <v>0</v>
      </c>
      <c r="X751" s="632">
        <v>0</v>
      </c>
    </row>
    <row r="752" spans="1:24">
      <c r="A752" s="645">
        <v>734</v>
      </c>
      <c r="B752" s="643" t="s">
        <v>1141</v>
      </c>
      <c r="C752" s="645" t="s">
        <v>443</v>
      </c>
      <c r="D752" s="645" t="s">
        <v>1127</v>
      </c>
      <c r="E752" s="645" t="s">
        <v>890</v>
      </c>
      <c r="F752" s="645" t="s">
        <v>1114</v>
      </c>
      <c r="G752" s="645" t="s">
        <v>777</v>
      </c>
      <c r="H752" s="644">
        <v>0</v>
      </c>
      <c r="I752" s="644">
        <v>39835800</v>
      </c>
      <c r="J752" s="644">
        <v>39835800</v>
      </c>
      <c r="K752" s="644">
        <v>0</v>
      </c>
      <c r="L752" s="644">
        <v>0</v>
      </c>
      <c r="M752" s="644">
        <v>-39835800</v>
      </c>
      <c r="N752" s="644">
        <v>0</v>
      </c>
      <c r="O752" s="644">
        <v>0</v>
      </c>
      <c r="P752" s="644">
        <v>0</v>
      </c>
      <c r="Q752" s="644">
        <v>0</v>
      </c>
      <c r="R752" s="644">
        <v>0</v>
      </c>
      <c r="S752" s="644">
        <v>0</v>
      </c>
      <c r="T752" s="644">
        <v>0</v>
      </c>
      <c r="U752" s="644">
        <v>0</v>
      </c>
      <c r="V752" s="644">
        <v>0</v>
      </c>
      <c r="W752" s="632">
        <v>0</v>
      </c>
      <c r="X752" s="632">
        <v>0</v>
      </c>
    </row>
    <row r="753" spans="1:24">
      <c r="A753" s="645">
        <v>735</v>
      </c>
      <c r="B753" s="643" t="s">
        <v>1141</v>
      </c>
      <c r="C753" s="645" t="s">
        <v>443</v>
      </c>
      <c r="D753" s="645" t="s">
        <v>1127</v>
      </c>
      <c r="E753" s="645" t="s">
        <v>1115</v>
      </c>
      <c r="F753" s="645" t="s">
        <v>1114</v>
      </c>
      <c r="G753" s="645" t="s">
        <v>777</v>
      </c>
      <c r="H753" s="644">
        <v>59266480</v>
      </c>
      <c r="I753" s="644">
        <v>0</v>
      </c>
      <c r="J753" s="644">
        <v>0</v>
      </c>
      <c r="K753" s="644">
        <v>0</v>
      </c>
      <c r="L753" s="644">
        <v>0</v>
      </c>
      <c r="M753" s="644">
        <v>0</v>
      </c>
      <c r="N753" s="644">
        <v>59266480</v>
      </c>
      <c r="O753" s="644">
        <v>0</v>
      </c>
      <c r="P753" s="644">
        <v>59266480</v>
      </c>
      <c r="Q753" s="644">
        <v>59266480</v>
      </c>
      <c r="R753" s="644">
        <v>0</v>
      </c>
      <c r="S753" s="644">
        <v>0</v>
      </c>
      <c r="T753" s="644">
        <v>0</v>
      </c>
      <c r="U753" s="644">
        <v>0</v>
      </c>
      <c r="V753" s="644">
        <v>0</v>
      </c>
      <c r="W753" s="632">
        <v>0</v>
      </c>
      <c r="X753" s="632">
        <v>0</v>
      </c>
    </row>
    <row r="754" spans="1:24">
      <c r="A754" s="645">
        <v>736</v>
      </c>
      <c r="B754" s="643" t="s">
        <v>1142</v>
      </c>
      <c r="C754" s="645" t="s">
        <v>443</v>
      </c>
      <c r="D754" s="645" t="s">
        <v>1127</v>
      </c>
      <c r="E754" s="645" t="s">
        <v>1115</v>
      </c>
      <c r="F754" s="645" t="s">
        <v>1114</v>
      </c>
      <c r="G754" s="645" t="s">
        <v>777</v>
      </c>
      <c r="H754" s="644">
        <v>2126072630</v>
      </c>
      <c r="I754" s="644">
        <v>0</v>
      </c>
      <c r="J754" s="644">
        <v>0</v>
      </c>
      <c r="K754" s="644">
        <v>0</v>
      </c>
      <c r="L754" s="644">
        <v>0</v>
      </c>
      <c r="M754" s="644">
        <v>0</v>
      </c>
      <c r="N754" s="644">
        <v>2126072630</v>
      </c>
      <c r="O754" s="644">
        <v>0</v>
      </c>
      <c r="P754" s="644">
        <v>2126072630</v>
      </c>
      <c r="Q754" s="644">
        <v>2126072630</v>
      </c>
      <c r="R754" s="644">
        <v>0</v>
      </c>
      <c r="S754" s="644">
        <v>0</v>
      </c>
      <c r="T754" s="644">
        <v>0</v>
      </c>
      <c r="U754" s="644">
        <v>0</v>
      </c>
      <c r="V754" s="644">
        <v>0</v>
      </c>
      <c r="W754" s="632">
        <v>0</v>
      </c>
      <c r="X754" s="632">
        <v>350120600</v>
      </c>
    </row>
    <row r="755" spans="1:24" ht="22.5">
      <c r="A755" s="645">
        <v>737</v>
      </c>
      <c r="B755" s="643" t="s">
        <v>1143</v>
      </c>
      <c r="C755" s="645" t="s">
        <v>443</v>
      </c>
      <c r="D755" s="645" t="s">
        <v>1127</v>
      </c>
      <c r="E755" s="645" t="s">
        <v>905</v>
      </c>
      <c r="F755" s="645" t="s">
        <v>1114</v>
      </c>
      <c r="G755" s="645" t="s">
        <v>777</v>
      </c>
      <c r="H755" s="644">
        <v>0</v>
      </c>
      <c r="I755" s="644">
        <v>565352000</v>
      </c>
      <c r="J755" s="644">
        <v>565352000</v>
      </c>
      <c r="K755" s="644">
        <v>0</v>
      </c>
      <c r="L755" s="644">
        <v>0</v>
      </c>
      <c r="M755" s="644">
        <v>-565352000</v>
      </c>
      <c r="N755" s="644">
        <v>0</v>
      </c>
      <c r="O755" s="644">
        <v>0</v>
      </c>
      <c r="P755" s="644">
        <v>0</v>
      </c>
      <c r="Q755" s="644">
        <v>0</v>
      </c>
      <c r="R755" s="644">
        <v>0</v>
      </c>
      <c r="S755" s="644">
        <v>0</v>
      </c>
      <c r="T755" s="644">
        <v>0</v>
      </c>
      <c r="U755" s="644">
        <v>0</v>
      </c>
      <c r="V755" s="644">
        <v>0</v>
      </c>
      <c r="W755" s="632">
        <v>0</v>
      </c>
      <c r="X755" s="632">
        <v>500000</v>
      </c>
    </row>
    <row r="756" spans="1:24" ht="22.5">
      <c r="A756" s="645">
        <v>738</v>
      </c>
      <c r="B756" s="643" t="s">
        <v>1143</v>
      </c>
      <c r="C756" s="645" t="s">
        <v>443</v>
      </c>
      <c r="D756" s="645" t="s">
        <v>1127</v>
      </c>
      <c r="E756" s="645" t="s">
        <v>1115</v>
      </c>
      <c r="F756" s="645" t="s">
        <v>1114</v>
      </c>
      <c r="G756" s="645" t="s">
        <v>777</v>
      </c>
      <c r="H756" s="644">
        <v>405651561</v>
      </c>
      <c r="I756" s="644">
        <v>0</v>
      </c>
      <c r="J756" s="644">
        <v>0</v>
      </c>
      <c r="K756" s="644">
        <v>0</v>
      </c>
      <c r="L756" s="644">
        <v>0</v>
      </c>
      <c r="M756" s="644">
        <v>0</v>
      </c>
      <c r="N756" s="644">
        <v>405651561</v>
      </c>
      <c r="O756" s="644">
        <v>0</v>
      </c>
      <c r="P756" s="644">
        <v>405651561</v>
      </c>
      <c r="Q756" s="644">
        <v>405651561</v>
      </c>
      <c r="R756" s="644">
        <v>0</v>
      </c>
      <c r="S756" s="644">
        <v>0</v>
      </c>
      <c r="T756" s="644">
        <v>0</v>
      </c>
      <c r="U756" s="644">
        <v>0</v>
      </c>
      <c r="V756" s="644">
        <v>0</v>
      </c>
      <c r="W756" s="632">
        <v>0</v>
      </c>
      <c r="X756" s="632">
        <v>2400000</v>
      </c>
    </row>
    <row r="757" spans="1:24" ht="22.5">
      <c r="A757" s="645">
        <v>739</v>
      </c>
      <c r="B757" s="643" t="s">
        <v>1144</v>
      </c>
      <c r="C757" s="645" t="s">
        <v>443</v>
      </c>
      <c r="D757" s="645" t="s">
        <v>1127</v>
      </c>
      <c r="E757" s="645" t="s">
        <v>889</v>
      </c>
      <c r="F757" s="645" t="s">
        <v>1114</v>
      </c>
      <c r="G757" s="645" t="s">
        <v>777</v>
      </c>
      <c r="H757" s="644">
        <v>0</v>
      </c>
      <c r="I757" s="644">
        <v>167377226</v>
      </c>
      <c r="J757" s="644">
        <v>167377226</v>
      </c>
      <c r="K757" s="644">
        <v>0</v>
      </c>
      <c r="L757" s="644">
        <v>0</v>
      </c>
      <c r="M757" s="644">
        <v>-167377226</v>
      </c>
      <c r="N757" s="644">
        <v>0</v>
      </c>
      <c r="O757" s="644">
        <v>0</v>
      </c>
      <c r="P757" s="644">
        <v>0</v>
      </c>
      <c r="Q757" s="644">
        <v>0</v>
      </c>
      <c r="R757" s="644">
        <v>0</v>
      </c>
      <c r="S757" s="644">
        <v>0</v>
      </c>
      <c r="T757" s="644">
        <v>0</v>
      </c>
      <c r="U757" s="644">
        <v>0</v>
      </c>
      <c r="V757" s="644">
        <v>0</v>
      </c>
      <c r="W757" s="632">
        <v>0</v>
      </c>
      <c r="X757" s="632">
        <v>0</v>
      </c>
    </row>
    <row r="758" spans="1:24" ht="22.5">
      <c r="A758" s="645">
        <v>740</v>
      </c>
      <c r="B758" s="643" t="s">
        <v>1145</v>
      </c>
      <c r="C758" s="645" t="s">
        <v>443</v>
      </c>
      <c r="D758" s="645" t="s">
        <v>1127</v>
      </c>
      <c r="E758" s="645" t="s">
        <v>1115</v>
      </c>
      <c r="F758" s="645" t="s">
        <v>1114</v>
      </c>
      <c r="G758" s="645" t="s">
        <v>777</v>
      </c>
      <c r="H758" s="644">
        <v>687260524</v>
      </c>
      <c r="I758" s="644">
        <v>0</v>
      </c>
      <c r="J758" s="644">
        <v>0</v>
      </c>
      <c r="K758" s="644">
        <v>0</v>
      </c>
      <c r="L758" s="644">
        <v>0</v>
      </c>
      <c r="M758" s="644">
        <v>0</v>
      </c>
      <c r="N758" s="644">
        <v>687260524</v>
      </c>
      <c r="O758" s="644">
        <v>0</v>
      </c>
      <c r="P758" s="644">
        <v>685067424</v>
      </c>
      <c r="Q758" s="644">
        <v>685067424</v>
      </c>
      <c r="R758" s="644">
        <v>0</v>
      </c>
      <c r="S758" s="644">
        <v>2193100</v>
      </c>
      <c r="T758" s="644">
        <v>2193100</v>
      </c>
      <c r="U758" s="644">
        <v>0</v>
      </c>
      <c r="V758" s="644">
        <v>0</v>
      </c>
      <c r="W758" s="632">
        <v>0</v>
      </c>
      <c r="X758" s="632">
        <v>0</v>
      </c>
    </row>
    <row r="759" spans="1:24" ht="22.5">
      <c r="A759" s="645">
        <v>741</v>
      </c>
      <c r="B759" s="643" t="s">
        <v>1146</v>
      </c>
      <c r="C759" s="645" t="s">
        <v>443</v>
      </c>
      <c r="D759" s="645" t="s">
        <v>1127</v>
      </c>
      <c r="E759" s="645" t="s">
        <v>889</v>
      </c>
      <c r="F759" s="645" t="s">
        <v>1114</v>
      </c>
      <c r="G759" s="645" t="s">
        <v>777</v>
      </c>
      <c r="H759" s="644">
        <v>0</v>
      </c>
      <c r="I759" s="644">
        <v>145648000</v>
      </c>
      <c r="J759" s="644">
        <v>145648000</v>
      </c>
      <c r="K759" s="644">
        <v>0</v>
      </c>
      <c r="L759" s="644">
        <v>0</v>
      </c>
      <c r="M759" s="644">
        <v>-145648000</v>
      </c>
      <c r="N759" s="644">
        <v>0</v>
      </c>
      <c r="O759" s="644">
        <v>0</v>
      </c>
      <c r="P759" s="644">
        <v>0</v>
      </c>
      <c r="Q759" s="644">
        <v>0</v>
      </c>
      <c r="R759" s="644">
        <v>0</v>
      </c>
      <c r="S759" s="644">
        <v>0</v>
      </c>
      <c r="T759" s="644">
        <v>0</v>
      </c>
      <c r="U759" s="644">
        <v>0</v>
      </c>
      <c r="V759" s="644">
        <v>0</v>
      </c>
      <c r="W759" s="632">
        <v>0</v>
      </c>
      <c r="X759" s="632">
        <v>0</v>
      </c>
    </row>
    <row r="760" spans="1:24" ht="22.5">
      <c r="A760" s="645">
        <v>742</v>
      </c>
      <c r="B760" s="643" t="s">
        <v>1146</v>
      </c>
      <c r="C760" s="645" t="s">
        <v>443</v>
      </c>
      <c r="D760" s="645" t="s">
        <v>1127</v>
      </c>
      <c r="E760" s="645" t="s">
        <v>1115</v>
      </c>
      <c r="F760" s="645" t="s">
        <v>1114</v>
      </c>
      <c r="G760" s="645" t="s">
        <v>777</v>
      </c>
      <c r="H760" s="644">
        <v>41591480</v>
      </c>
      <c r="I760" s="644">
        <v>0</v>
      </c>
      <c r="J760" s="644">
        <v>0</v>
      </c>
      <c r="K760" s="644">
        <v>0</v>
      </c>
      <c r="L760" s="644">
        <v>0</v>
      </c>
      <c r="M760" s="644">
        <v>0</v>
      </c>
      <c r="N760" s="644">
        <v>41591480</v>
      </c>
      <c r="O760" s="644">
        <v>0</v>
      </c>
      <c r="P760" s="644">
        <v>41591480</v>
      </c>
      <c r="Q760" s="644">
        <v>41591480</v>
      </c>
      <c r="R760" s="644">
        <v>0</v>
      </c>
      <c r="S760" s="644">
        <v>0</v>
      </c>
      <c r="T760" s="644">
        <v>0</v>
      </c>
      <c r="U760" s="644">
        <v>0</v>
      </c>
      <c r="V760" s="644">
        <v>0</v>
      </c>
      <c r="W760" s="632">
        <v>0</v>
      </c>
      <c r="X760" s="632">
        <v>0</v>
      </c>
    </row>
    <row r="761" spans="1:24" ht="22.5">
      <c r="A761" s="645">
        <v>743</v>
      </c>
      <c r="B761" s="643" t="s">
        <v>1147</v>
      </c>
      <c r="C761" s="645" t="s">
        <v>443</v>
      </c>
      <c r="D761" s="645" t="s">
        <v>1127</v>
      </c>
      <c r="E761" s="645" t="s">
        <v>904</v>
      </c>
      <c r="F761" s="645" t="s">
        <v>1114</v>
      </c>
      <c r="G761" s="645" t="s">
        <v>777</v>
      </c>
      <c r="H761" s="644">
        <v>0</v>
      </c>
      <c r="I761" s="644">
        <v>23434170</v>
      </c>
      <c r="J761" s="644">
        <v>23434170</v>
      </c>
      <c r="K761" s="644">
        <v>0</v>
      </c>
      <c r="L761" s="644">
        <v>0</v>
      </c>
      <c r="M761" s="644">
        <v>-23434170</v>
      </c>
      <c r="N761" s="644">
        <v>0</v>
      </c>
      <c r="O761" s="644">
        <v>0</v>
      </c>
      <c r="P761" s="644">
        <v>0</v>
      </c>
      <c r="Q761" s="644">
        <v>0</v>
      </c>
      <c r="R761" s="644">
        <v>0</v>
      </c>
      <c r="S761" s="644">
        <v>0</v>
      </c>
      <c r="T761" s="644">
        <v>0</v>
      </c>
      <c r="U761" s="644">
        <v>0</v>
      </c>
      <c r="V761" s="644">
        <v>0</v>
      </c>
      <c r="W761" s="632">
        <v>0</v>
      </c>
      <c r="X761" s="632">
        <v>0</v>
      </c>
    </row>
    <row r="762" spans="1:24">
      <c r="A762" s="645">
        <v>744</v>
      </c>
      <c r="B762" s="643" t="s">
        <v>1148</v>
      </c>
      <c r="C762" s="645" t="s">
        <v>443</v>
      </c>
      <c r="D762" s="645" t="s">
        <v>1127</v>
      </c>
      <c r="E762" s="645" t="s">
        <v>891</v>
      </c>
      <c r="F762" s="645" t="s">
        <v>1114</v>
      </c>
      <c r="G762" s="645" t="s">
        <v>777</v>
      </c>
      <c r="H762" s="644">
        <v>0</v>
      </c>
      <c r="I762" s="644">
        <v>23499000</v>
      </c>
      <c r="J762" s="644">
        <v>23499000</v>
      </c>
      <c r="K762" s="644">
        <v>0</v>
      </c>
      <c r="L762" s="644">
        <v>0</v>
      </c>
      <c r="M762" s="644">
        <v>-23499000</v>
      </c>
      <c r="N762" s="644">
        <v>0</v>
      </c>
      <c r="O762" s="644">
        <v>0</v>
      </c>
      <c r="P762" s="644">
        <v>0</v>
      </c>
      <c r="Q762" s="644">
        <v>0</v>
      </c>
      <c r="R762" s="644">
        <v>0</v>
      </c>
      <c r="S762" s="644">
        <v>0</v>
      </c>
      <c r="T762" s="644">
        <v>0</v>
      </c>
      <c r="U762" s="644">
        <v>0</v>
      </c>
      <c r="V762" s="644">
        <v>0</v>
      </c>
      <c r="W762" s="632">
        <v>0</v>
      </c>
      <c r="X762" s="632">
        <v>0</v>
      </c>
    </row>
    <row r="763" spans="1:24">
      <c r="A763" s="645">
        <v>745</v>
      </c>
      <c r="B763" s="643" t="s">
        <v>1148</v>
      </c>
      <c r="C763" s="645" t="s">
        <v>443</v>
      </c>
      <c r="D763" s="645" t="s">
        <v>1127</v>
      </c>
      <c r="E763" s="645" t="s">
        <v>1115</v>
      </c>
      <c r="F763" s="645" t="s">
        <v>1114</v>
      </c>
      <c r="G763" s="645" t="s">
        <v>777</v>
      </c>
      <c r="H763" s="644">
        <v>96884300</v>
      </c>
      <c r="I763" s="644">
        <v>0</v>
      </c>
      <c r="J763" s="644">
        <v>0</v>
      </c>
      <c r="K763" s="644">
        <v>0</v>
      </c>
      <c r="L763" s="644">
        <v>0</v>
      </c>
      <c r="M763" s="644">
        <v>0</v>
      </c>
      <c r="N763" s="644">
        <v>96884300</v>
      </c>
      <c r="O763" s="644">
        <v>0</v>
      </c>
      <c r="P763" s="644">
        <v>96884300</v>
      </c>
      <c r="Q763" s="644">
        <v>96884300</v>
      </c>
      <c r="R763" s="644">
        <v>0</v>
      </c>
      <c r="S763" s="644">
        <v>0</v>
      </c>
      <c r="T763" s="644">
        <v>0</v>
      </c>
      <c r="U763" s="644">
        <v>0</v>
      </c>
      <c r="V763" s="644">
        <v>0</v>
      </c>
      <c r="W763" s="632">
        <v>0</v>
      </c>
      <c r="X763" s="632">
        <v>0</v>
      </c>
    </row>
    <row r="764" spans="1:24">
      <c r="A764" s="645">
        <v>746</v>
      </c>
      <c r="B764" s="643" t="s">
        <v>1149</v>
      </c>
      <c r="C764" s="645" t="s">
        <v>443</v>
      </c>
      <c r="D764" s="645" t="s">
        <v>1127</v>
      </c>
      <c r="E764" s="645" t="s">
        <v>893</v>
      </c>
      <c r="F764" s="645" t="s">
        <v>1114</v>
      </c>
      <c r="G764" s="645" t="s">
        <v>777</v>
      </c>
      <c r="H764" s="644">
        <v>0</v>
      </c>
      <c r="I764" s="644">
        <v>140476864</v>
      </c>
      <c r="J764" s="644">
        <v>140476864</v>
      </c>
      <c r="K764" s="644">
        <v>0</v>
      </c>
      <c r="L764" s="644">
        <v>0</v>
      </c>
      <c r="M764" s="644">
        <v>-140476864</v>
      </c>
      <c r="N764" s="644">
        <v>0</v>
      </c>
      <c r="O764" s="644">
        <v>0</v>
      </c>
      <c r="P764" s="644">
        <v>0</v>
      </c>
      <c r="Q764" s="644">
        <v>0</v>
      </c>
      <c r="R764" s="644">
        <v>0</v>
      </c>
      <c r="S764" s="644">
        <v>0</v>
      </c>
      <c r="T764" s="644">
        <v>0</v>
      </c>
      <c r="U764" s="644">
        <v>0</v>
      </c>
      <c r="V764" s="644">
        <v>0</v>
      </c>
      <c r="W764" s="632">
        <v>0</v>
      </c>
      <c r="X764" s="632">
        <v>0</v>
      </c>
    </row>
    <row r="765" spans="1:24">
      <c r="A765" s="645">
        <v>747</v>
      </c>
      <c r="B765" s="643" t="s">
        <v>1149</v>
      </c>
      <c r="C765" s="645" t="s">
        <v>443</v>
      </c>
      <c r="D765" s="645" t="s">
        <v>1127</v>
      </c>
      <c r="E765" s="645" t="s">
        <v>1115</v>
      </c>
      <c r="F765" s="645" t="s">
        <v>1114</v>
      </c>
      <c r="G765" s="645" t="s">
        <v>777</v>
      </c>
      <c r="H765" s="644">
        <v>33678000</v>
      </c>
      <c r="I765" s="644">
        <v>0</v>
      </c>
      <c r="J765" s="644">
        <v>0</v>
      </c>
      <c r="K765" s="644">
        <v>0</v>
      </c>
      <c r="L765" s="644">
        <v>0</v>
      </c>
      <c r="M765" s="644">
        <v>0</v>
      </c>
      <c r="N765" s="644">
        <v>33678000</v>
      </c>
      <c r="O765" s="644">
        <v>0</v>
      </c>
      <c r="P765" s="644">
        <v>33678000</v>
      </c>
      <c r="Q765" s="644">
        <v>33678000</v>
      </c>
      <c r="R765" s="644">
        <v>0</v>
      </c>
      <c r="S765" s="644">
        <v>0</v>
      </c>
      <c r="T765" s="644">
        <v>0</v>
      </c>
      <c r="U765" s="644">
        <v>0</v>
      </c>
      <c r="V765" s="644">
        <v>0</v>
      </c>
      <c r="W765" s="632">
        <v>0</v>
      </c>
      <c r="X765" s="632">
        <v>1032000</v>
      </c>
    </row>
    <row r="766" spans="1:24">
      <c r="A766" s="645">
        <v>748</v>
      </c>
      <c r="B766" s="643" t="s">
        <v>1151</v>
      </c>
      <c r="C766" s="645" t="s">
        <v>443</v>
      </c>
      <c r="D766" s="645" t="s">
        <v>1127</v>
      </c>
      <c r="E766" s="645" t="s">
        <v>891</v>
      </c>
      <c r="F766" s="645" t="s">
        <v>1114</v>
      </c>
      <c r="G766" s="645" t="s">
        <v>777</v>
      </c>
      <c r="H766" s="644">
        <v>0</v>
      </c>
      <c r="I766" s="644">
        <v>86214000</v>
      </c>
      <c r="J766" s="644">
        <v>86214000</v>
      </c>
      <c r="K766" s="644">
        <v>0</v>
      </c>
      <c r="L766" s="644">
        <v>0</v>
      </c>
      <c r="M766" s="644">
        <v>-86214000</v>
      </c>
      <c r="N766" s="644">
        <v>0</v>
      </c>
      <c r="O766" s="644">
        <v>0</v>
      </c>
      <c r="P766" s="644">
        <v>0</v>
      </c>
      <c r="Q766" s="644">
        <v>0</v>
      </c>
      <c r="R766" s="644">
        <v>0</v>
      </c>
      <c r="S766" s="644">
        <v>0</v>
      </c>
      <c r="T766" s="644">
        <v>0</v>
      </c>
      <c r="U766" s="644">
        <v>0</v>
      </c>
      <c r="V766" s="644">
        <v>0</v>
      </c>
      <c r="W766" s="632">
        <v>0</v>
      </c>
      <c r="X766" s="632">
        <v>60000</v>
      </c>
    </row>
    <row r="767" spans="1:24">
      <c r="A767" s="645">
        <v>749</v>
      </c>
      <c r="B767" s="643" t="s">
        <v>1151</v>
      </c>
      <c r="C767" s="645" t="s">
        <v>443</v>
      </c>
      <c r="D767" s="645" t="s">
        <v>1127</v>
      </c>
      <c r="E767" s="645" t="s">
        <v>1115</v>
      </c>
      <c r="F767" s="645" t="s">
        <v>1114</v>
      </c>
      <c r="G767" s="645" t="s">
        <v>777</v>
      </c>
      <c r="H767" s="644">
        <v>445297900</v>
      </c>
      <c r="I767" s="644">
        <v>0</v>
      </c>
      <c r="J767" s="644">
        <v>0</v>
      </c>
      <c r="K767" s="644">
        <v>0</v>
      </c>
      <c r="L767" s="644">
        <v>0</v>
      </c>
      <c r="M767" s="644">
        <v>0</v>
      </c>
      <c r="N767" s="644">
        <v>445297900</v>
      </c>
      <c r="O767" s="644">
        <v>0</v>
      </c>
      <c r="P767" s="644">
        <v>445297900</v>
      </c>
      <c r="Q767" s="644">
        <v>445297900</v>
      </c>
      <c r="R767" s="644">
        <v>0</v>
      </c>
      <c r="S767" s="644">
        <v>0</v>
      </c>
      <c r="T767" s="644">
        <v>0</v>
      </c>
      <c r="U767" s="644">
        <v>0</v>
      </c>
      <c r="V767" s="644">
        <v>0</v>
      </c>
      <c r="W767" s="632">
        <v>0</v>
      </c>
      <c r="X767" s="632">
        <v>425616</v>
      </c>
    </row>
    <row r="768" spans="1:24" ht="22.5">
      <c r="A768" s="645">
        <v>750</v>
      </c>
      <c r="B768" s="643" t="s">
        <v>1156</v>
      </c>
      <c r="C768" s="645" t="s">
        <v>443</v>
      </c>
      <c r="D768" s="645" t="s">
        <v>1127</v>
      </c>
      <c r="E768" s="645" t="s">
        <v>1115</v>
      </c>
      <c r="F768" s="645" t="s">
        <v>1114</v>
      </c>
      <c r="G768" s="645" t="s">
        <v>777</v>
      </c>
      <c r="H768" s="644">
        <v>563495170</v>
      </c>
      <c r="I768" s="644">
        <v>0</v>
      </c>
      <c r="J768" s="644">
        <v>0</v>
      </c>
      <c r="K768" s="644">
        <v>0</v>
      </c>
      <c r="L768" s="644">
        <v>0</v>
      </c>
      <c r="M768" s="644">
        <v>0</v>
      </c>
      <c r="N768" s="644">
        <v>563495170</v>
      </c>
      <c r="O768" s="644">
        <v>0</v>
      </c>
      <c r="P768" s="644">
        <v>563495170</v>
      </c>
      <c r="Q768" s="644">
        <v>563495170</v>
      </c>
      <c r="R768" s="644">
        <v>0</v>
      </c>
      <c r="S768" s="644">
        <v>0</v>
      </c>
      <c r="T768" s="644">
        <v>0</v>
      </c>
      <c r="U768" s="644">
        <v>0</v>
      </c>
      <c r="V768" s="644">
        <v>0</v>
      </c>
      <c r="W768" s="632">
        <v>0</v>
      </c>
      <c r="X768" s="632">
        <v>0</v>
      </c>
    </row>
    <row r="769" spans="1:24" ht="22.5">
      <c r="A769" s="645">
        <v>751</v>
      </c>
      <c r="B769" s="643" t="s">
        <v>1157</v>
      </c>
      <c r="C769" s="645" t="s">
        <v>443</v>
      </c>
      <c r="D769" s="645" t="s">
        <v>1158</v>
      </c>
      <c r="E769" s="645" t="s">
        <v>905</v>
      </c>
      <c r="F769" s="645" t="s">
        <v>1114</v>
      </c>
      <c r="G769" s="645" t="s">
        <v>777</v>
      </c>
      <c r="H769" s="644">
        <v>0</v>
      </c>
      <c r="I769" s="644">
        <v>93102112</v>
      </c>
      <c r="J769" s="644">
        <v>93102112</v>
      </c>
      <c r="K769" s="644">
        <v>0</v>
      </c>
      <c r="L769" s="644">
        <v>0</v>
      </c>
      <c r="M769" s="644">
        <v>-93102112</v>
      </c>
      <c r="N769" s="644">
        <v>0</v>
      </c>
      <c r="O769" s="644">
        <v>0</v>
      </c>
      <c r="P769" s="644">
        <v>0</v>
      </c>
      <c r="Q769" s="644">
        <v>0</v>
      </c>
      <c r="R769" s="644">
        <v>0</v>
      </c>
      <c r="S769" s="644">
        <v>0</v>
      </c>
      <c r="T769" s="644">
        <v>0</v>
      </c>
      <c r="U769" s="644">
        <v>0</v>
      </c>
      <c r="V769" s="644">
        <v>0</v>
      </c>
      <c r="W769" s="632">
        <v>0</v>
      </c>
      <c r="X769" s="632">
        <v>0</v>
      </c>
    </row>
    <row r="770" spans="1:24" ht="22.5">
      <c r="A770" s="645">
        <v>752</v>
      </c>
      <c r="B770" s="643" t="s">
        <v>1157</v>
      </c>
      <c r="C770" s="645" t="s">
        <v>443</v>
      </c>
      <c r="D770" s="645" t="s">
        <v>1158</v>
      </c>
      <c r="E770" s="645" t="s">
        <v>1115</v>
      </c>
      <c r="F770" s="645" t="s">
        <v>1114</v>
      </c>
      <c r="G770" s="645" t="s">
        <v>777</v>
      </c>
      <c r="H770" s="644">
        <v>230740000</v>
      </c>
      <c r="I770" s="644">
        <v>0</v>
      </c>
      <c r="J770" s="644">
        <v>0</v>
      </c>
      <c r="K770" s="644">
        <v>0</v>
      </c>
      <c r="L770" s="644">
        <v>0</v>
      </c>
      <c r="M770" s="644">
        <v>0</v>
      </c>
      <c r="N770" s="644">
        <v>230740000</v>
      </c>
      <c r="O770" s="644">
        <v>0</v>
      </c>
      <c r="P770" s="644">
        <v>230740000</v>
      </c>
      <c r="Q770" s="644">
        <v>230740000</v>
      </c>
      <c r="R770" s="644">
        <v>0</v>
      </c>
      <c r="S770" s="644">
        <v>0</v>
      </c>
      <c r="T770" s="644">
        <v>0</v>
      </c>
      <c r="U770" s="644">
        <v>0</v>
      </c>
      <c r="V770" s="644">
        <v>0</v>
      </c>
      <c r="W770" s="632">
        <v>0</v>
      </c>
      <c r="X770" s="632">
        <v>0</v>
      </c>
    </row>
    <row r="771" spans="1:24" ht="22.5">
      <c r="A771" s="645">
        <v>753</v>
      </c>
      <c r="B771" s="643" t="s">
        <v>1159</v>
      </c>
      <c r="C771" s="645" t="s">
        <v>443</v>
      </c>
      <c r="D771" s="645" t="s">
        <v>1158</v>
      </c>
      <c r="E771" s="645" t="s">
        <v>904</v>
      </c>
      <c r="F771" s="645" t="s">
        <v>1114</v>
      </c>
      <c r="G771" s="645" t="s">
        <v>777</v>
      </c>
      <c r="H771" s="644">
        <v>0</v>
      </c>
      <c r="I771" s="644">
        <v>16969657</v>
      </c>
      <c r="J771" s="644">
        <v>16969657</v>
      </c>
      <c r="K771" s="644">
        <v>0</v>
      </c>
      <c r="L771" s="644">
        <v>0</v>
      </c>
      <c r="M771" s="644">
        <v>-16969657</v>
      </c>
      <c r="N771" s="644">
        <v>0</v>
      </c>
      <c r="O771" s="644">
        <v>0</v>
      </c>
      <c r="P771" s="644">
        <v>0</v>
      </c>
      <c r="Q771" s="644">
        <v>0</v>
      </c>
      <c r="R771" s="644">
        <v>0</v>
      </c>
      <c r="S771" s="644">
        <v>0</v>
      </c>
      <c r="T771" s="644">
        <v>0</v>
      </c>
      <c r="U771" s="644">
        <v>0</v>
      </c>
      <c r="V771" s="644">
        <v>0</v>
      </c>
      <c r="W771" s="632">
        <v>0</v>
      </c>
      <c r="X771" s="632">
        <v>0</v>
      </c>
    </row>
    <row r="772" spans="1:24" ht="22.5">
      <c r="A772" s="645">
        <v>754</v>
      </c>
      <c r="B772" s="643" t="s">
        <v>1159</v>
      </c>
      <c r="C772" s="645" t="s">
        <v>443</v>
      </c>
      <c r="D772" s="645" t="s">
        <v>1158</v>
      </c>
      <c r="E772" s="645" t="s">
        <v>1115</v>
      </c>
      <c r="F772" s="645" t="s">
        <v>1114</v>
      </c>
      <c r="G772" s="645" t="s">
        <v>777</v>
      </c>
      <c r="H772" s="644">
        <v>14000000</v>
      </c>
      <c r="I772" s="644">
        <v>0</v>
      </c>
      <c r="J772" s="644">
        <v>0</v>
      </c>
      <c r="K772" s="644">
        <v>0</v>
      </c>
      <c r="L772" s="644">
        <v>0</v>
      </c>
      <c r="M772" s="644">
        <v>0</v>
      </c>
      <c r="N772" s="644">
        <v>14000000</v>
      </c>
      <c r="O772" s="644">
        <v>0</v>
      </c>
      <c r="P772" s="644">
        <v>0</v>
      </c>
      <c r="Q772" s="644">
        <v>0</v>
      </c>
      <c r="R772" s="644">
        <v>0</v>
      </c>
      <c r="S772" s="644">
        <v>14000000</v>
      </c>
      <c r="T772" s="644">
        <v>14000000</v>
      </c>
      <c r="U772" s="644">
        <v>0</v>
      </c>
      <c r="V772" s="644">
        <v>0</v>
      </c>
      <c r="W772" s="632">
        <v>0</v>
      </c>
      <c r="X772" s="632">
        <v>0</v>
      </c>
    </row>
    <row r="773" spans="1:24" ht="22.5">
      <c r="A773" s="645">
        <v>755</v>
      </c>
      <c r="B773" s="643" t="s">
        <v>1160</v>
      </c>
      <c r="C773" s="645" t="s">
        <v>443</v>
      </c>
      <c r="D773" s="645" t="s">
        <v>1161</v>
      </c>
      <c r="E773" s="645" t="s">
        <v>904</v>
      </c>
      <c r="F773" s="645" t="s">
        <v>1114</v>
      </c>
      <c r="G773" s="645" t="s">
        <v>777</v>
      </c>
      <c r="H773" s="644">
        <v>0</v>
      </c>
      <c r="I773" s="644">
        <v>177578143</v>
      </c>
      <c r="J773" s="644">
        <v>177578143</v>
      </c>
      <c r="K773" s="644">
        <v>0</v>
      </c>
      <c r="L773" s="644">
        <v>0</v>
      </c>
      <c r="M773" s="644">
        <v>-177578143</v>
      </c>
      <c r="N773" s="644">
        <v>0</v>
      </c>
      <c r="O773" s="644">
        <v>0</v>
      </c>
      <c r="P773" s="644">
        <v>0</v>
      </c>
      <c r="Q773" s="644">
        <v>0</v>
      </c>
      <c r="R773" s="644">
        <v>0</v>
      </c>
      <c r="S773" s="644">
        <v>0</v>
      </c>
      <c r="T773" s="644">
        <v>0</v>
      </c>
      <c r="U773" s="644">
        <v>0</v>
      </c>
      <c r="V773" s="644">
        <v>0</v>
      </c>
      <c r="W773" s="632">
        <v>0</v>
      </c>
      <c r="X773" s="632">
        <v>3211798728</v>
      </c>
    </row>
    <row r="774" spans="1:24" ht="22.5">
      <c r="A774" s="645">
        <v>756</v>
      </c>
      <c r="B774" s="643" t="s">
        <v>1160</v>
      </c>
      <c r="C774" s="645" t="s">
        <v>443</v>
      </c>
      <c r="D774" s="645" t="s">
        <v>1161</v>
      </c>
      <c r="E774" s="645" t="s">
        <v>1115</v>
      </c>
      <c r="F774" s="645" t="s">
        <v>1114</v>
      </c>
      <c r="G774" s="645" t="s">
        <v>777</v>
      </c>
      <c r="H774" s="644">
        <v>65000000</v>
      </c>
      <c r="I774" s="644">
        <v>0</v>
      </c>
      <c r="J774" s="644">
        <v>0</v>
      </c>
      <c r="K774" s="644">
        <v>0</v>
      </c>
      <c r="L774" s="644">
        <v>0</v>
      </c>
      <c r="M774" s="644">
        <v>0</v>
      </c>
      <c r="N774" s="644">
        <v>65000000</v>
      </c>
      <c r="O774" s="644">
        <v>0</v>
      </c>
      <c r="P774" s="644">
        <v>65000000</v>
      </c>
      <c r="Q774" s="644">
        <v>65000000</v>
      </c>
      <c r="R774" s="644">
        <v>0</v>
      </c>
      <c r="S774" s="644">
        <v>0</v>
      </c>
      <c r="T774" s="644">
        <v>0</v>
      </c>
      <c r="U774" s="644">
        <v>0</v>
      </c>
      <c r="V774" s="644">
        <v>0</v>
      </c>
      <c r="W774" s="632">
        <v>0</v>
      </c>
      <c r="X774" s="632">
        <v>0</v>
      </c>
    </row>
    <row r="775" spans="1:24">
      <c r="A775" s="645">
        <v>757</v>
      </c>
      <c r="B775" s="643" t="s">
        <v>1162</v>
      </c>
      <c r="C775" s="645" t="s">
        <v>443</v>
      </c>
      <c r="D775" s="645" t="s">
        <v>1161</v>
      </c>
      <c r="E775" s="645" t="s">
        <v>905</v>
      </c>
      <c r="F775" s="645" t="s">
        <v>1114</v>
      </c>
      <c r="G775" s="645" t="s">
        <v>777</v>
      </c>
      <c r="H775" s="644">
        <v>0</v>
      </c>
      <c r="I775" s="644">
        <v>232618720</v>
      </c>
      <c r="J775" s="644">
        <v>232618720</v>
      </c>
      <c r="K775" s="644">
        <v>0</v>
      </c>
      <c r="L775" s="644">
        <v>0</v>
      </c>
      <c r="M775" s="644">
        <v>-232618720</v>
      </c>
      <c r="N775" s="644">
        <v>0</v>
      </c>
      <c r="O775" s="644">
        <v>0</v>
      </c>
      <c r="P775" s="644">
        <v>0</v>
      </c>
      <c r="Q775" s="644">
        <v>0</v>
      </c>
      <c r="R775" s="644">
        <v>0</v>
      </c>
      <c r="S775" s="644">
        <v>0</v>
      </c>
      <c r="T775" s="644">
        <v>0</v>
      </c>
      <c r="U775" s="644">
        <v>0</v>
      </c>
      <c r="V775" s="644">
        <v>0</v>
      </c>
      <c r="W775" s="632">
        <v>0</v>
      </c>
      <c r="X775" s="632">
        <v>0</v>
      </c>
    </row>
    <row r="776" spans="1:24">
      <c r="A776" s="645">
        <v>758</v>
      </c>
      <c r="B776" s="643" t="s">
        <v>1162</v>
      </c>
      <c r="C776" s="645" t="s">
        <v>443</v>
      </c>
      <c r="D776" s="645" t="s">
        <v>1161</v>
      </c>
      <c r="E776" s="645" t="s">
        <v>1115</v>
      </c>
      <c r="F776" s="645" t="s">
        <v>1114</v>
      </c>
      <c r="G776" s="645" t="s">
        <v>777</v>
      </c>
      <c r="H776" s="644">
        <v>17400000</v>
      </c>
      <c r="I776" s="644">
        <v>0</v>
      </c>
      <c r="J776" s="644">
        <v>0</v>
      </c>
      <c r="K776" s="644">
        <v>0</v>
      </c>
      <c r="L776" s="644">
        <v>0</v>
      </c>
      <c r="M776" s="644">
        <v>0</v>
      </c>
      <c r="N776" s="644">
        <v>17400000</v>
      </c>
      <c r="O776" s="644">
        <v>0</v>
      </c>
      <c r="P776" s="644">
        <v>17400000</v>
      </c>
      <c r="Q776" s="644">
        <v>17400000</v>
      </c>
      <c r="R776" s="644">
        <v>0</v>
      </c>
      <c r="S776" s="644">
        <v>0</v>
      </c>
      <c r="T776" s="644">
        <v>0</v>
      </c>
      <c r="U776" s="644">
        <v>0</v>
      </c>
      <c r="V776" s="644">
        <v>0</v>
      </c>
      <c r="W776" s="632">
        <v>0</v>
      </c>
      <c r="X776" s="632">
        <v>0</v>
      </c>
    </row>
    <row r="777" spans="1:24" ht="22.5">
      <c r="A777" s="645">
        <v>759</v>
      </c>
      <c r="B777" s="643" t="s">
        <v>1163</v>
      </c>
      <c r="C777" s="645" t="s">
        <v>443</v>
      </c>
      <c r="D777" s="645" t="s">
        <v>1164</v>
      </c>
      <c r="E777" s="645" t="s">
        <v>898</v>
      </c>
      <c r="F777" s="645" t="s">
        <v>1114</v>
      </c>
      <c r="G777" s="645" t="s">
        <v>777</v>
      </c>
      <c r="H777" s="644">
        <v>0</v>
      </c>
      <c r="I777" s="644">
        <v>202646212</v>
      </c>
      <c r="J777" s="644">
        <v>202646212</v>
      </c>
      <c r="K777" s="644">
        <v>0</v>
      </c>
      <c r="L777" s="644">
        <v>0</v>
      </c>
      <c r="M777" s="644">
        <v>-202646212</v>
      </c>
      <c r="N777" s="644">
        <v>0</v>
      </c>
      <c r="O777" s="644">
        <v>0</v>
      </c>
      <c r="P777" s="644">
        <v>0</v>
      </c>
      <c r="Q777" s="644">
        <v>0</v>
      </c>
      <c r="R777" s="644">
        <v>0</v>
      </c>
      <c r="S777" s="644">
        <v>0</v>
      </c>
      <c r="T777" s="644">
        <v>0</v>
      </c>
      <c r="U777" s="644">
        <v>0</v>
      </c>
      <c r="V777" s="644">
        <v>0</v>
      </c>
      <c r="W777" s="632">
        <v>0</v>
      </c>
      <c r="X777" s="632">
        <v>0</v>
      </c>
    </row>
    <row r="778" spans="1:24" ht="22.5">
      <c r="A778" s="645">
        <v>760</v>
      </c>
      <c r="B778" s="643" t="s">
        <v>1165</v>
      </c>
      <c r="C778" s="645" t="s">
        <v>443</v>
      </c>
      <c r="D778" s="645" t="s">
        <v>1164</v>
      </c>
      <c r="E778" s="645" t="s">
        <v>905</v>
      </c>
      <c r="F778" s="645" t="s">
        <v>1114</v>
      </c>
      <c r="G778" s="645" t="s">
        <v>777</v>
      </c>
      <c r="H778" s="644">
        <v>0</v>
      </c>
      <c r="I778" s="644">
        <v>209422972</v>
      </c>
      <c r="J778" s="644">
        <v>209422972</v>
      </c>
      <c r="K778" s="644">
        <v>0</v>
      </c>
      <c r="L778" s="644">
        <v>0</v>
      </c>
      <c r="M778" s="644">
        <v>-209422972</v>
      </c>
      <c r="N778" s="644">
        <v>0</v>
      </c>
      <c r="O778" s="644">
        <v>0</v>
      </c>
      <c r="P778" s="644">
        <v>0</v>
      </c>
      <c r="Q778" s="644">
        <v>0</v>
      </c>
      <c r="R778" s="644">
        <v>0</v>
      </c>
      <c r="S778" s="644">
        <v>0</v>
      </c>
      <c r="T778" s="644">
        <v>0</v>
      </c>
      <c r="U778" s="644">
        <v>0</v>
      </c>
      <c r="V778" s="644">
        <v>0</v>
      </c>
      <c r="W778" s="632">
        <v>0</v>
      </c>
      <c r="X778" s="632">
        <v>0</v>
      </c>
    </row>
    <row r="779" spans="1:24" ht="22.5">
      <c r="A779" s="645">
        <v>761</v>
      </c>
      <c r="B779" s="643" t="s">
        <v>1165</v>
      </c>
      <c r="C779" s="645" t="s">
        <v>443</v>
      </c>
      <c r="D779" s="645" t="s">
        <v>1164</v>
      </c>
      <c r="E779" s="645" t="s">
        <v>1115</v>
      </c>
      <c r="F779" s="645" t="s">
        <v>1114</v>
      </c>
      <c r="G779" s="645" t="s">
        <v>777</v>
      </c>
      <c r="H779" s="644">
        <v>212000000</v>
      </c>
      <c r="I779" s="644">
        <v>0</v>
      </c>
      <c r="J779" s="644">
        <v>0</v>
      </c>
      <c r="K779" s="644">
        <v>0</v>
      </c>
      <c r="L779" s="644">
        <v>0</v>
      </c>
      <c r="M779" s="644">
        <v>0</v>
      </c>
      <c r="N779" s="644">
        <v>212000000</v>
      </c>
      <c r="O779" s="644">
        <v>0</v>
      </c>
      <c r="P779" s="644">
        <v>212000000</v>
      </c>
      <c r="Q779" s="644">
        <v>212000000</v>
      </c>
      <c r="R779" s="644">
        <v>0</v>
      </c>
      <c r="S779" s="644">
        <v>0</v>
      </c>
      <c r="T779" s="644">
        <v>0</v>
      </c>
      <c r="U779" s="644">
        <v>0</v>
      </c>
      <c r="V779" s="644">
        <v>0</v>
      </c>
      <c r="W779" s="632">
        <v>0</v>
      </c>
      <c r="X779" s="632">
        <v>57214820</v>
      </c>
    </row>
    <row r="780" spans="1:24">
      <c r="A780" s="645">
        <v>762</v>
      </c>
      <c r="B780" s="643" t="s">
        <v>1166</v>
      </c>
      <c r="C780" s="645" t="s">
        <v>443</v>
      </c>
      <c r="D780" s="645" t="s">
        <v>1164</v>
      </c>
      <c r="E780" s="645" t="s">
        <v>905</v>
      </c>
      <c r="F780" s="645" t="s">
        <v>1114</v>
      </c>
      <c r="G780" s="645" t="s">
        <v>777</v>
      </c>
      <c r="H780" s="644">
        <v>0</v>
      </c>
      <c r="I780" s="644">
        <v>275145264</v>
      </c>
      <c r="J780" s="644">
        <v>275145264</v>
      </c>
      <c r="K780" s="644">
        <v>0</v>
      </c>
      <c r="L780" s="644">
        <v>0</v>
      </c>
      <c r="M780" s="644">
        <v>-275145264</v>
      </c>
      <c r="N780" s="644">
        <v>0</v>
      </c>
      <c r="O780" s="644">
        <v>0</v>
      </c>
      <c r="P780" s="644">
        <v>0</v>
      </c>
      <c r="Q780" s="644">
        <v>0</v>
      </c>
      <c r="R780" s="644">
        <v>0</v>
      </c>
      <c r="S780" s="644">
        <v>0</v>
      </c>
      <c r="T780" s="644">
        <v>0</v>
      </c>
      <c r="U780" s="644">
        <v>0</v>
      </c>
      <c r="V780" s="644">
        <v>0</v>
      </c>
      <c r="W780" s="632">
        <v>0</v>
      </c>
      <c r="X780" s="632">
        <v>0</v>
      </c>
    </row>
    <row r="781" spans="1:24" ht="22.5">
      <c r="A781" s="645">
        <v>763</v>
      </c>
      <c r="B781" s="643" t="s">
        <v>1168</v>
      </c>
      <c r="C781" s="645" t="s">
        <v>443</v>
      </c>
      <c r="D781" s="645" t="s">
        <v>1169</v>
      </c>
      <c r="E781" s="645" t="s">
        <v>905</v>
      </c>
      <c r="F781" s="645" t="s">
        <v>1114</v>
      </c>
      <c r="G781" s="645" t="s">
        <v>777</v>
      </c>
      <c r="H781" s="644">
        <v>0</v>
      </c>
      <c r="I781" s="644">
        <v>177196000</v>
      </c>
      <c r="J781" s="644">
        <v>177196000</v>
      </c>
      <c r="K781" s="644">
        <v>0</v>
      </c>
      <c r="L781" s="644">
        <v>0</v>
      </c>
      <c r="M781" s="644">
        <v>-177196000</v>
      </c>
      <c r="N781" s="644">
        <v>0</v>
      </c>
      <c r="O781" s="644">
        <v>0</v>
      </c>
      <c r="P781" s="644">
        <v>0</v>
      </c>
      <c r="Q781" s="644">
        <v>0</v>
      </c>
      <c r="R781" s="644">
        <v>0</v>
      </c>
      <c r="S781" s="644">
        <v>0</v>
      </c>
      <c r="T781" s="644">
        <v>0</v>
      </c>
      <c r="U781" s="644">
        <v>0</v>
      </c>
      <c r="V781" s="644">
        <v>0</v>
      </c>
      <c r="W781" s="632">
        <v>0</v>
      </c>
      <c r="X781" s="632">
        <v>0</v>
      </c>
    </row>
    <row r="782" spans="1:24" ht="22.5">
      <c r="A782" s="645">
        <v>764</v>
      </c>
      <c r="B782" s="643" t="s">
        <v>1170</v>
      </c>
      <c r="C782" s="645" t="s">
        <v>443</v>
      </c>
      <c r="D782" s="645" t="s">
        <v>1169</v>
      </c>
      <c r="E782" s="645" t="s">
        <v>905</v>
      </c>
      <c r="F782" s="645" t="s">
        <v>1114</v>
      </c>
      <c r="G782" s="645" t="s">
        <v>777</v>
      </c>
      <c r="H782" s="644">
        <v>0</v>
      </c>
      <c r="I782" s="644">
        <v>245252680</v>
      </c>
      <c r="J782" s="644">
        <v>245252680</v>
      </c>
      <c r="K782" s="644">
        <v>0</v>
      </c>
      <c r="L782" s="644">
        <v>0</v>
      </c>
      <c r="M782" s="644">
        <v>-245252680</v>
      </c>
      <c r="N782" s="644">
        <v>0</v>
      </c>
      <c r="O782" s="644">
        <v>0</v>
      </c>
      <c r="P782" s="644">
        <v>0</v>
      </c>
      <c r="Q782" s="644">
        <v>0</v>
      </c>
      <c r="R782" s="644">
        <v>0</v>
      </c>
      <c r="S782" s="644">
        <v>0</v>
      </c>
      <c r="T782" s="644">
        <v>0</v>
      </c>
      <c r="U782" s="644">
        <v>0</v>
      </c>
      <c r="V782" s="644">
        <v>0</v>
      </c>
      <c r="W782" s="632">
        <v>0</v>
      </c>
      <c r="X782" s="632">
        <v>0</v>
      </c>
    </row>
    <row r="783" spans="1:24" ht="22.5">
      <c r="A783" s="645">
        <v>765</v>
      </c>
      <c r="B783" s="643" t="s">
        <v>1170</v>
      </c>
      <c r="C783" s="645" t="s">
        <v>443</v>
      </c>
      <c r="D783" s="645" t="s">
        <v>1169</v>
      </c>
      <c r="E783" s="645" t="s">
        <v>1115</v>
      </c>
      <c r="F783" s="645" t="s">
        <v>1114</v>
      </c>
      <c r="G783" s="645" t="s">
        <v>777</v>
      </c>
      <c r="H783" s="644">
        <v>36100000</v>
      </c>
      <c r="I783" s="644">
        <v>0</v>
      </c>
      <c r="J783" s="644">
        <v>0</v>
      </c>
      <c r="K783" s="644">
        <v>0</v>
      </c>
      <c r="L783" s="644">
        <v>0</v>
      </c>
      <c r="M783" s="644">
        <v>0</v>
      </c>
      <c r="N783" s="644">
        <v>36100000</v>
      </c>
      <c r="O783" s="644">
        <v>0</v>
      </c>
      <c r="P783" s="644">
        <v>36100000</v>
      </c>
      <c r="Q783" s="644">
        <v>36100000</v>
      </c>
      <c r="R783" s="644">
        <v>0</v>
      </c>
      <c r="S783" s="644">
        <v>0</v>
      </c>
      <c r="T783" s="644">
        <v>0</v>
      </c>
      <c r="U783" s="644">
        <v>0</v>
      </c>
      <c r="V783" s="644">
        <v>0</v>
      </c>
      <c r="W783" s="632">
        <v>0</v>
      </c>
      <c r="X783" s="632">
        <v>0</v>
      </c>
    </row>
    <row r="784" spans="1:24" ht="22.5">
      <c r="A784" s="645">
        <v>766</v>
      </c>
      <c r="B784" s="643" t="s">
        <v>1171</v>
      </c>
      <c r="C784" s="645" t="s">
        <v>443</v>
      </c>
      <c r="D784" s="645" t="s">
        <v>1169</v>
      </c>
      <c r="E784" s="645" t="s">
        <v>641</v>
      </c>
      <c r="F784" s="645" t="s">
        <v>1114</v>
      </c>
      <c r="G784" s="645" t="s">
        <v>777</v>
      </c>
      <c r="H784" s="644">
        <v>0</v>
      </c>
      <c r="I784" s="644">
        <v>13931465</v>
      </c>
      <c r="J784" s="644">
        <v>13931465</v>
      </c>
      <c r="K784" s="644">
        <v>0</v>
      </c>
      <c r="L784" s="644">
        <v>0</v>
      </c>
      <c r="M784" s="644">
        <v>-13931465</v>
      </c>
      <c r="N784" s="644">
        <v>0</v>
      </c>
      <c r="O784" s="644">
        <v>0</v>
      </c>
      <c r="P784" s="644">
        <v>0</v>
      </c>
      <c r="Q784" s="644">
        <v>0</v>
      </c>
      <c r="R784" s="644">
        <v>0</v>
      </c>
      <c r="S784" s="644">
        <v>0</v>
      </c>
      <c r="T784" s="644">
        <v>0</v>
      </c>
      <c r="U784" s="644">
        <v>0</v>
      </c>
      <c r="V784" s="644">
        <v>0</v>
      </c>
      <c r="W784" s="632">
        <v>0</v>
      </c>
      <c r="X784" s="632">
        <v>0</v>
      </c>
    </row>
    <row r="785" spans="1:24">
      <c r="A785" s="645">
        <v>767</v>
      </c>
      <c r="B785" s="643" t="s">
        <v>1174</v>
      </c>
      <c r="C785" s="645" t="s">
        <v>443</v>
      </c>
      <c r="D785" s="645" t="s">
        <v>1175</v>
      </c>
      <c r="E785" s="645" t="s">
        <v>905</v>
      </c>
      <c r="F785" s="645" t="s">
        <v>1114</v>
      </c>
      <c r="G785" s="645" t="s">
        <v>777</v>
      </c>
      <c r="H785" s="644">
        <v>0</v>
      </c>
      <c r="I785" s="644">
        <v>284961228</v>
      </c>
      <c r="J785" s="644">
        <v>284961228</v>
      </c>
      <c r="K785" s="644">
        <v>0</v>
      </c>
      <c r="L785" s="644">
        <v>0</v>
      </c>
      <c r="M785" s="644">
        <v>-284961228</v>
      </c>
      <c r="N785" s="644">
        <v>0</v>
      </c>
      <c r="O785" s="644">
        <v>0</v>
      </c>
      <c r="P785" s="644">
        <v>0</v>
      </c>
      <c r="Q785" s="644">
        <v>0</v>
      </c>
      <c r="R785" s="644">
        <v>0</v>
      </c>
      <c r="S785" s="644">
        <v>0</v>
      </c>
      <c r="T785" s="644">
        <v>0</v>
      </c>
      <c r="U785" s="644">
        <v>0</v>
      </c>
      <c r="V785" s="644">
        <v>0</v>
      </c>
      <c r="W785" s="632">
        <v>0</v>
      </c>
      <c r="X785" s="632">
        <v>0</v>
      </c>
    </row>
    <row r="786" spans="1:24">
      <c r="A786" s="645">
        <v>768</v>
      </c>
      <c r="B786" s="643" t="s">
        <v>1174</v>
      </c>
      <c r="C786" s="645" t="s">
        <v>443</v>
      </c>
      <c r="D786" s="645" t="s">
        <v>1175</v>
      </c>
      <c r="E786" s="645" t="s">
        <v>1115</v>
      </c>
      <c r="F786" s="645" t="s">
        <v>1114</v>
      </c>
      <c r="G786" s="645" t="s">
        <v>777</v>
      </c>
      <c r="H786" s="644">
        <v>280015000</v>
      </c>
      <c r="I786" s="644">
        <v>0</v>
      </c>
      <c r="J786" s="644">
        <v>0</v>
      </c>
      <c r="K786" s="644">
        <v>0</v>
      </c>
      <c r="L786" s="644">
        <v>0</v>
      </c>
      <c r="M786" s="644">
        <v>0</v>
      </c>
      <c r="N786" s="644">
        <v>280015000</v>
      </c>
      <c r="O786" s="644">
        <v>0</v>
      </c>
      <c r="P786" s="644">
        <v>280015000</v>
      </c>
      <c r="Q786" s="644">
        <v>280015000</v>
      </c>
      <c r="R786" s="644">
        <v>0</v>
      </c>
      <c r="S786" s="644">
        <v>0</v>
      </c>
      <c r="T786" s="644">
        <v>0</v>
      </c>
      <c r="U786" s="644">
        <v>0</v>
      </c>
      <c r="V786" s="644">
        <v>0</v>
      </c>
      <c r="W786" s="632">
        <v>0</v>
      </c>
      <c r="X786" s="632">
        <v>0</v>
      </c>
    </row>
    <row r="787" spans="1:24" ht="22.5">
      <c r="A787" s="645">
        <v>769</v>
      </c>
      <c r="B787" s="643" t="s">
        <v>1176</v>
      </c>
      <c r="C787" s="645" t="s">
        <v>443</v>
      </c>
      <c r="D787" s="645" t="s">
        <v>1175</v>
      </c>
      <c r="E787" s="645" t="s">
        <v>1115</v>
      </c>
      <c r="F787" s="645" t="s">
        <v>1114</v>
      </c>
      <c r="G787" s="645" t="s">
        <v>777</v>
      </c>
      <c r="H787" s="644">
        <v>174226000</v>
      </c>
      <c r="I787" s="644">
        <v>0</v>
      </c>
      <c r="J787" s="644">
        <v>0</v>
      </c>
      <c r="K787" s="644">
        <v>0</v>
      </c>
      <c r="L787" s="644">
        <v>0</v>
      </c>
      <c r="M787" s="644">
        <v>0</v>
      </c>
      <c r="N787" s="644">
        <v>174226000</v>
      </c>
      <c r="O787" s="644">
        <v>0</v>
      </c>
      <c r="P787" s="644">
        <v>174226000</v>
      </c>
      <c r="Q787" s="644">
        <v>174226000</v>
      </c>
      <c r="R787" s="644">
        <v>0</v>
      </c>
      <c r="S787" s="644">
        <v>0</v>
      </c>
      <c r="T787" s="644">
        <v>0</v>
      </c>
      <c r="U787" s="644">
        <v>0</v>
      </c>
      <c r="V787" s="644">
        <v>0</v>
      </c>
      <c r="W787" s="632">
        <v>0</v>
      </c>
      <c r="X787" s="632">
        <v>0</v>
      </c>
    </row>
    <row r="788" spans="1:24">
      <c r="A788" s="645">
        <v>770</v>
      </c>
      <c r="B788" s="643" t="s">
        <v>1177</v>
      </c>
      <c r="C788" s="645" t="s">
        <v>443</v>
      </c>
      <c r="D788" s="645" t="s">
        <v>1178</v>
      </c>
      <c r="E788" s="645" t="s">
        <v>905</v>
      </c>
      <c r="F788" s="645" t="s">
        <v>1114</v>
      </c>
      <c r="G788" s="645" t="s">
        <v>777</v>
      </c>
      <c r="H788" s="644">
        <v>0</v>
      </c>
      <c r="I788" s="644">
        <v>153380000</v>
      </c>
      <c r="J788" s="644">
        <v>153380000</v>
      </c>
      <c r="K788" s="644">
        <v>0</v>
      </c>
      <c r="L788" s="644">
        <v>0</v>
      </c>
      <c r="M788" s="644">
        <v>-153380000</v>
      </c>
      <c r="N788" s="644">
        <v>0</v>
      </c>
      <c r="O788" s="644">
        <v>0</v>
      </c>
      <c r="P788" s="644">
        <v>0</v>
      </c>
      <c r="Q788" s="644">
        <v>0</v>
      </c>
      <c r="R788" s="644">
        <v>0</v>
      </c>
      <c r="S788" s="644">
        <v>0</v>
      </c>
      <c r="T788" s="644">
        <v>0</v>
      </c>
      <c r="U788" s="644">
        <v>0</v>
      </c>
      <c r="V788" s="644">
        <v>0</v>
      </c>
      <c r="W788" s="632">
        <v>0</v>
      </c>
      <c r="X788" s="632">
        <v>0</v>
      </c>
    </row>
    <row r="789" spans="1:24" ht="22.5">
      <c r="A789" s="645">
        <v>771</v>
      </c>
      <c r="B789" s="643" t="s">
        <v>1354</v>
      </c>
      <c r="C789" s="645" t="s">
        <v>443</v>
      </c>
      <c r="D789" s="645" t="s">
        <v>1180</v>
      </c>
      <c r="E789" s="645" t="s">
        <v>894</v>
      </c>
      <c r="F789" s="645" t="s">
        <v>1114</v>
      </c>
      <c r="G789" s="645" t="s">
        <v>777</v>
      </c>
      <c r="H789" s="644">
        <v>0</v>
      </c>
      <c r="I789" s="644">
        <v>276225486</v>
      </c>
      <c r="J789" s="644">
        <v>276225486</v>
      </c>
      <c r="K789" s="644">
        <v>0</v>
      </c>
      <c r="L789" s="644">
        <v>0</v>
      </c>
      <c r="M789" s="644">
        <v>-276225486</v>
      </c>
      <c r="N789" s="644">
        <v>0</v>
      </c>
      <c r="O789" s="644">
        <v>0</v>
      </c>
      <c r="P789" s="644">
        <v>0</v>
      </c>
      <c r="Q789" s="644">
        <v>0</v>
      </c>
      <c r="R789" s="644">
        <v>0</v>
      </c>
      <c r="S789" s="644">
        <v>0</v>
      </c>
      <c r="T789" s="644">
        <v>0</v>
      </c>
      <c r="U789" s="644">
        <v>0</v>
      </c>
      <c r="V789" s="644">
        <v>0</v>
      </c>
      <c r="W789" s="632">
        <v>0</v>
      </c>
      <c r="X789" s="632">
        <v>0</v>
      </c>
    </row>
    <row r="790" spans="1:24" ht="22.5">
      <c r="A790" s="645">
        <v>772</v>
      </c>
      <c r="B790" s="643" t="s">
        <v>1179</v>
      </c>
      <c r="C790" s="645" t="s">
        <v>443</v>
      </c>
      <c r="D790" s="645" t="s">
        <v>1180</v>
      </c>
      <c r="E790" s="645" t="s">
        <v>905</v>
      </c>
      <c r="F790" s="645" t="s">
        <v>1114</v>
      </c>
      <c r="G790" s="645" t="s">
        <v>777</v>
      </c>
      <c r="H790" s="644">
        <v>0</v>
      </c>
      <c r="I790" s="644">
        <v>197853830</v>
      </c>
      <c r="J790" s="644">
        <v>197853830</v>
      </c>
      <c r="K790" s="644">
        <v>0</v>
      </c>
      <c r="L790" s="644">
        <v>0</v>
      </c>
      <c r="M790" s="644">
        <v>-197853830</v>
      </c>
      <c r="N790" s="644">
        <v>0</v>
      </c>
      <c r="O790" s="644">
        <v>0</v>
      </c>
      <c r="P790" s="644">
        <v>0</v>
      </c>
      <c r="Q790" s="644">
        <v>0</v>
      </c>
      <c r="R790" s="644">
        <v>0</v>
      </c>
      <c r="S790" s="644">
        <v>0</v>
      </c>
      <c r="T790" s="644">
        <v>0</v>
      </c>
      <c r="U790" s="644">
        <v>0</v>
      </c>
      <c r="V790" s="644">
        <v>0</v>
      </c>
      <c r="W790" s="632">
        <v>0</v>
      </c>
      <c r="X790" s="632">
        <v>102140000</v>
      </c>
    </row>
    <row r="791" spans="1:24" ht="22.5">
      <c r="A791" s="645">
        <v>773</v>
      </c>
      <c r="B791" s="643" t="s">
        <v>1179</v>
      </c>
      <c r="C791" s="645" t="s">
        <v>443</v>
      </c>
      <c r="D791" s="645" t="s">
        <v>1180</v>
      </c>
      <c r="E791" s="645" t="s">
        <v>1115</v>
      </c>
      <c r="F791" s="645" t="s">
        <v>1114</v>
      </c>
      <c r="G791" s="645" t="s">
        <v>777</v>
      </c>
      <c r="H791" s="644">
        <v>611049000</v>
      </c>
      <c r="I791" s="644">
        <v>0</v>
      </c>
      <c r="J791" s="644">
        <v>0</v>
      </c>
      <c r="K791" s="644">
        <v>0</v>
      </c>
      <c r="L791" s="644">
        <v>0</v>
      </c>
      <c r="M791" s="644">
        <v>0</v>
      </c>
      <c r="N791" s="644">
        <v>611049000</v>
      </c>
      <c r="O791" s="644">
        <v>0</v>
      </c>
      <c r="P791" s="644">
        <v>611049000</v>
      </c>
      <c r="Q791" s="644">
        <v>611049000</v>
      </c>
      <c r="R791" s="644">
        <v>0</v>
      </c>
      <c r="S791" s="644">
        <v>0</v>
      </c>
      <c r="T791" s="644">
        <v>0</v>
      </c>
      <c r="U791" s="644">
        <v>0</v>
      </c>
      <c r="V791" s="644">
        <v>0</v>
      </c>
      <c r="W791" s="632">
        <v>0</v>
      </c>
      <c r="X791" s="632">
        <v>0</v>
      </c>
    </row>
    <row r="792" spans="1:24" ht="22.5">
      <c r="A792" s="645">
        <v>774</v>
      </c>
      <c r="B792" s="643" t="s">
        <v>1372</v>
      </c>
      <c r="C792" s="645" t="s">
        <v>443</v>
      </c>
      <c r="D792" s="645" t="s">
        <v>1180</v>
      </c>
      <c r="E792" s="645" t="s">
        <v>905</v>
      </c>
      <c r="F792" s="645" t="s">
        <v>1114</v>
      </c>
      <c r="G792" s="645" t="s">
        <v>777</v>
      </c>
      <c r="H792" s="644">
        <v>0</v>
      </c>
      <c r="I792" s="644">
        <v>321223399</v>
      </c>
      <c r="J792" s="644">
        <v>321223399</v>
      </c>
      <c r="K792" s="644">
        <v>0</v>
      </c>
      <c r="L792" s="644">
        <v>0</v>
      </c>
      <c r="M792" s="644">
        <v>-321223399</v>
      </c>
      <c r="N792" s="644">
        <v>0</v>
      </c>
      <c r="O792" s="644">
        <v>0</v>
      </c>
      <c r="P792" s="644">
        <v>0</v>
      </c>
      <c r="Q792" s="644">
        <v>0</v>
      </c>
      <c r="R792" s="644">
        <v>0</v>
      </c>
      <c r="S792" s="644">
        <v>0</v>
      </c>
      <c r="T792" s="644">
        <v>0</v>
      </c>
      <c r="U792" s="644">
        <v>0</v>
      </c>
      <c r="V792" s="644">
        <v>0</v>
      </c>
      <c r="W792" s="632">
        <v>0</v>
      </c>
      <c r="X792" s="632">
        <v>0</v>
      </c>
    </row>
    <row r="793" spans="1:24">
      <c r="A793" s="645">
        <v>775</v>
      </c>
      <c r="B793" s="643" t="s">
        <v>1181</v>
      </c>
      <c r="C793" s="645" t="s">
        <v>443</v>
      </c>
      <c r="D793" s="645" t="s">
        <v>1180</v>
      </c>
      <c r="E793" s="645" t="s">
        <v>905</v>
      </c>
      <c r="F793" s="645" t="s">
        <v>1114</v>
      </c>
      <c r="G793" s="645" t="s">
        <v>777</v>
      </c>
      <c r="H793" s="644">
        <v>0</v>
      </c>
      <c r="I793" s="644">
        <v>53111726</v>
      </c>
      <c r="J793" s="644">
        <v>53111726</v>
      </c>
      <c r="K793" s="644">
        <v>0</v>
      </c>
      <c r="L793" s="644">
        <v>0</v>
      </c>
      <c r="M793" s="644">
        <v>-53111726</v>
      </c>
      <c r="N793" s="644">
        <v>0</v>
      </c>
      <c r="O793" s="644">
        <v>0</v>
      </c>
      <c r="P793" s="644">
        <v>0</v>
      </c>
      <c r="Q793" s="644">
        <v>0</v>
      </c>
      <c r="R793" s="644">
        <v>0</v>
      </c>
      <c r="S793" s="644">
        <v>0</v>
      </c>
      <c r="T793" s="644">
        <v>0</v>
      </c>
      <c r="U793" s="644">
        <v>0</v>
      </c>
      <c r="V793" s="644">
        <v>0</v>
      </c>
      <c r="W793" s="632">
        <v>0</v>
      </c>
      <c r="X793" s="632">
        <v>0</v>
      </c>
    </row>
    <row r="794" spans="1:24">
      <c r="A794" s="645">
        <v>776</v>
      </c>
      <c r="B794" s="643" t="s">
        <v>1181</v>
      </c>
      <c r="C794" s="645" t="s">
        <v>443</v>
      </c>
      <c r="D794" s="645" t="s">
        <v>1180</v>
      </c>
      <c r="E794" s="645" t="s">
        <v>1115</v>
      </c>
      <c r="F794" s="645" t="s">
        <v>1114</v>
      </c>
      <c r="G794" s="645" t="s">
        <v>777</v>
      </c>
      <c r="H794" s="644">
        <v>7000000</v>
      </c>
      <c r="I794" s="644">
        <v>0</v>
      </c>
      <c r="J794" s="644">
        <v>0</v>
      </c>
      <c r="K794" s="644">
        <v>0</v>
      </c>
      <c r="L794" s="644">
        <v>0</v>
      </c>
      <c r="M794" s="644">
        <v>0</v>
      </c>
      <c r="N794" s="644">
        <v>7000000</v>
      </c>
      <c r="O794" s="644">
        <v>0</v>
      </c>
      <c r="P794" s="644">
        <v>7000000</v>
      </c>
      <c r="Q794" s="644">
        <v>7000000</v>
      </c>
      <c r="R794" s="644">
        <v>0</v>
      </c>
      <c r="S794" s="644">
        <v>0</v>
      </c>
      <c r="T794" s="644">
        <v>0</v>
      </c>
      <c r="U794" s="644">
        <v>0</v>
      </c>
      <c r="V794" s="644">
        <v>0</v>
      </c>
      <c r="W794" s="632">
        <v>0</v>
      </c>
      <c r="X794" s="632">
        <v>0</v>
      </c>
    </row>
    <row r="795" spans="1:24">
      <c r="A795" s="645">
        <v>777</v>
      </c>
      <c r="B795" s="643" t="s">
        <v>1182</v>
      </c>
      <c r="C795" s="645" t="s">
        <v>443</v>
      </c>
      <c r="D795" s="645" t="s">
        <v>1183</v>
      </c>
      <c r="E795" s="645" t="s">
        <v>1184</v>
      </c>
      <c r="F795" s="645" t="s">
        <v>1114</v>
      </c>
      <c r="G795" s="645" t="s">
        <v>777</v>
      </c>
      <c r="H795" s="644">
        <v>0</v>
      </c>
      <c r="I795" s="644">
        <v>34239923</v>
      </c>
      <c r="J795" s="644">
        <v>34239923</v>
      </c>
      <c r="K795" s="644">
        <v>0</v>
      </c>
      <c r="L795" s="644">
        <v>0</v>
      </c>
      <c r="M795" s="644">
        <v>-34239923</v>
      </c>
      <c r="N795" s="644">
        <v>0</v>
      </c>
      <c r="O795" s="644">
        <v>0</v>
      </c>
      <c r="P795" s="644">
        <v>0</v>
      </c>
      <c r="Q795" s="644">
        <v>0</v>
      </c>
      <c r="R795" s="644">
        <v>0</v>
      </c>
      <c r="S795" s="644">
        <v>0</v>
      </c>
      <c r="T795" s="644">
        <v>0</v>
      </c>
      <c r="U795" s="644">
        <v>0</v>
      </c>
      <c r="V795" s="644">
        <v>0</v>
      </c>
      <c r="W795" s="632">
        <v>0</v>
      </c>
      <c r="X795" s="632">
        <v>0</v>
      </c>
    </row>
    <row r="796" spans="1:24">
      <c r="A796" s="645">
        <v>778</v>
      </c>
      <c r="B796" s="643" t="s">
        <v>1182</v>
      </c>
      <c r="C796" s="645" t="s">
        <v>443</v>
      </c>
      <c r="D796" s="645" t="s">
        <v>1183</v>
      </c>
      <c r="E796" s="645" t="s">
        <v>1115</v>
      </c>
      <c r="F796" s="645" t="s">
        <v>1114</v>
      </c>
      <c r="G796" s="645" t="s">
        <v>777</v>
      </c>
      <c r="H796" s="644">
        <v>190000000</v>
      </c>
      <c r="I796" s="644">
        <v>0</v>
      </c>
      <c r="J796" s="644">
        <v>0</v>
      </c>
      <c r="K796" s="644">
        <v>0</v>
      </c>
      <c r="L796" s="644">
        <v>0</v>
      </c>
      <c r="M796" s="644">
        <v>0</v>
      </c>
      <c r="N796" s="644">
        <v>190000000</v>
      </c>
      <c r="O796" s="644">
        <v>0</v>
      </c>
      <c r="P796" s="644">
        <v>190000000</v>
      </c>
      <c r="Q796" s="644">
        <v>190000000</v>
      </c>
      <c r="R796" s="644">
        <v>0</v>
      </c>
      <c r="S796" s="644">
        <v>0</v>
      </c>
      <c r="T796" s="644">
        <v>0</v>
      </c>
      <c r="U796" s="644">
        <v>0</v>
      </c>
      <c r="V796" s="644">
        <v>0</v>
      </c>
      <c r="W796" s="632">
        <v>0</v>
      </c>
      <c r="X796" s="632">
        <v>0</v>
      </c>
    </row>
    <row r="797" spans="1:24" ht="22.5">
      <c r="A797" s="645">
        <v>779</v>
      </c>
      <c r="B797" s="643" t="s">
        <v>1185</v>
      </c>
      <c r="C797" s="645" t="s">
        <v>443</v>
      </c>
      <c r="D797" s="645" t="s">
        <v>1183</v>
      </c>
      <c r="E797" s="645" t="s">
        <v>1356</v>
      </c>
      <c r="F797" s="645" t="s">
        <v>1114</v>
      </c>
      <c r="G797" s="645" t="s">
        <v>1186</v>
      </c>
      <c r="H797" s="644">
        <v>41605250</v>
      </c>
      <c r="I797" s="644">
        <v>41605250</v>
      </c>
      <c r="J797" s="644">
        <v>41605250</v>
      </c>
      <c r="K797" s="644">
        <v>0</v>
      </c>
      <c r="L797" s="644">
        <v>0</v>
      </c>
      <c r="M797" s="644">
        <v>0</v>
      </c>
      <c r="N797" s="644">
        <v>0</v>
      </c>
      <c r="O797" s="644">
        <v>0</v>
      </c>
      <c r="P797" s="644">
        <v>41605250</v>
      </c>
      <c r="Q797" s="644">
        <v>41605250</v>
      </c>
      <c r="R797" s="644">
        <v>0</v>
      </c>
      <c r="S797" s="644">
        <v>0</v>
      </c>
      <c r="T797" s="644">
        <v>0</v>
      </c>
      <c r="U797" s="644">
        <v>0</v>
      </c>
      <c r="V797" s="644">
        <v>0</v>
      </c>
      <c r="W797" s="632">
        <v>0</v>
      </c>
      <c r="X797" s="632">
        <v>0</v>
      </c>
    </row>
    <row r="798" spans="1:24" ht="22.5">
      <c r="A798" s="645">
        <v>780</v>
      </c>
      <c r="B798" s="643" t="s">
        <v>1185</v>
      </c>
      <c r="C798" s="645" t="s">
        <v>443</v>
      </c>
      <c r="D798" s="645" t="s">
        <v>1183</v>
      </c>
      <c r="E798" s="645" t="s">
        <v>1184</v>
      </c>
      <c r="F798" s="645" t="s">
        <v>1114</v>
      </c>
      <c r="G798" s="645" t="s">
        <v>1186</v>
      </c>
      <c r="H798" s="644">
        <v>2250225565</v>
      </c>
      <c r="I798" s="644">
        <v>840829565</v>
      </c>
      <c r="J798" s="644">
        <v>840829565</v>
      </c>
      <c r="K798" s="644">
        <v>0</v>
      </c>
      <c r="L798" s="644">
        <v>0</v>
      </c>
      <c r="M798" s="644">
        <v>1409396000</v>
      </c>
      <c r="N798" s="644">
        <v>0</v>
      </c>
      <c r="O798" s="644">
        <v>0</v>
      </c>
      <c r="P798" s="644">
        <v>2250225565</v>
      </c>
      <c r="Q798" s="644">
        <v>2250225565</v>
      </c>
      <c r="R798" s="644">
        <v>0</v>
      </c>
      <c r="S798" s="644">
        <v>0</v>
      </c>
      <c r="T798" s="644">
        <v>0</v>
      </c>
      <c r="U798" s="644">
        <v>0</v>
      </c>
      <c r="V798" s="644">
        <v>0</v>
      </c>
      <c r="W798" s="632">
        <v>0</v>
      </c>
      <c r="X798" s="632">
        <v>300000</v>
      </c>
    </row>
    <row r="799" spans="1:24" ht="22.5">
      <c r="A799" s="645">
        <v>781</v>
      </c>
      <c r="B799" s="643" t="s">
        <v>1185</v>
      </c>
      <c r="C799" s="645" t="s">
        <v>443</v>
      </c>
      <c r="D799" s="645" t="s">
        <v>1183</v>
      </c>
      <c r="E799" s="645" t="s">
        <v>1115</v>
      </c>
      <c r="F799" s="645" t="s">
        <v>1114</v>
      </c>
      <c r="G799" s="645" t="s">
        <v>1186</v>
      </c>
      <c r="H799" s="644">
        <v>5399756000</v>
      </c>
      <c r="I799" s="644">
        <v>0</v>
      </c>
      <c r="J799" s="644">
        <v>0</v>
      </c>
      <c r="K799" s="644">
        <v>0</v>
      </c>
      <c r="L799" s="644">
        <v>0</v>
      </c>
      <c r="M799" s="644">
        <v>0</v>
      </c>
      <c r="N799" s="644">
        <v>5399756000</v>
      </c>
      <c r="O799" s="644">
        <v>0</v>
      </c>
      <c r="P799" s="644">
        <v>5399756000</v>
      </c>
      <c r="Q799" s="644">
        <v>5399756000</v>
      </c>
      <c r="R799" s="644">
        <v>0</v>
      </c>
      <c r="S799" s="644">
        <v>0</v>
      </c>
      <c r="T799" s="644">
        <v>0</v>
      </c>
      <c r="U799" s="644">
        <v>0</v>
      </c>
      <c r="V799" s="644">
        <v>0</v>
      </c>
      <c r="W799" s="632">
        <v>0</v>
      </c>
      <c r="X799" s="632">
        <v>0</v>
      </c>
    </row>
    <row r="800" spans="1:24" ht="22.5">
      <c r="A800" s="645">
        <v>782</v>
      </c>
      <c r="B800" s="643" t="s">
        <v>1187</v>
      </c>
      <c r="C800" s="645" t="s">
        <v>443</v>
      </c>
      <c r="D800" s="645" t="s">
        <v>1183</v>
      </c>
      <c r="E800" s="645" t="s">
        <v>1184</v>
      </c>
      <c r="F800" s="645" t="s">
        <v>1114</v>
      </c>
      <c r="G800" s="645" t="s">
        <v>1188</v>
      </c>
      <c r="H800" s="644">
        <v>2482754000</v>
      </c>
      <c r="I800" s="644">
        <v>0</v>
      </c>
      <c r="J800" s="644">
        <v>0</v>
      </c>
      <c r="K800" s="644">
        <v>0</v>
      </c>
      <c r="L800" s="644">
        <v>0</v>
      </c>
      <c r="M800" s="644">
        <v>2482754000</v>
      </c>
      <c r="N800" s="644">
        <v>0</v>
      </c>
      <c r="O800" s="644">
        <v>0</v>
      </c>
      <c r="P800" s="644">
        <v>2482754000</v>
      </c>
      <c r="Q800" s="644">
        <v>2482754000</v>
      </c>
      <c r="R800" s="644">
        <v>0</v>
      </c>
      <c r="S800" s="644">
        <v>0</v>
      </c>
      <c r="T800" s="644">
        <v>0</v>
      </c>
      <c r="U800" s="644">
        <v>0</v>
      </c>
      <c r="V800" s="644">
        <v>0</v>
      </c>
      <c r="W800" s="632">
        <v>0</v>
      </c>
      <c r="X800" s="632">
        <v>0</v>
      </c>
    </row>
    <row r="801" spans="1:24" ht="22.5">
      <c r="A801" s="645">
        <v>783</v>
      </c>
      <c r="B801" s="643" t="s">
        <v>1187</v>
      </c>
      <c r="C801" s="645" t="s">
        <v>443</v>
      </c>
      <c r="D801" s="645" t="s">
        <v>1183</v>
      </c>
      <c r="E801" s="645" t="s">
        <v>1115</v>
      </c>
      <c r="F801" s="645" t="s">
        <v>1114</v>
      </c>
      <c r="G801" s="645" t="s">
        <v>1188</v>
      </c>
      <c r="H801" s="644">
        <v>2163323000</v>
      </c>
      <c r="I801" s="644">
        <v>0</v>
      </c>
      <c r="J801" s="644">
        <v>0</v>
      </c>
      <c r="K801" s="644">
        <v>0</v>
      </c>
      <c r="L801" s="644">
        <v>0</v>
      </c>
      <c r="M801" s="644">
        <v>0</v>
      </c>
      <c r="N801" s="644">
        <v>2163323000</v>
      </c>
      <c r="O801" s="644">
        <v>0</v>
      </c>
      <c r="P801" s="644">
        <v>2163323000</v>
      </c>
      <c r="Q801" s="644">
        <v>2163323000</v>
      </c>
      <c r="R801" s="644">
        <v>0</v>
      </c>
      <c r="S801" s="644">
        <v>0</v>
      </c>
      <c r="T801" s="644">
        <v>0</v>
      </c>
      <c r="U801" s="644">
        <v>0</v>
      </c>
      <c r="V801" s="644">
        <v>0</v>
      </c>
      <c r="W801" s="632">
        <v>0</v>
      </c>
      <c r="X801" s="632">
        <v>0</v>
      </c>
    </row>
    <row r="802" spans="1:24" ht="22.5">
      <c r="A802" s="645">
        <v>784</v>
      </c>
      <c r="B802" s="643" t="s">
        <v>1189</v>
      </c>
      <c r="C802" s="645" t="s">
        <v>443</v>
      </c>
      <c r="D802" s="645" t="s">
        <v>1183</v>
      </c>
      <c r="E802" s="645" t="s">
        <v>1184</v>
      </c>
      <c r="F802" s="645" t="s">
        <v>1114</v>
      </c>
      <c r="G802" s="645" t="s">
        <v>1190</v>
      </c>
      <c r="H802" s="644">
        <v>0</v>
      </c>
      <c r="I802" s="644">
        <v>596216</v>
      </c>
      <c r="J802" s="644">
        <v>596216</v>
      </c>
      <c r="K802" s="644">
        <v>0</v>
      </c>
      <c r="L802" s="644">
        <v>0</v>
      </c>
      <c r="M802" s="644">
        <v>-596216</v>
      </c>
      <c r="N802" s="644">
        <v>0</v>
      </c>
      <c r="O802" s="644">
        <v>0</v>
      </c>
      <c r="P802" s="644">
        <v>0</v>
      </c>
      <c r="Q802" s="644">
        <v>0</v>
      </c>
      <c r="R802" s="644">
        <v>0</v>
      </c>
      <c r="S802" s="644">
        <v>0</v>
      </c>
      <c r="T802" s="644">
        <v>0</v>
      </c>
      <c r="U802" s="644">
        <v>0</v>
      </c>
      <c r="V802" s="644">
        <v>0</v>
      </c>
      <c r="W802" s="632">
        <v>0</v>
      </c>
      <c r="X802" s="632">
        <v>0</v>
      </c>
    </row>
    <row r="803" spans="1:24" ht="22.5">
      <c r="A803" s="645">
        <v>785</v>
      </c>
      <c r="B803" s="643" t="s">
        <v>1191</v>
      </c>
      <c r="C803" s="645" t="s">
        <v>443</v>
      </c>
      <c r="D803" s="645" t="s">
        <v>1183</v>
      </c>
      <c r="E803" s="645" t="s">
        <v>1192</v>
      </c>
      <c r="F803" s="645" t="s">
        <v>1114</v>
      </c>
      <c r="G803" s="645" t="s">
        <v>777</v>
      </c>
      <c r="H803" s="644">
        <v>0</v>
      </c>
      <c r="I803" s="644">
        <v>547784584</v>
      </c>
      <c r="J803" s="644">
        <v>547784584</v>
      </c>
      <c r="K803" s="644">
        <v>0</v>
      </c>
      <c r="L803" s="644">
        <v>0</v>
      </c>
      <c r="M803" s="644">
        <v>-547784584</v>
      </c>
      <c r="N803" s="644">
        <v>0</v>
      </c>
      <c r="O803" s="644">
        <v>0</v>
      </c>
      <c r="P803" s="644">
        <v>0</v>
      </c>
      <c r="Q803" s="644">
        <v>0</v>
      </c>
      <c r="R803" s="644">
        <v>0</v>
      </c>
      <c r="S803" s="644">
        <v>0</v>
      </c>
      <c r="T803" s="644">
        <v>0</v>
      </c>
      <c r="U803" s="644">
        <v>0</v>
      </c>
      <c r="V803" s="644">
        <v>0</v>
      </c>
      <c r="W803" s="632">
        <v>0</v>
      </c>
      <c r="X803" s="632">
        <v>0</v>
      </c>
    </row>
    <row r="804" spans="1:24" ht="22.5">
      <c r="A804" s="645">
        <v>786</v>
      </c>
      <c r="B804" s="643" t="s">
        <v>1193</v>
      </c>
      <c r="C804" s="645" t="s">
        <v>443</v>
      </c>
      <c r="D804" s="645" t="s">
        <v>1183</v>
      </c>
      <c r="E804" s="645" t="s">
        <v>1194</v>
      </c>
      <c r="F804" s="645" t="s">
        <v>1114</v>
      </c>
      <c r="G804" s="645" t="s">
        <v>777</v>
      </c>
      <c r="H804" s="644">
        <v>39704000</v>
      </c>
      <c r="I804" s="644">
        <v>39704000</v>
      </c>
      <c r="J804" s="644">
        <v>39704000</v>
      </c>
      <c r="K804" s="644">
        <v>0</v>
      </c>
      <c r="L804" s="644">
        <v>0</v>
      </c>
      <c r="M804" s="644">
        <v>0</v>
      </c>
      <c r="N804" s="644">
        <v>0</v>
      </c>
      <c r="O804" s="644">
        <v>0</v>
      </c>
      <c r="P804" s="644">
        <v>0</v>
      </c>
      <c r="Q804" s="644">
        <v>0</v>
      </c>
      <c r="R804" s="644">
        <v>0</v>
      </c>
      <c r="S804" s="644">
        <v>39704000</v>
      </c>
      <c r="T804" s="644">
        <v>39704000</v>
      </c>
      <c r="U804" s="644">
        <v>0</v>
      </c>
      <c r="V804" s="644">
        <v>0</v>
      </c>
      <c r="W804" s="632">
        <v>0</v>
      </c>
      <c r="X804" s="632">
        <v>25600000</v>
      </c>
    </row>
    <row r="805" spans="1:24" ht="22.5">
      <c r="A805" s="645">
        <v>787</v>
      </c>
      <c r="B805" s="643" t="s">
        <v>1195</v>
      </c>
      <c r="C805" s="645" t="s">
        <v>443</v>
      </c>
      <c r="D805" s="645" t="s">
        <v>1183</v>
      </c>
      <c r="E805" s="645" t="s">
        <v>1184</v>
      </c>
      <c r="F805" s="645" t="s">
        <v>1114</v>
      </c>
      <c r="G805" s="645" t="s">
        <v>1190</v>
      </c>
      <c r="H805" s="644">
        <v>0</v>
      </c>
      <c r="I805" s="644">
        <v>167151826</v>
      </c>
      <c r="J805" s="644">
        <v>167151826</v>
      </c>
      <c r="K805" s="644">
        <v>0</v>
      </c>
      <c r="L805" s="644">
        <v>0</v>
      </c>
      <c r="M805" s="644">
        <v>-167151826</v>
      </c>
      <c r="N805" s="644">
        <v>0</v>
      </c>
      <c r="O805" s="644">
        <v>0</v>
      </c>
      <c r="P805" s="644">
        <v>0</v>
      </c>
      <c r="Q805" s="644">
        <v>0</v>
      </c>
      <c r="R805" s="644">
        <v>0</v>
      </c>
      <c r="S805" s="644">
        <v>0</v>
      </c>
      <c r="T805" s="644">
        <v>0</v>
      </c>
      <c r="U805" s="644">
        <v>0</v>
      </c>
      <c r="V805" s="644">
        <v>0</v>
      </c>
      <c r="W805" s="632">
        <v>0</v>
      </c>
      <c r="X805" s="632">
        <v>0</v>
      </c>
    </row>
    <row r="806" spans="1:24" ht="22.5">
      <c r="A806" s="645">
        <v>788</v>
      </c>
      <c r="B806" s="643" t="s">
        <v>1357</v>
      </c>
      <c r="C806" s="645" t="s">
        <v>443</v>
      </c>
      <c r="D806" s="645" t="s">
        <v>1183</v>
      </c>
      <c r="E806" s="645" t="s">
        <v>1194</v>
      </c>
      <c r="F806" s="645" t="s">
        <v>1114</v>
      </c>
      <c r="G806" s="645" t="s">
        <v>777</v>
      </c>
      <c r="H806" s="644">
        <v>0</v>
      </c>
      <c r="I806" s="644">
        <v>107064697</v>
      </c>
      <c r="J806" s="644">
        <v>107064697</v>
      </c>
      <c r="K806" s="644">
        <v>0</v>
      </c>
      <c r="L806" s="644">
        <v>0</v>
      </c>
      <c r="M806" s="644">
        <v>-107064697</v>
      </c>
      <c r="N806" s="644">
        <v>0</v>
      </c>
      <c r="O806" s="644">
        <v>0</v>
      </c>
      <c r="P806" s="644">
        <v>0</v>
      </c>
      <c r="Q806" s="644">
        <v>0</v>
      </c>
      <c r="R806" s="644">
        <v>0</v>
      </c>
      <c r="S806" s="644">
        <v>0</v>
      </c>
      <c r="T806" s="644">
        <v>0</v>
      </c>
      <c r="U806" s="644">
        <v>0</v>
      </c>
      <c r="V806" s="644">
        <v>0</v>
      </c>
      <c r="W806" s="632">
        <v>0</v>
      </c>
      <c r="X806" s="632">
        <v>0</v>
      </c>
    </row>
    <row r="807" spans="1:24" ht="22.5">
      <c r="A807" s="645">
        <v>789</v>
      </c>
      <c r="B807" s="643" t="s">
        <v>1196</v>
      </c>
      <c r="C807" s="645" t="s">
        <v>443</v>
      </c>
      <c r="D807" s="645" t="s">
        <v>1183</v>
      </c>
      <c r="E807" s="645" t="s">
        <v>1184</v>
      </c>
      <c r="F807" s="645" t="s">
        <v>1114</v>
      </c>
      <c r="G807" s="645" t="s">
        <v>1190</v>
      </c>
      <c r="H807" s="644">
        <v>0</v>
      </c>
      <c r="I807" s="644">
        <v>163067214</v>
      </c>
      <c r="J807" s="644">
        <v>163067214</v>
      </c>
      <c r="K807" s="644">
        <v>0</v>
      </c>
      <c r="L807" s="644">
        <v>0</v>
      </c>
      <c r="M807" s="644">
        <v>-163067214</v>
      </c>
      <c r="N807" s="644">
        <v>0</v>
      </c>
      <c r="O807" s="644">
        <v>0</v>
      </c>
      <c r="P807" s="644">
        <v>0</v>
      </c>
      <c r="Q807" s="644">
        <v>0</v>
      </c>
      <c r="R807" s="644">
        <v>0</v>
      </c>
      <c r="S807" s="644">
        <v>0</v>
      </c>
      <c r="T807" s="644">
        <v>0</v>
      </c>
      <c r="U807" s="644">
        <v>0</v>
      </c>
      <c r="V807" s="644">
        <v>0</v>
      </c>
      <c r="W807" s="632">
        <v>0</v>
      </c>
      <c r="X807" s="632">
        <v>31884200</v>
      </c>
    </row>
    <row r="808" spans="1:24" ht="22.5">
      <c r="A808" s="645">
        <v>790</v>
      </c>
      <c r="B808" s="643" t="s">
        <v>1197</v>
      </c>
      <c r="C808" s="645" t="s">
        <v>443</v>
      </c>
      <c r="D808" s="645" t="s">
        <v>1183</v>
      </c>
      <c r="E808" s="645" t="s">
        <v>1184</v>
      </c>
      <c r="F808" s="645" t="s">
        <v>1114</v>
      </c>
      <c r="G808" s="645" t="s">
        <v>777</v>
      </c>
      <c r="H808" s="644">
        <v>0</v>
      </c>
      <c r="I808" s="644">
        <v>512419736</v>
      </c>
      <c r="J808" s="644">
        <v>512419736</v>
      </c>
      <c r="K808" s="644">
        <v>0</v>
      </c>
      <c r="L808" s="644">
        <v>0</v>
      </c>
      <c r="M808" s="644">
        <v>-512419736</v>
      </c>
      <c r="N808" s="644">
        <v>0</v>
      </c>
      <c r="O808" s="644">
        <v>0</v>
      </c>
      <c r="P808" s="644">
        <v>0</v>
      </c>
      <c r="Q808" s="644">
        <v>0</v>
      </c>
      <c r="R808" s="644">
        <v>0</v>
      </c>
      <c r="S808" s="644">
        <v>0</v>
      </c>
      <c r="T808" s="644">
        <v>0</v>
      </c>
      <c r="U808" s="644">
        <v>0</v>
      </c>
      <c r="V808" s="644">
        <v>0</v>
      </c>
      <c r="W808" s="632">
        <v>0</v>
      </c>
      <c r="X808" s="632">
        <v>0</v>
      </c>
    </row>
    <row r="809" spans="1:24" ht="22.5">
      <c r="A809" s="645">
        <v>791</v>
      </c>
      <c r="B809" s="643" t="s">
        <v>1198</v>
      </c>
      <c r="C809" s="645" t="s">
        <v>443</v>
      </c>
      <c r="D809" s="645" t="s">
        <v>1183</v>
      </c>
      <c r="E809" s="645" t="s">
        <v>1184</v>
      </c>
      <c r="F809" s="645" t="s">
        <v>1114</v>
      </c>
      <c r="G809" s="645" t="s">
        <v>1199</v>
      </c>
      <c r="H809" s="644">
        <v>0</v>
      </c>
      <c r="I809" s="644">
        <v>45743278</v>
      </c>
      <c r="J809" s="644">
        <v>45743278</v>
      </c>
      <c r="K809" s="644">
        <v>0</v>
      </c>
      <c r="L809" s="644">
        <v>0</v>
      </c>
      <c r="M809" s="644">
        <v>-45743278</v>
      </c>
      <c r="N809" s="644">
        <v>0</v>
      </c>
      <c r="O809" s="644">
        <v>0</v>
      </c>
      <c r="P809" s="644">
        <v>0</v>
      </c>
      <c r="Q809" s="644">
        <v>0</v>
      </c>
      <c r="R809" s="644">
        <v>0</v>
      </c>
      <c r="S809" s="644">
        <v>0</v>
      </c>
      <c r="T809" s="644">
        <v>0</v>
      </c>
      <c r="U809" s="644">
        <v>0</v>
      </c>
      <c r="V809" s="644">
        <v>0</v>
      </c>
      <c r="W809" s="632">
        <v>0</v>
      </c>
      <c r="X809" s="632">
        <v>30013500</v>
      </c>
    </row>
    <row r="810" spans="1:24" ht="22.5">
      <c r="A810" s="645">
        <v>792</v>
      </c>
      <c r="B810" s="643" t="s">
        <v>1202</v>
      </c>
      <c r="C810" s="645" t="s">
        <v>443</v>
      </c>
      <c r="D810" s="645" t="s">
        <v>1183</v>
      </c>
      <c r="E810" s="645" t="s">
        <v>1184</v>
      </c>
      <c r="F810" s="645" t="s">
        <v>1114</v>
      </c>
      <c r="G810" s="645" t="s">
        <v>1203</v>
      </c>
      <c r="H810" s="644">
        <v>0</v>
      </c>
      <c r="I810" s="644">
        <v>214062799</v>
      </c>
      <c r="J810" s="644">
        <v>214062799</v>
      </c>
      <c r="K810" s="644">
        <v>0</v>
      </c>
      <c r="L810" s="644">
        <v>0</v>
      </c>
      <c r="M810" s="644">
        <v>-214062799</v>
      </c>
      <c r="N810" s="644">
        <v>0</v>
      </c>
      <c r="O810" s="644">
        <v>0</v>
      </c>
      <c r="P810" s="644">
        <v>0</v>
      </c>
      <c r="Q810" s="644">
        <v>0</v>
      </c>
      <c r="R810" s="644">
        <v>0</v>
      </c>
      <c r="S810" s="644">
        <v>0</v>
      </c>
      <c r="T810" s="644">
        <v>0</v>
      </c>
      <c r="U810" s="644">
        <v>0</v>
      </c>
      <c r="V810" s="644">
        <v>0</v>
      </c>
      <c r="W810" s="632">
        <v>0</v>
      </c>
      <c r="X810" s="632">
        <v>0</v>
      </c>
    </row>
    <row r="811" spans="1:24" ht="22.5">
      <c r="A811" s="645">
        <v>793</v>
      </c>
      <c r="B811" s="643" t="s">
        <v>1204</v>
      </c>
      <c r="C811" s="645" t="s">
        <v>443</v>
      </c>
      <c r="D811" s="645" t="s">
        <v>1183</v>
      </c>
      <c r="E811" s="645" t="s">
        <v>1184</v>
      </c>
      <c r="F811" s="645" t="s">
        <v>1114</v>
      </c>
      <c r="G811" s="645" t="s">
        <v>1205</v>
      </c>
      <c r="H811" s="644">
        <v>0</v>
      </c>
      <c r="I811" s="644">
        <v>157431770</v>
      </c>
      <c r="J811" s="644">
        <v>157431770</v>
      </c>
      <c r="K811" s="644">
        <v>0</v>
      </c>
      <c r="L811" s="644">
        <v>0</v>
      </c>
      <c r="M811" s="644">
        <v>-157431770</v>
      </c>
      <c r="N811" s="644">
        <v>0</v>
      </c>
      <c r="O811" s="644">
        <v>0</v>
      </c>
      <c r="P811" s="644">
        <v>0</v>
      </c>
      <c r="Q811" s="644">
        <v>0</v>
      </c>
      <c r="R811" s="644">
        <v>0</v>
      </c>
      <c r="S811" s="644">
        <v>0</v>
      </c>
      <c r="T811" s="644">
        <v>0</v>
      </c>
      <c r="U811" s="644">
        <v>0</v>
      </c>
      <c r="V811" s="644">
        <v>0</v>
      </c>
      <c r="W811" s="632">
        <v>0</v>
      </c>
      <c r="X811" s="632">
        <v>0</v>
      </c>
    </row>
    <row r="812" spans="1:24" ht="22.5">
      <c r="A812" s="645">
        <v>794</v>
      </c>
      <c r="B812" s="643" t="s">
        <v>1206</v>
      </c>
      <c r="C812" s="645" t="s">
        <v>443</v>
      </c>
      <c r="D812" s="645" t="s">
        <v>1183</v>
      </c>
      <c r="E812" s="645" t="s">
        <v>1184</v>
      </c>
      <c r="F812" s="645" t="s">
        <v>1114</v>
      </c>
      <c r="G812" s="645" t="s">
        <v>1205</v>
      </c>
      <c r="H812" s="644">
        <v>0</v>
      </c>
      <c r="I812" s="644">
        <v>82865960</v>
      </c>
      <c r="J812" s="644">
        <v>82865960</v>
      </c>
      <c r="K812" s="644">
        <v>0</v>
      </c>
      <c r="L812" s="644">
        <v>0</v>
      </c>
      <c r="M812" s="644">
        <v>-82865960</v>
      </c>
      <c r="N812" s="644">
        <v>0</v>
      </c>
      <c r="O812" s="644">
        <v>0</v>
      </c>
      <c r="P812" s="644">
        <v>0</v>
      </c>
      <c r="Q812" s="644">
        <v>0</v>
      </c>
      <c r="R812" s="644">
        <v>0</v>
      </c>
      <c r="S812" s="644">
        <v>0</v>
      </c>
      <c r="T812" s="644">
        <v>0</v>
      </c>
      <c r="U812" s="644">
        <v>0</v>
      </c>
      <c r="V812" s="644">
        <v>0</v>
      </c>
      <c r="W812" s="632">
        <v>0</v>
      </c>
      <c r="X812" s="632">
        <v>0</v>
      </c>
    </row>
    <row r="813" spans="1:24" ht="22.5">
      <c r="A813" s="645">
        <v>795</v>
      </c>
      <c r="B813" s="643" t="s">
        <v>1209</v>
      </c>
      <c r="C813" s="645" t="s">
        <v>443</v>
      </c>
      <c r="D813" s="645" t="s">
        <v>1183</v>
      </c>
      <c r="E813" s="645" t="s">
        <v>1184</v>
      </c>
      <c r="F813" s="645" t="s">
        <v>1114</v>
      </c>
      <c r="G813" s="645" t="s">
        <v>1205</v>
      </c>
      <c r="H813" s="644">
        <v>3275609000</v>
      </c>
      <c r="I813" s="644">
        <v>0</v>
      </c>
      <c r="J813" s="644">
        <v>0</v>
      </c>
      <c r="K813" s="644">
        <v>0</v>
      </c>
      <c r="L813" s="644">
        <v>0</v>
      </c>
      <c r="M813" s="644">
        <v>3275609000</v>
      </c>
      <c r="N813" s="644">
        <v>0</v>
      </c>
      <c r="O813" s="644">
        <v>0</v>
      </c>
      <c r="P813" s="644">
        <v>3275609000</v>
      </c>
      <c r="Q813" s="644">
        <v>3275609000</v>
      </c>
      <c r="R813" s="644">
        <v>0</v>
      </c>
      <c r="S813" s="644">
        <v>0</v>
      </c>
      <c r="T813" s="644">
        <v>0</v>
      </c>
      <c r="U813" s="644">
        <v>0</v>
      </c>
      <c r="V813" s="644">
        <v>0</v>
      </c>
      <c r="W813" s="632">
        <v>0</v>
      </c>
      <c r="X813" s="632">
        <v>0</v>
      </c>
    </row>
    <row r="814" spans="1:24" ht="22.5">
      <c r="A814" s="645">
        <v>796</v>
      </c>
      <c r="B814" s="643" t="s">
        <v>1212</v>
      </c>
      <c r="C814" s="645" t="s">
        <v>443</v>
      </c>
      <c r="D814" s="645" t="s">
        <v>1183</v>
      </c>
      <c r="E814" s="645" t="s">
        <v>1184</v>
      </c>
      <c r="F814" s="645" t="s">
        <v>1114</v>
      </c>
      <c r="G814" s="645" t="s">
        <v>777</v>
      </c>
      <c r="H814" s="644">
        <v>0</v>
      </c>
      <c r="I814" s="644">
        <v>500034285</v>
      </c>
      <c r="J814" s="644">
        <v>500034285</v>
      </c>
      <c r="K814" s="644">
        <v>0</v>
      </c>
      <c r="L814" s="644">
        <v>0</v>
      </c>
      <c r="M814" s="644">
        <v>-500034285</v>
      </c>
      <c r="N814" s="644">
        <v>0</v>
      </c>
      <c r="O814" s="644">
        <v>0</v>
      </c>
      <c r="P814" s="644">
        <v>0</v>
      </c>
      <c r="Q814" s="644">
        <v>0</v>
      </c>
      <c r="R814" s="644">
        <v>0</v>
      </c>
      <c r="S814" s="644">
        <v>0</v>
      </c>
      <c r="T814" s="644">
        <v>0</v>
      </c>
      <c r="U814" s="644">
        <v>0</v>
      </c>
      <c r="V814" s="644">
        <v>0</v>
      </c>
      <c r="W814" s="632">
        <v>0</v>
      </c>
      <c r="X814" s="632">
        <v>0</v>
      </c>
    </row>
    <row r="815" spans="1:24" ht="22.5">
      <c r="A815" s="645">
        <v>797</v>
      </c>
      <c r="B815" s="643" t="s">
        <v>1213</v>
      </c>
      <c r="C815" s="645" t="s">
        <v>443</v>
      </c>
      <c r="D815" s="645" t="s">
        <v>1183</v>
      </c>
      <c r="E815" s="645" t="s">
        <v>1184</v>
      </c>
      <c r="F815" s="645" t="s">
        <v>1114</v>
      </c>
      <c r="G815" s="645" t="s">
        <v>777</v>
      </c>
      <c r="H815" s="644">
        <v>0</v>
      </c>
      <c r="I815" s="644">
        <v>569214375</v>
      </c>
      <c r="J815" s="644">
        <v>569214375</v>
      </c>
      <c r="K815" s="644">
        <v>0</v>
      </c>
      <c r="L815" s="644">
        <v>0</v>
      </c>
      <c r="M815" s="644">
        <v>-569214375</v>
      </c>
      <c r="N815" s="644">
        <v>0</v>
      </c>
      <c r="O815" s="644">
        <v>0</v>
      </c>
      <c r="P815" s="644">
        <v>0</v>
      </c>
      <c r="Q815" s="644">
        <v>0</v>
      </c>
      <c r="R815" s="644">
        <v>0</v>
      </c>
      <c r="S815" s="644">
        <v>0</v>
      </c>
      <c r="T815" s="644">
        <v>0</v>
      </c>
      <c r="U815" s="644">
        <v>0</v>
      </c>
      <c r="V815" s="644">
        <v>0</v>
      </c>
      <c r="W815" s="632">
        <v>0</v>
      </c>
      <c r="X815" s="632">
        <v>0</v>
      </c>
    </row>
    <row r="816" spans="1:24" ht="22.5">
      <c r="A816" s="645">
        <v>798</v>
      </c>
      <c r="B816" s="643" t="s">
        <v>1214</v>
      </c>
      <c r="C816" s="645" t="s">
        <v>443</v>
      </c>
      <c r="D816" s="645" t="s">
        <v>1183</v>
      </c>
      <c r="E816" s="645" t="s">
        <v>1184</v>
      </c>
      <c r="F816" s="645" t="s">
        <v>1114</v>
      </c>
      <c r="G816" s="645" t="s">
        <v>777</v>
      </c>
      <c r="H816" s="644">
        <v>0</v>
      </c>
      <c r="I816" s="644">
        <v>1979414518</v>
      </c>
      <c r="J816" s="644">
        <v>1979414518</v>
      </c>
      <c r="K816" s="644">
        <v>0</v>
      </c>
      <c r="L816" s="644">
        <v>0</v>
      </c>
      <c r="M816" s="644">
        <v>-1979414518</v>
      </c>
      <c r="N816" s="644">
        <v>0</v>
      </c>
      <c r="O816" s="644">
        <v>0</v>
      </c>
      <c r="P816" s="644">
        <v>0</v>
      </c>
      <c r="Q816" s="644">
        <v>0</v>
      </c>
      <c r="R816" s="644">
        <v>0</v>
      </c>
      <c r="S816" s="644">
        <v>0</v>
      </c>
      <c r="T816" s="644">
        <v>0</v>
      </c>
      <c r="U816" s="644">
        <v>0</v>
      </c>
      <c r="V816" s="644">
        <v>0</v>
      </c>
      <c r="W816" s="632">
        <v>0</v>
      </c>
      <c r="X816" s="632">
        <v>0</v>
      </c>
    </row>
    <row r="817" spans="1:24" ht="22.5">
      <c r="A817" s="645">
        <v>799</v>
      </c>
      <c r="B817" s="643" t="s">
        <v>1215</v>
      </c>
      <c r="C817" s="645" t="s">
        <v>443</v>
      </c>
      <c r="D817" s="645" t="s">
        <v>1183</v>
      </c>
      <c r="E817" s="645" t="s">
        <v>1356</v>
      </c>
      <c r="F817" s="645" t="s">
        <v>1114</v>
      </c>
      <c r="G817" s="645" t="s">
        <v>777</v>
      </c>
      <c r="H817" s="644">
        <v>0</v>
      </c>
      <c r="I817" s="644">
        <v>197524782</v>
      </c>
      <c r="J817" s="644">
        <v>197524782</v>
      </c>
      <c r="K817" s="644">
        <v>0</v>
      </c>
      <c r="L817" s="644">
        <v>0</v>
      </c>
      <c r="M817" s="644">
        <v>-197524782</v>
      </c>
      <c r="N817" s="644">
        <v>0</v>
      </c>
      <c r="O817" s="644">
        <v>0</v>
      </c>
      <c r="P817" s="644">
        <v>0</v>
      </c>
      <c r="Q817" s="644">
        <v>0</v>
      </c>
      <c r="R817" s="644">
        <v>0</v>
      </c>
      <c r="S817" s="644">
        <v>0</v>
      </c>
      <c r="T817" s="644">
        <v>0</v>
      </c>
      <c r="U817" s="644">
        <v>0</v>
      </c>
      <c r="V817" s="644">
        <v>0</v>
      </c>
      <c r="W817" s="632">
        <v>0</v>
      </c>
      <c r="X817" s="632">
        <v>16716600</v>
      </c>
    </row>
    <row r="818" spans="1:24" ht="22.5">
      <c r="A818" s="645">
        <v>800</v>
      </c>
      <c r="B818" s="643" t="s">
        <v>1215</v>
      </c>
      <c r="C818" s="645" t="s">
        <v>443</v>
      </c>
      <c r="D818" s="645" t="s">
        <v>1183</v>
      </c>
      <c r="E818" s="645" t="s">
        <v>1184</v>
      </c>
      <c r="F818" s="645" t="s">
        <v>1114</v>
      </c>
      <c r="G818" s="645" t="s">
        <v>777</v>
      </c>
      <c r="H818" s="644">
        <v>0</v>
      </c>
      <c r="I818" s="644">
        <v>175064205</v>
      </c>
      <c r="J818" s="644">
        <v>175064205</v>
      </c>
      <c r="K818" s="644">
        <v>0</v>
      </c>
      <c r="L818" s="644">
        <v>0</v>
      </c>
      <c r="M818" s="644">
        <v>-175064205</v>
      </c>
      <c r="N818" s="644">
        <v>0</v>
      </c>
      <c r="O818" s="644">
        <v>0</v>
      </c>
      <c r="P818" s="644">
        <v>0</v>
      </c>
      <c r="Q818" s="644">
        <v>0</v>
      </c>
      <c r="R818" s="644">
        <v>0</v>
      </c>
      <c r="S818" s="644">
        <v>0</v>
      </c>
      <c r="T818" s="644">
        <v>0</v>
      </c>
      <c r="U818" s="644">
        <v>0</v>
      </c>
      <c r="V818" s="644">
        <v>0</v>
      </c>
      <c r="W818" s="632">
        <v>0</v>
      </c>
      <c r="X818" s="632">
        <v>0</v>
      </c>
    </row>
    <row r="819" spans="1:24" ht="22.5">
      <c r="A819" s="645">
        <v>801</v>
      </c>
      <c r="B819" s="643" t="s">
        <v>1216</v>
      </c>
      <c r="C819" s="645" t="s">
        <v>443</v>
      </c>
      <c r="D819" s="645" t="s">
        <v>1183</v>
      </c>
      <c r="E819" s="645" t="s">
        <v>905</v>
      </c>
      <c r="F819" s="645" t="s">
        <v>1114</v>
      </c>
      <c r="G819" s="645" t="s">
        <v>777</v>
      </c>
      <c r="H819" s="644">
        <v>0</v>
      </c>
      <c r="I819" s="644">
        <v>159994384</v>
      </c>
      <c r="J819" s="644">
        <v>159994384</v>
      </c>
      <c r="K819" s="644">
        <v>0</v>
      </c>
      <c r="L819" s="644">
        <v>0</v>
      </c>
      <c r="M819" s="644">
        <v>-159994384</v>
      </c>
      <c r="N819" s="644">
        <v>0</v>
      </c>
      <c r="O819" s="644">
        <v>0</v>
      </c>
      <c r="P819" s="644">
        <v>0</v>
      </c>
      <c r="Q819" s="644">
        <v>0</v>
      </c>
      <c r="R819" s="644">
        <v>0</v>
      </c>
      <c r="S819" s="644">
        <v>0</v>
      </c>
      <c r="T819" s="644">
        <v>0</v>
      </c>
      <c r="U819" s="644">
        <v>0</v>
      </c>
      <c r="V819" s="644">
        <v>0</v>
      </c>
      <c r="W819" s="632">
        <v>0</v>
      </c>
      <c r="X819" s="632">
        <v>0</v>
      </c>
    </row>
    <row r="820" spans="1:24" ht="22.5">
      <c r="A820" s="645">
        <v>802</v>
      </c>
      <c r="B820" s="643" t="s">
        <v>1216</v>
      </c>
      <c r="C820" s="645" t="s">
        <v>443</v>
      </c>
      <c r="D820" s="645" t="s">
        <v>1183</v>
      </c>
      <c r="E820" s="645" t="s">
        <v>1115</v>
      </c>
      <c r="F820" s="645" t="s">
        <v>1114</v>
      </c>
      <c r="G820" s="645" t="s">
        <v>777</v>
      </c>
      <c r="H820" s="644">
        <v>186000000</v>
      </c>
      <c r="I820" s="644">
        <v>0</v>
      </c>
      <c r="J820" s="644">
        <v>0</v>
      </c>
      <c r="K820" s="644">
        <v>0</v>
      </c>
      <c r="L820" s="644">
        <v>0</v>
      </c>
      <c r="M820" s="644">
        <v>0</v>
      </c>
      <c r="N820" s="644">
        <v>186000000</v>
      </c>
      <c r="O820" s="644">
        <v>0</v>
      </c>
      <c r="P820" s="644">
        <v>186000000</v>
      </c>
      <c r="Q820" s="644">
        <v>186000000</v>
      </c>
      <c r="R820" s="644">
        <v>0</v>
      </c>
      <c r="S820" s="644">
        <v>0</v>
      </c>
      <c r="T820" s="644">
        <v>0</v>
      </c>
      <c r="U820" s="644">
        <v>0</v>
      </c>
      <c r="V820" s="644">
        <v>0</v>
      </c>
      <c r="W820" s="632">
        <v>0</v>
      </c>
      <c r="X820" s="632">
        <v>1598300</v>
      </c>
    </row>
    <row r="821" spans="1:24" ht="22.5">
      <c r="A821" s="645">
        <v>803</v>
      </c>
      <c r="B821" s="643" t="s">
        <v>1373</v>
      </c>
      <c r="C821" s="645" t="s">
        <v>443</v>
      </c>
      <c r="D821" s="645" t="s">
        <v>1183</v>
      </c>
      <c r="E821" s="645" t="s">
        <v>1192</v>
      </c>
      <c r="F821" s="645" t="s">
        <v>1114</v>
      </c>
      <c r="G821" s="645" t="s">
        <v>777</v>
      </c>
      <c r="H821" s="644">
        <v>0</v>
      </c>
      <c r="I821" s="644">
        <v>260379803</v>
      </c>
      <c r="J821" s="644">
        <v>260379803</v>
      </c>
      <c r="K821" s="644">
        <v>0</v>
      </c>
      <c r="L821" s="644">
        <v>0</v>
      </c>
      <c r="M821" s="644">
        <v>-260379803</v>
      </c>
      <c r="N821" s="644">
        <v>0</v>
      </c>
      <c r="O821" s="644">
        <v>0</v>
      </c>
      <c r="P821" s="644">
        <v>0</v>
      </c>
      <c r="Q821" s="644">
        <v>0</v>
      </c>
      <c r="R821" s="644">
        <v>0</v>
      </c>
      <c r="S821" s="644">
        <v>0</v>
      </c>
      <c r="T821" s="644">
        <v>0</v>
      </c>
      <c r="U821" s="644">
        <v>0</v>
      </c>
      <c r="V821" s="644">
        <v>0</v>
      </c>
      <c r="W821" s="632">
        <v>0</v>
      </c>
      <c r="X821" s="632">
        <v>215298380</v>
      </c>
    </row>
    <row r="822" spans="1:24">
      <c r="A822" s="645">
        <v>804</v>
      </c>
      <c r="B822" s="643" t="s">
        <v>1217</v>
      </c>
      <c r="C822" s="645" t="s">
        <v>443</v>
      </c>
      <c r="D822" s="645" t="s">
        <v>1183</v>
      </c>
      <c r="E822" s="645" t="s">
        <v>1192</v>
      </c>
      <c r="F822" s="645" t="s">
        <v>1114</v>
      </c>
      <c r="G822" s="645" t="s">
        <v>777</v>
      </c>
      <c r="H822" s="644">
        <v>0</v>
      </c>
      <c r="I822" s="644">
        <v>4512769706</v>
      </c>
      <c r="J822" s="644">
        <v>4512769706</v>
      </c>
      <c r="K822" s="644">
        <v>0</v>
      </c>
      <c r="L822" s="644">
        <v>0</v>
      </c>
      <c r="M822" s="644">
        <v>-4512769706</v>
      </c>
      <c r="N822" s="644">
        <v>0</v>
      </c>
      <c r="O822" s="644">
        <v>0</v>
      </c>
      <c r="P822" s="644">
        <v>0</v>
      </c>
      <c r="Q822" s="644">
        <v>0</v>
      </c>
      <c r="R822" s="644">
        <v>0</v>
      </c>
      <c r="S822" s="644">
        <v>0</v>
      </c>
      <c r="T822" s="644">
        <v>0</v>
      </c>
      <c r="U822" s="644">
        <v>0</v>
      </c>
      <c r="V822" s="644">
        <v>0</v>
      </c>
      <c r="W822" s="632">
        <v>0</v>
      </c>
      <c r="X822" s="632">
        <v>10012000</v>
      </c>
    </row>
    <row r="823" spans="1:24" ht="22.5">
      <c r="A823" s="645">
        <v>805</v>
      </c>
      <c r="B823" s="643" t="s">
        <v>1218</v>
      </c>
      <c r="C823" s="645" t="s">
        <v>443</v>
      </c>
      <c r="D823" s="645" t="s">
        <v>1183</v>
      </c>
      <c r="E823" s="645" t="s">
        <v>1184</v>
      </c>
      <c r="F823" s="645" t="s">
        <v>1114</v>
      </c>
      <c r="G823" s="645" t="s">
        <v>1199</v>
      </c>
      <c r="H823" s="644">
        <v>0</v>
      </c>
      <c r="I823" s="644">
        <v>200183840</v>
      </c>
      <c r="J823" s="644">
        <v>200183840</v>
      </c>
      <c r="K823" s="644">
        <v>0</v>
      </c>
      <c r="L823" s="644">
        <v>0</v>
      </c>
      <c r="M823" s="644">
        <v>-200183840</v>
      </c>
      <c r="N823" s="644">
        <v>0</v>
      </c>
      <c r="O823" s="644">
        <v>0</v>
      </c>
      <c r="P823" s="644">
        <v>0</v>
      </c>
      <c r="Q823" s="644">
        <v>0</v>
      </c>
      <c r="R823" s="644">
        <v>0</v>
      </c>
      <c r="S823" s="644">
        <v>0</v>
      </c>
      <c r="T823" s="644">
        <v>0</v>
      </c>
      <c r="U823" s="644">
        <v>0</v>
      </c>
      <c r="V823" s="644">
        <v>0</v>
      </c>
      <c r="W823" s="632">
        <v>0</v>
      </c>
      <c r="X823" s="632">
        <v>0</v>
      </c>
    </row>
    <row r="824" spans="1:24" ht="22.5">
      <c r="A824" s="645">
        <v>806</v>
      </c>
      <c r="B824" s="643" t="s">
        <v>1221</v>
      </c>
      <c r="C824" s="645" t="s">
        <v>443</v>
      </c>
      <c r="D824" s="645" t="s">
        <v>1183</v>
      </c>
      <c r="E824" s="645" t="s">
        <v>1184</v>
      </c>
      <c r="F824" s="645" t="s">
        <v>1114</v>
      </c>
      <c r="G824" s="645" t="s">
        <v>1201</v>
      </c>
      <c r="H824" s="644">
        <v>3548086000</v>
      </c>
      <c r="I824" s="644">
        <v>77309000</v>
      </c>
      <c r="J824" s="644">
        <v>77309000</v>
      </c>
      <c r="K824" s="644">
        <v>0</v>
      </c>
      <c r="L824" s="644">
        <v>0</v>
      </c>
      <c r="M824" s="644">
        <v>3470777000</v>
      </c>
      <c r="N824" s="644">
        <v>0</v>
      </c>
      <c r="O824" s="644">
        <v>0</v>
      </c>
      <c r="P824" s="644">
        <v>3548086000</v>
      </c>
      <c r="Q824" s="644">
        <v>3548086000</v>
      </c>
      <c r="R824" s="644">
        <v>0</v>
      </c>
      <c r="S824" s="644">
        <v>0</v>
      </c>
      <c r="T824" s="644">
        <v>0</v>
      </c>
      <c r="U824" s="644">
        <v>0</v>
      </c>
      <c r="V824" s="644">
        <v>0</v>
      </c>
      <c r="W824" s="632">
        <v>0</v>
      </c>
      <c r="X824" s="632">
        <v>0</v>
      </c>
    </row>
    <row r="825" spans="1:24" ht="22.5">
      <c r="A825" s="645">
        <v>807</v>
      </c>
      <c r="B825" s="643" t="s">
        <v>1222</v>
      </c>
      <c r="C825" s="645" t="s">
        <v>443</v>
      </c>
      <c r="D825" s="645" t="s">
        <v>1183</v>
      </c>
      <c r="E825" s="645" t="s">
        <v>1223</v>
      </c>
      <c r="F825" s="645" t="s">
        <v>1114</v>
      </c>
      <c r="G825" s="645" t="s">
        <v>777</v>
      </c>
      <c r="H825" s="644">
        <v>0</v>
      </c>
      <c r="I825" s="644">
        <v>53099643</v>
      </c>
      <c r="J825" s="644">
        <v>53099643</v>
      </c>
      <c r="K825" s="644">
        <v>0</v>
      </c>
      <c r="L825" s="644">
        <v>0</v>
      </c>
      <c r="M825" s="644">
        <v>-53099643</v>
      </c>
      <c r="N825" s="644">
        <v>0</v>
      </c>
      <c r="O825" s="644">
        <v>0</v>
      </c>
      <c r="P825" s="644">
        <v>0</v>
      </c>
      <c r="Q825" s="644">
        <v>0</v>
      </c>
      <c r="R825" s="644">
        <v>0</v>
      </c>
      <c r="S825" s="644">
        <v>0</v>
      </c>
      <c r="T825" s="644">
        <v>0</v>
      </c>
      <c r="U825" s="644">
        <v>0</v>
      </c>
      <c r="V825" s="644">
        <v>0</v>
      </c>
      <c r="W825" s="632">
        <v>0</v>
      </c>
      <c r="X825" s="632">
        <v>0</v>
      </c>
    </row>
    <row r="826" spans="1:24" ht="22.5">
      <c r="A826" s="645">
        <v>808</v>
      </c>
      <c r="B826" s="643" t="s">
        <v>1222</v>
      </c>
      <c r="C826" s="645" t="s">
        <v>443</v>
      </c>
      <c r="D826" s="645" t="s">
        <v>1183</v>
      </c>
      <c r="E826" s="645" t="s">
        <v>1115</v>
      </c>
      <c r="F826" s="645" t="s">
        <v>1114</v>
      </c>
      <c r="G826" s="645" t="s">
        <v>777</v>
      </c>
      <c r="H826" s="644">
        <v>87000000</v>
      </c>
      <c r="I826" s="644">
        <v>0</v>
      </c>
      <c r="J826" s="644">
        <v>0</v>
      </c>
      <c r="K826" s="644">
        <v>0</v>
      </c>
      <c r="L826" s="644">
        <v>0</v>
      </c>
      <c r="M826" s="644">
        <v>0</v>
      </c>
      <c r="N826" s="644">
        <v>87000000</v>
      </c>
      <c r="O826" s="644">
        <v>0</v>
      </c>
      <c r="P826" s="644">
        <v>87000000</v>
      </c>
      <c r="Q826" s="644">
        <v>87000000</v>
      </c>
      <c r="R826" s="644">
        <v>0</v>
      </c>
      <c r="S826" s="644">
        <v>0</v>
      </c>
      <c r="T826" s="644">
        <v>0</v>
      </c>
      <c r="U826" s="644">
        <v>0</v>
      </c>
      <c r="V826" s="644">
        <v>0</v>
      </c>
      <c r="W826" s="632">
        <v>0</v>
      </c>
      <c r="X826" s="632">
        <v>0</v>
      </c>
    </row>
    <row r="827" spans="1:24" ht="22.5">
      <c r="A827" s="645">
        <v>809</v>
      </c>
      <c r="B827" s="643" t="s">
        <v>1263</v>
      </c>
      <c r="C827" s="645" t="s">
        <v>443</v>
      </c>
      <c r="D827" s="645" t="s">
        <v>1183</v>
      </c>
      <c r="E827" s="645" t="s">
        <v>1358</v>
      </c>
      <c r="F827" s="645" t="s">
        <v>1114</v>
      </c>
      <c r="G827" s="645" t="s">
        <v>777</v>
      </c>
      <c r="H827" s="644">
        <v>0</v>
      </c>
      <c r="I827" s="644">
        <v>189531260</v>
      </c>
      <c r="J827" s="644">
        <v>189531260</v>
      </c>
      <c r="K827" s="644">
        <v>0</v>
      </c>
      <c r="L827" s="644">
        <v>0</v>
      </c>
      <c r="M827" s="644">
        <v>-189531260</v>
      </c>
      <c r="N827" s="644">
        <v>0</v>
      </c>
      <c r="O827" s="644">
        <v>0</v>
      </c>
      <c r="P827" s="644">
        <v>0</v>
      </c>
      <c r="Q827" s="644">
        <v>0</v>
      </c>
      <c r="R827" s="644">
        <v>0</v>
      </c>
      <c r="S827" s="644">
        <v>0</v>
      </c>
      <c r="T827" s="644">
        <v>0</v>
      </c>
      <c r="U827" s="644">
        <v>0</v>
      </c>
      <c r="V827" s="644">
        <v>0</v>
      </c>
      <c r="W827" s="632">
        <v>0</v>
      </c>
      <c r="X827" s="632">
        <v>0</v>
      </c>
    </row>
    <row r="828" spans="1:24" ht="22.5">
      <c r="A828" s="645">
        <v>810</v>
      </c>
      <c r="B828" s="643" t="s">
        <v>1225</v>
      </c>
      <c r="C828" s="645" t="s">
        <v>443</v>
      </c>
      <c r="D828" s="645" t="s">
        <v>1183</v>
      </c>
      <c r="E828" s="645" t="s">
        <v>1184</v>
      </c>
      <c r="F828" s="645" t="s">
        <v>1114</v>
      </c>
      <c r="G828" s="645" t="s">
        <v>1201</v>
      </c>
      <c r="H828" s="644">
        <v>0</v>
      </c>
      <c r="I828" s="644">
        <v>2991695</v>
      </c>
      <c r="J828" s="644">
        <v>2991695</v>
      </c>
      <c r="K828" s="644">
        <v>0</v>
      </c>
      <c r="L828" s="644">
        <v>0</v>
      </c>
      <c r="M828" s="644">
        <v>-2991695</v>
      </c>
      <c r="N828" s="644">
        <v>0</v>
      </c>
      <c r="O828" s="644">
        <v>0</v>
      </c>
      <c r="P828" s="644">
        <v>0</v>
      </c>
      <c r="Q828" s="644">
        <v>0</v>
      </c>
      <c r="R828" s="644">
        <v>0</v>
      </c>
      <c r="S828" s="644">
        <v>0</v>
      </c>
      <c r="T828" s="644">
        <v>0</v>
      </c>
      <c r="U828" s="644">
        <v>0</v>
      </c>
      <c r="V828" s="644">
        <v>0</v>
      </c>
      <c r="W828" s="632">
        <v>0</v>
      </c>
      <c r="X828" s="632">
        <v>0</v>
      </c>
    </row>
    <row r="829" spans="1:24" ht="22.5">
      <c r="A829" s="645">
        <v>811</v>
      </c>
      <c r="B829" s="643" t="s">
        <v>1226</v>
      </c>
      <c r="C829" s="645" t="s">
        <v>443</v>
      </c>
      <c r="D829" s="645" t="s">
        <v>1183</v>
      </c>
      <c r="E829" s="645" t="s">
        <v>1184</v>
      </c>
      <c r="F829" s="645" t="s">
        <v>1114</v>
      </c>
      <c r="G829" s="645" t="s">
        <v>1205</v>
      </c>
      <c r="H829" s="644">
        <v>2606350000</v>
      </c>
      <c r="I829" s="644">
        <v>78204331</v>
      </c>
      <c r="J829" s="644">
        <v>78204331</v>
      </c>
      <c r="K829" s="644">
        <v>0</v>
      </c>
      <c r="L829" s="644">
        <v>0</v>
      </c>
      <c r="M829" s="644">
        <v>2528145669</v>
      </c>
      <c r="N829" s="644">
        <v>0</v>
      </c>
      <c r="O829" s="644">
        <v>0</v>
      </c>
      <c r="P829" s="644">
        <v>2569901730</v>
      </c>
      <c r="Q829" s="644">
        <v>2569901730</v>
      </c>
      <c r="R829" s="644">
        <v>0</v>
      </c>
      <c r="S829" s="644">
        <v>36448270</v>
      </c>
      <c r="T829" s="644">
        <v>36448270</v>
      </c>
      <c r="U829" s="644">
        <v>0</v>
      </c>
      <c r="V829" s="644">
        <v>0</v>
      </c>
      <c r="W829" s="632">
        <v>0</v>
      </c>
      <c r="X829" s="632">
        <v>19783000</v>
      </c>
    </row>
    <row r="830" spans="1:24" ht="22.5">
      <c r="A830" s="645">
        <v>812</v>
      </c>
      <c r="B830" s="643" t="s">
        <v>1226</v>
      </c>
      <c r="C830" s="645" t="s">
        <v>443</v>
      </c>
      <c r="D830" s="645" t="s">
        <v>1183</v>
      </c>
      <c r="E830" s="645" t="s">
        <v>1115</v>
      </c>
      <c r="F830" s="645" t="s">
        <v>1114</v>
      </c>
      <c r="G830" s="645" t="s">
        <v>1205</v>
      </c>
      <c r="H830" s="644">
        <v>2224684000</v>
      </c>
      <c r="I830" s="644">
        <v>0</v>
      </c>
      <c r="J830" s="644">
        <v>0</v>
      </c>
      <c r="K830" s="644">
        <v>0</v>
      </c>
      <c r="L830" s="644">
        <v>0</v>
      </c>
      <c r="M830" s="644">
        <v>0</v>
      </c>
      <c r="N830" s="644">
        <v>2224684000</v>
      </c>
      <c r="O830" s="644">
        <v>0</v>
      </c>
      <c r="P830" s="644">
        <v>2224683770</v>
      </c>
      <c r="Q830" s="644">
        <v>2224683770</v>
      </c>
      <c r="R830" s="644">
        <v>0</v>
      </c>
      <c r="S830" s="644">
        <v>230</v>
      </c>
      <c r="T830" s="644">
        <v>230</v>
      </c>
      <c r="U830" s="644">
        <v>0</v>
      </c>
      <c r="V830" s="644">
        <v>0</v>
      </c>
      <c r="W830" s="632">
        <v>0</v>
      </c>
      <c r="X830" s="632">
        <v>0</v>
      </c>
    </row>
    <row r="831" spans="1:24" ht="22.5">
      <c r="A831" s="645">
        <v>813</v>
      </c>
      <c r="B831" s="643" t="s">
        <v>1228</v>
      </c>
      <c r="C831" s="645" t="s">
        <v>443</v>
      </c>
      <c r="D831" s="645" t="s">
        <v>1183</v>
      </c>
      <c r="E831" s="645" t="s">
        <v>1356</v>
      </c>
      <c r="F831" s="645" t="s">
        <v>1114</v>
      </c>
      <c r="G831" s="645" t="s">
        <v>1205</v>
      </c>
      <c r="H831" s="644">
        <v>0</v>
      </c>
      <c r="I831" s="644">
        <v>64783085</v>
      </c>
      <c r="J831" s="644">
        <v>64783085</v>
      </c>
      <c r="K831" s="644">
        <v>0</v>
      </c>
      <c r="L831" s="644">
        <v>0</v>
      </c>
      <c r="M831" s="644">
        <v>-64783085</v>
      </c>
      <c r="N831" s="644">
        <v>0</v>
      </c>
      <c r="O831" s="644">
        <v>0</v>
      </c>
      <c r="P831" s="644">
        <v>0</v>
      </c>
      <c r="Q831" s="644">
        <v>0</v>
      </c>
      <c r="R831" s="644">
        <v>0</v>
      </c>
      <c r="S831" s="644">
        <v>0</v>
      </c>
      <c r="T831" s="644">
        <v>0</v>
      </c>
      <c r="U831" s="644">
        <v>0</v>
      </c>
      <c r="V831" s="644">
        <v>0</v>
      </c>
      <c r="W831" s="632">
        <v>0</v>
      </c>
      <c r="X831" s="632">
        <v>1598300</v>
      </c>
    </row>
    <row r="832" spans="1:24" ht="22.5">
      <c r="A832" s="645">
        <v>814</v>
      </c>
      <c r="B832" s="643" t="s">
        <v>1228</v>
      </c>
      <c r="C832" s="645" t="s">
        <v>443</v>
      </c>
      <c r="D832" s="645" t="s">
        <v>1183</v>
      </c>
      <c r="E832" s="645" t="s">
        <v>1184</v>
      </c>
      <c r="F832" s="645" t="s">
        <v>1114</v>
      </c>
      <c r="G832" s="645" t="s">
        <v>1205</v>
      </c>
      <c r="H832" s="644">
        <v>449918000</v>
      </c>
      <c r="I832" s="644">
        <v>29855824</v>
      </c>
      <c r="J832" s="644">
        <v>29855824</v>
      </c>
      <c r="K832" s="644">
        <v>0</v>
      </c>
      <c r="L832" s="644">
        <v>0</v>
      </c>
      <c r="M832" s="644">
        <v>420062176</v>
      </c>
      <c r="N832" s="644">
        <v>0</v>
      </c>
      <c r="O832" s="644">
        <v>0</v>
      </c>
      <c r="P832" s="644">
        <v>445566660</v>
      </c>
      <c r="Q832" s="644">
        <v>445566660</v>
      </c>
      <c r="R832" s="644">
        <v>0</v>
      </c>
      <c r="S832" s="644">
        <v>4351340</v>
      </c>
      <c r="T832" s="644">
        <v>4351340</v>
      </c>
      <c r="U832" s="644">
        <v>0</v>
      </c>
      <c r="V832" s="644">
        <v>0</v>
      </c>
      <c r="W832" s="632">
        <v>0</v>
      </c>
      <c r="X832" s="632">
        <v>0</v>
      </c>
    </row>
    <row r="833" spans="1:24" ht="22.5">
      <c r="A833" s="645">
        <v>815</v>
      </c>
      <c r="B833" s="643" t="s">
        <v>1228</v>
      </c>
      <c r="C833" s="645" t="s">
        <v>443</v>
      </c>
      <c r="D833" s="645" t="s">
        <v>1183</v>
      </c>
      <c r="E833" s="645" t="s">
        <v>1115</v>
      </c>
      <c r="F833" s="645" t="s">
        <v>1114</v>
      </c>
      <c r="G833" s="645" t="s">
        <v>1205</v>
      </c>
      <c r="H833" s="644">
        <v>477566000</v>
      </c>
      <c r="I833" s="644">
        <v>0</v>
      </c>
      <c r="J833" s="644">
        <v>0</v>
      </c>
      <c r="K833" s="644">
        <v>0</v>
      </c>
      <c r="L833" s="644">
        <v>0</v>
      </c>
      <c r="M833" s="644">
        <v>0</v>
      </c>
      <c r="N833" s="644">
        <v>477566000</v>
      </c>
      <c r="O833" s="644">
        <v>0</v>
      </c>
      <c r="P833" s="644">
        <v>463792944</v>
      </c>
      <c r="Q833" s="644">
        <v>463792944</v>
      </c>
      <c r="R833" s="644">
        <v>0</v>
      </c>
      <c r="S833" s="644">
        <v>13773056</v>
      </c>
      <c r="T833" s="644">
        <v>13773056</v>
      </c>
      <c r="U833" s="644">
        <v>0</v>
      </c>
      <c r="V833" s="644">
        <v>0</v>
      </c>
      <c r="W833" s="632">
        <v>0</v>
      </c>
      <c r="X833" s="632">
        <v>0</v>
      </c>
    </row>
    <row r="834" spans="1:24" ht="22.5">
      <c r="A834" s="645">
        <v>816</v>
      </c>
      <c r="B834" s="643" t="s">
        <v>1229</v>
      </c>
      <c r="C834" s="645" t="s">
        <v>443</v>
      </c>
      <c r="D834" s="645" t="s">
        <v>1183</v>
      </c>
      <c r="E834" s="645" t="s">
        <v>1184</v>
      </c>
      <c r="F834" s="645" t="s">
        <v>1114</v>
      </c>
      <c r="G834" s="645" t="s">
        <v>1190</v>
      </c>
      <c r="H834" s="644">
        <v>0</v>
      </c>
      <c r="I834" s="644">
        <v>18658609</v>
      </c>
      <c r="J834" s="644">
        <v>18658609</v>
      </c>
      <c r="K834" s="644">
        <v>0</v>
      </c>
      <c r="L834" s="644">
        <v>0</v>
      </c>
      <c r="M834" s="644">
        <v>-18658609</v>
      </c>
      <c r="N834" s="644">
        <v>0</v>
      </c>
      <c r="O834" s="644">
        <v>0</v>
      </c>
      <c r="P834" s="644">
        <v>0</v>
      </c>
      <c r="Q834" s="644">
        <v>0</v>
      </c>
      <c r="R834" s="644">
        <v>0</v>
      </c>
      <c r="S834" s="644">
        <v>0</v>
      </c>
      <c r="T834" s="644">
        <v>0</v>
      </c>
      <c r="U834" s="644">
        <v>0</v>
      </c>
      <c r="V834" s="644">
        <v>0</v>
      </c>
      <c r="W834" s="632">
        <v>0</v>
      </c>
      <c r="X834" s="632">
        <v>0</v>
      </c>
    </row>
    <row r="835" spans="1:24" ht="22.5">
      <c r="A835" s="645">
        <v>817</v>
      </c>
      <c r="B835" s="643" t="s">
        <v>1231</v>
      </c>
      <c r="C835" s="645" t="s">
        <v>443</v>
      </c>
      <c r="D835" s="645" t="s">
        <v>1183</v>
      </c>
      <c r="E835" s="645" t="s">
        <v>1184</v>
      </c>
      <c r="F835" s="645" t="s">
        <v>1114</v>
      </c>
      <c r="G835" s="645" t="s">
        <v>1199</v>
      </c>
      <c r="H835" s="644">
        <v>0</v>
      </c>
      <c r="I835" s="644">
        <v>71023839</v>
      </c>
      <c r="J835" s="644">
        <v>71023839</v>
      </c>
      <c r="K835" s="644">
        <v>0</v>
      </c>
      <c r="L835" s="644">
        <v>0</v>
      </c>
      <c r="M835" s="644">
        <v>-71023839</v>
      </c>
      <c r="N835" s="644">
        <v>0</v>
      </c>
      <c r="O835" s="644">
        <v>0</v>
      </c>
      <c r="P835" s="644">
        <v>0</v>
      </c>
      <c r="Q835" s="644">
        <v>0</v>
      </c>
      <c r="R835" s="644">
        <v>0</v>
      </c>
      <c r="S835" s="644">
        <v>0</v>
      </c>
      <c r="T835" s="644">
        <v>0</v>
      </c>
      <c r="U835" s="644">
        <v>0</v>
      </c>
      <c r="V835" s="644">
        <v>0</v>
      </c>
      <c r="W835" s="632">
        <v>0</v>
      </c>
      <c r="X835" s="632">
        <v>0</v>
      </c>
    </row>
    <row r="836" spans="1:24">
      <c r="A836" s="645">
        <v>818</v>
      </c>
      <c r="B836" s="643" t="s">
        <v>1232</v>
      </c>
      <c r="C836" s="645" t="s">
        <v>443</v>
      </c>
      <c r="D836" s="645" t="s">
        <v>1233</v>
      </c>
      <c r="E836" s="645" t="s">
        <v>1115</v>
      </c>
      <c r="F836" s="645" t="s">
        <v>1114</v>
      </c>
      <c r="G836" s="645" t="s">
        <v>777</v>
      </c>
      <c r="H836" s="644">
        <v>18836000</v>
      </c>
      <c r="I836" s="644">
        <v>0</v>
      </c>
      <c r="J836" s="644">
        <v>0</v>
      </c>
      <c r="K836" s="644">
        <v>0</v>
      </c>
      <c r="L836" s="644">
        <v>0</v>
      </c>
      <c r="M836" s="644">
        <v>0</v>
      </c>
      <c r="N836" s="644">
        <v>18836000</v>
      </c>
      <c r="O836" s="644">
        <v>0</v>
      </c>
      <c r="P836" s="644">
        <v>18836000</v>
      </c>
      <c r="Q836" s="644">
        <v>18836000</v>
      </c>
      <c r="R836" s="644">
        <v>0</v>
      </c>
      <c r="S836" s="644">
        <v>0</v>
      </c>
      <c r="T836" s="644">
        <v>0</v>
      </c>
      <c r="U836" s="644">
        <v>0</v>
      </c>
      <c r="V836" s="644">
        <v>0</v>
      </c>
      <c r="W836" s="632">
        <v>0</v>
      </c>
      <c r="X836" s="632">
        <v>19400500</v>
      </c>
    </row>
    <row r="837" spans="1:24">
      <c r="A837" s="645">
        <v>819</v>
      </c>
      <c r="B837" s="643" t="s">
        <v>1235</v>
      </c>
      <c r="C837" s="645" t="s">
        <v>443</v>
      </c>
      <c r="D837" s="645" t="s">
        <v>1233</v>
      </c>
      <c r="E837" s="645" t="s">
        <v>678</v>
      </c>
      <c r="F837" s="645" t="s">
        <v>1114</v>
      </c>
      <c r="G837" s="645" t="s">
        <v>777</v>
      </c>
      <c r="H837" s="644">
        <v>0</v>
      </c>
      <c r="I837" s="644">
        <v>215365271</v>
      </c>
      <c r="J837" s="644">
        <v>215365271</v>
      </c>
      <c r="K837" s="644">
        <v>0</v>
      </c>
      <c r="L837" s="644">
        <v>0</v>
      </c>
      <c r="M837" s="644">
        <v>-215365271</v>
      </c>
      <c r="N837" s="644">
        <v>0</v>
      </c>
      <c r="O837" s="644">
        <v>0</v>
      </c>
      <c r="P837" s="644">
        <v>0</v>
      </c>
      <c r="Q837" s="644">
        <v>0</v>
      </c>
      <c r="R837" s="644">
        <v>0</v>
      </c>
      <c r="S837" s="644">
        <v>0</v>
      </c>
      <c r="T837" s="644">
        <v>0</v>
      </c>
      <c r="U837" s="644">
        <v>0</v>
      </c>
      <c r="V837" s="644">
        <v>0</v>
      </c>
      <c r="W837" s="632">
        <v>0</v>
      </c>
      <c r="X837" s="632">
        <v>1000</v>
      </c>
    </row>
    <row r="838" spans="1:24" ht="22.5">
      <c r="A838" s="645">
        <v>820</v>
      </c>
      <c r="B838" s="643" t="s">
        <v>1236</v>
      </c>
      <c r="C838" s="645" t="s">
        <v>443</v>
      </c>
      <c r="D838" s="645" t="s">
        <v>1233</v>
      </c>
      <c r="E838" s="645" t="s">
        <v>678</v>
      </c>
      <c r="F838" s="645" t="s">
        <v>1114</v>
      </c>
      <c r="G838" s="645" t="s">
        <v>777</v>
      </c>
      <c r="H838" s="644">
        <v>0</v>
      </c>
      <c r="I838" s="644">
        <v>77621609</v>
      </c>
      <c r="J838" s="644">
        <v>77621609</v>
      </c>
      <c r="K838" s="644">
        <v>0</v>
      </c>
      <c r="L838" s="644">
        <v>0</v>
      </c>
      <c r="M838" s="644">
        <v>-77621609</v>
      </c>
      <c r="N838" s="644">
        <v>0</v>
      </c>
      <c r="O838" s="644">
        <v>0</v>
      </c>
      <c r="P838" s="644">
        <v>0</v>
      </c>
      <c r="Q838" s="644">
        <v>0</v>
      </c>
      <c r="R838" s="644">
        <v>0</v>
      </c>
      <c r="S838" s="644">
        <v>0</v>
      </c>
      <c r="T838" s="644">
        <v>0</v>
      </c>
      <c r="U838" s="644">
        <v>0</v>
      </c>
      <c r="V838" s="644">
        <v>0</v>
      </c>
      <c r="W838" s="632">
        <v>0</v>
      </c>
      <c r="X838" s="632">
        <v>0</v>
      </c>
    </row>
    <row r="839" spans="1:24" ht="22.5">
      <c r="A839" s="645">
        <v>821</v>
      </c>
      <c r="B839" s="643" t="s">
        <v>1236</v>
      </c>
      <c r="C839" s="645" t="s">
        <v>443</v>
      </c>
      <c r="D839" s="645" t="s">
        <v>1233</v>
      </c>
      <c r="E839" s="645" t="s">
        <v>1115</v>
      </c>
      <c r="F839" s="645" t="s">
        <v>1114</v>
      </c>
      <c r="G839" s="645" t="s">
        <v>777</v>
      </c>
      <c r="H839" s="644">
        <v>33352000</v>
      </c>
      <c r="I839" s="644">
        <v>0</v>
      </c>
      <c r="J839" s="644">
        <v>0</v>
      </c>
      <c r="K839" s="644">
        <v>0</v>
      </c>
      <c r="L839" s="644">
        <v>0</v>
      </c>
      <c r="M839" s="644">
        <v>0</v>
      </c>
      <c r="N839" s="644">
        <v>33352000</v>
      </c>
      <c r="O839" s="644">
        <v>0</v>
      </c>
      <c r="P839" s="644">
        <v>33352000</v>
      </c>
      <c r="Q839" s="644">
        <v>33352000</v>
      </c>
      <c r="R839" s="644">
        <v>0</v>
      </c>
      <c r="S839" s="644">
        <v>0</v>
      </c>
      <c r="T839" s="644">
        <v>0</v>
      </c>
      <c r="U839" s="644">
        <v>0</v>
      </c>
      <c r="V839" s="644">
        <v>0</v>
      </c>
      <c r="W839" s="632">
        <v>0</v>
      </c>
      <c r="X839" s="632">
        <v>0</v>
      </c>
    </row>
    <row r="840" spans="1:24" ht="22.5">
      <c r="A840" s="645">
        <v>822</v>
      </c>
      <c r="B840" s="643" t="s">
        <v>1237</v>
      </c>
      <c r="C840" s="645" t="s">
        <v>443</v>
      </c>
      <c r="D840" s="645" t="s">
        <v>1233</v>
      </c>
      <c r="E840" s="645" t="s">
        <v>1115</v>
      </c>
      <c r="F840" s="645" t="s">
        <v>1114</v>
      </c>
      <c r="G840" s="645" t="s">
        <v>777</v>
      </c>
      <c r="H840" s="644">
        <v>23684000</v>
      </c>
      <c r="I840" s="644">
        <v>0</v>
      </c>
      <c r="J840" s="644">
        <v>0</v>
      </c>
      <c r="K840" s="644">
        <v>0</v>
      </c>
      <c r="L840" s="644">
        <v>0</v>
      </c>
      <c r="M840" s="644">
        <v>0</v>
      </c>
      <c r="N840" s="644">
        <v>23684000</v>
      </c>
      <c r="O840" s="644">
        <v>0</v>
      </c>
      <c r="P840" s="644">
        <v>23684000</v>
      </c>
      <c r="Q840" s="644">
        <v>23684000</v>
      </c>
      <c r="R840" s="644">
        <v>0</v>
      </c>
      <c r="S840" s="644">
        <v>0</v>
      </c>
      <c r="T840" s="644">
        <v>0</v>
      </c>
      <c r="U840" s="644">
        <v>0</v>
      </c>
      <c r="V840" s="644">
        <v>0</v>
      </c>
      <c r="W840" s="632">
        <v>0</v>
      </c>
      <c r="X840" s="632">
        <v>0</v>
      </c>
    </row>
    <row r="841" spans="1:24">
      <c r="A841" s="645">
        <v>823</v>
      </c>
      <c r="B841" s="643" t="s">
        <v>1238</v>
      </c>
      <c r="C841" s="645" t="s">
        <v>443</v>
      </c>
      <c r="D841" s="645" t="s">
        <v>1233</v>
      </c>
      <c r="E841" s="645" t="s">
        <v>905</v>
      </c>
      <c r="F841" s="645" t="s">
        <v>1114</v>
      </c>
      <c r="G841" s="645" t="s">
        <v>777</v>
      </c>
      <c r="H841" s="644">
        <v>0</v>
      </c>
      <c r="I841" s="644">
        <v>233744586</v>
      </c>
      <c r="J841" s="644">
        <v>233744586</v>
      </c>
      <c r="K841" s="644">
        <v>0</v>
      </c>
      <c r="L841" s="644">
        <v>0</v>
      </c>
      <c r="M841" s="644">
        <v>-233744586</v>
      </c>
      <c r="N841" s="644">
        <v>0</v>
      </c>
      <c r="O841" s="644">
        <v>0</v>
      </c>
      <c r="P841" s="644">
        <v>0</v>
      </c>
      <c r="Q841" s="644">
        <v>0</v>
      </c>
      <c r="R841" s="644">
        <v>0</v>
      </c>
      <c r="S841" s="644">
        <v>0</v>
      </c>
      <c r="T841" s="644">
        <v>0</v>
      </c>
      <c r="U841" s="644">
        <v>0</v>
      </c>
      <c r="V841" s="644">
        <v>0</v>
      </c>
      <c r="W841" s="632">
        <v>0</v>
      </c>
      <c r="X841" s="632">
        <v>0</v>
      </c>
    </row>
    <row r="842" spans="1:24" ht="22.5">
      <c r="A842" s="645">
        <v>824</v>
      </c>
      <c r="B842" s="643" t="s">
        <v>1239</v>
      </c>
      <c r="C842" s="645" t="s">
        <v>443</v>
      </c>
      <c r="D842" s="645" t="s">
        <v>1233</v>
      </c>
      <c r="E842" s="645" t="s">
        <v>670</v>
      </c>
      <c r="F842" s="645" t="s">
        <v>1114</v>
      </c>
      <c r="G842" s="645" t="s">
        <v>777</v>
      </c>
      <c r="H842" s="644">
        <v>0</v>
      </c>
      <c r="I842" s="644">
        <v>3965483</v>
      </c>
      <c r="J842" s="644">
        <v>3965483</v>
      </c>
      <c r="K842" s="644">
        <v>0</v>
      </c>
      <c r="L842" s="644">
        <v>0</v>
      </c>
      <c r="M842" s="644">
        <v>-3965483</v>
      </c>
      <c r="N842" s="644">
        <v>0</v>
      </c>
      <c r="O842" s="644">
        <v>0</v>
      </c>
      <c r="P842" s="644">
        <v>0</v>
      </c>
      <c r="Q842" s="644">
        <v>0</v>
      </c>
      <c r="R842" s="644">
        <v>0</v>
      </c>
      <c r="S842" s="644">
        <v>0</v>
      </c>
      <c r="T842" s="644">
        <v>0</v>
      </c>
      <c r="U842" s="644">
        <v>0</v>
      </c>
      <c r="V842" s="644">
        <v>0</v>
      </c>
      <c r="W842" s="632">
        <v>0</v>
      </c>
      <c r="X842" s="632">
        <v>0</v>
      </c>
    </row>
    <row r="843" spans="1:24" ht="22.5">
      <c r="A843" s="645">
        <v>825</v>
      </c>
      <c r="B843" s="643" t="s">
        <v>1240</v>
      </c>
      <c r="C843" s="645" t="s">
        <v>443</v>
      </c>
      <c r="D843" s="645" t="s">
        <v>1233</v>
      </c>
      <c r="E843" s="645" t="s">
        <v>670</v>
      </c>
      <c r="F843" s="645" t="s">
        <v>1114</v>
      </c>
      <c r="G843" s="645" t="s">
        <v>777</v>
      </c>
      <c r="H843" s="644">
        <v>0</v>
      </c>
      <c r="I843" s="644">
        <v>26301186</v>
      </c>
      <c r="J843" s="644">
        <v>26301186</v>
      </c>
      <c r="K843" s="644">
        <v>0</v>
      </c>
      <c r="L843" s="644">
        <v>0</v>
      </c>
      <c r="M843" s="644">
        <v>-26301186</v>
      </c>
      <c r="N843" s="644">
        <v>0</v>
      </c>
      <c r="O843" s="644">
        <v>0</v>
      </c>
      <c r="P843" s="644">
        <v>0</v>
      </c>
      <c r="Q843" s="644">
        <v>0</v>
      </c>
      <c r="R843" s="644">
        <v>0</v>
      </c>
      <c r="S843" s="644">
        <v>0</v>
      </c>
      <c r="T843" s="644">
        <v>0</v>
      </c>
      <c r="U843" s="644">
        <v>0</v>
      </c>
      <c r="V843" s="644">
        <v>0</v>
      </c>
      <c r="W843" s="632">
        <v>0</v>
      </c>
      <c r="X843" s="632">
        <v>0</v>
      </c>
    </row>
    <row r="844" spans="1:24" ht="22.5">
      <c r="A844" s="645">
        <v>826</v>
      </c>
      <c r="B844" s="643" t="s">
        <v>1241</v>
      </c>
      <c r="C844" s="645" t="s">
        <v>443</v>
      </c>
      <c r="D844" s="645" t="s">
        <v>1233</v>
      </c>
      <c r="E844" s="645" t="s">
        <v>670</v>
      </c>
      <c r="F844" s="645" t="s">
        <v>1114</v>
      </c>
      <c r="G844" s="645" t="s">
        <v>777</v>
      </c>
      <c r="H844" s="644">
        <v>0</v>
      </c>
      <c r="I844" s="644">
        <v>25592880</v>
      </c>
      <c r="J844" s="644">
        <v>25592880</v>
      </c>
      <c r="K844" s="644">
        <v>0</v>
      </c>
      <c r="L844" s="644">
        <v>0</v>
      </c>
      <c r="M844" s="644">
        <v>-25592880</v>
      </c>
      <c r="N844" s="644">
        <v>0</v>
      </c>
      <c r="O844" s="644">
        <v>0</v>
      </c>
      <c r="P844" s="644">
        <v>0</v>
      </c>
      <c r="Q844" s="644">
        <v>0</v>
      </c>
      <c r="R844" s="644">
        <v>0</v>
      </c>
      <c r="S844" s="644">
        <v>0</v>
      </c>
      <c r="T844" s="644">
        <v>0</v>
      </c>
      <c r="U844" s="644">
        <v>0</v>
      </c>
      <c r="V844" s="644">
        <v>0</v>
      </c>
      <c r="W844" s="632">
        <v>0</v>
      </c>
      <c r="X844" s="632">
        <v>658</v>
      </c>
    </row>
    <row r="845" spans="1:24" ht="22.5">
      <c r="A845" s="645">
        <v>827</v>
      </c>
      <c r="B845" s="643" t="s">
        <v>1247</v>
      </c>
      <c r="C845" s="645" t="s">
        <v>443</v>
      </c>
      <c r="D845" s="645" t="s">
        <v>1233</v>
      </c>
      <c r="E845" s="645" t="s">
        <v>680</v>
      </c>
      <c r="F845" s="645" t="s">
        <v>1114</v>
      </c>
      <c r="G845" s="645" t="s">
        <v>777</v>
      </c>
      <c r="H845" s="644">
        <v>0</v>
      </c>
      <c r="I845" s="644">
        <v>39035159</v>
      </c>
      <c r="J845" s="644">
        <v>39035159</v>
      </c>
      <c r="K845" s="644">
        <v>0</v>
      </c>
      <c r="L845" s="644">
        <v>0</v>
      </c>
      <c r="M845" s="644">
        <v>-39035159</v>
      </c>
      <c r="N845" s="644">
        <v>0</v>
      </c>
      <c r="O845" s="644">
        <v>0</v>
      </c>
      <c r="P845" s="644">
        <v>0</v>
      </c>
      <c r="Q845" s="644">
        <v>0</v>
      </c>
      <c r="R845" s="644">
        <v>0</v>
      </c>
      <c r="S845" s="644">
        <v>0</v>
      </c>
      <c r="T845" s="644">
        <v>0</v>
      </c>
      <c r="U845" s="644">
        <v>0</v>
      </c>
      <c r="V845" s="644">
        <v>0</v>
      </c>
      <c r="W845" s="632">
        <v>0</v>
      </c>
      <c r="X845" s="632">
        <v>0</v>
      </c>
    </row>
    <row r="846" spans="1:24" ht="22.5">
      <c r="A846" s="645">
        <v>828</v>
      </c>
      <c r="B846" s="643" t="s">
        <v>1247</v>
      </c>
      <c r="C846" s="645" t="s">
        <v>443</v>
      </c>
      <c r="D846" s="645" t="s">
        <v>1233</v>
      </c>
      <c r="E846" s="645" t="s">
        <v>905</v>
      </c>
      <c r="F846" s="645" t="s">
        <v>1114</v>
      </c>
      <c r="G846" s="645" t="s">
        <v>777</v>
      </c>
      <c r="H846" s="644">
        <v>0</v>
      </c>
      <c r="I846" s="644">
        <v>104025273</v>
      </c>
      <c r="J846" s="644">
        <v>104025273</v>
      </c>
      <c r="K846" s="644">
        <v>0</v>
      </c>
      <c r="L846" s="644">
        <v>0</v>
      </c>
      <c r="M846" s="644">
        <v>-104025273</v>
      </c>
      <c r="N846" s="644">
        <v>0</v>
      </c>
      <c r="O846" s="644">
        <v>0</v>
      </c>
      <c r="P846" s="644">
        <v>0</v>
      </c>
      <c r="Q846" s="644">
        <v>0</v>
      </c>
      <c r="R846" s="644">
        <v>0</v>
      </c>
      <c r="S846" s="644">
        <v>0</v>
      </c>
      <c r="T846" s="644">
        <v>0</v>
      </c>
      <c r="U846" s="644">
        <v>0</v>
      </c>
      <c r="V846" s="644">
        <v>0</v>
      </c>
      <c r="W846" s="632">
        <v>0</v>
      </c>
      <c r="X846" s="632">
        <v>0</v>
      </c>
    </row>
    <row r="847" spans="1:24" ht="22.5">
      <c r="A847" s="645">
        <v>829</v>
      </c>
      <c r="B847" s="643" t="s">
        <v>1247</v>
      </c>
      <c r="C847" s="645" t="s">
        <v>443</v>
      </c>
      <c r="D847" s="645" t="s">
        <v>1233</v>
      </c>
      <c r="E847" s="645" t="s">
        <v>1115</v>
      </c>
      <c r="F847" s="645" t="s">
        <v>1114</v>
      </c>
      <c r="G847" s="645" t="s">
        <v>777</v>
      </c>
      <c r="H847" s="644">
        <v>27161000</v>
      </c>
      <c r="I847" s="644">
        <v>0</v>
      </c>
      <c r="J847" s="644">
        <v>0</v>
      </c>
      <c r="K847" s="644">
        <v>0</v>
      </c>
      <c r="L847" s="644">
        <v>0</v>
      </c>
      <c r="M847" s="644">
        <v>0</v>
      </c>
      <c r="N847" s="644">
        <v>27161000</v>
      </c>
      <c r="O847" s="644">
        <v>0</v>
      </c>
      <c r="P847" s="644">
        <v>27161000</v>
      </c>
      <c r="Q847" s="644">
        <v>27161000</v>
      </c>
      <c r="R847" s="644">
        <v>0</v>
      </c>
      <c r="S847" s="644">
        <v>0</v>
      </c>
      <c r="T847" s="644">
        <v>0</v>
      </c>
      <c r="U847" s="644">
        <v>0</v>
      </c>
      <c r="V847" s="644">
        <v>0</v>
      </c>
      <c r="W847" s="632">
        <v>0</v>
      </c>
      <c r="X847" s="632">
        <v>0</v>
      </c>
    </row>
    <row r="848" spans="1:24" ht="22.5">
      <c r="A848" s="645">
        <v>830</v>
      </c>
      <c r="B848" s="643" t="s">
        <v>1248</v>
      </c>
      <c r="C848" s="645" t="s">
        <v>443</v>
      </c>
      <c r="D848" s="645" t="s">
        <v>1233</v>
      </c>
      <c r="E848" s="645" t="s">
        <v>670</v>
      </c>
      <c r="F848" s="645" t="s">
        <v>1114</v>
      </c>
      <c r="G848" s="645" t="s">
        <v>777</v>
      </c>
      <c r="H848" s="644">
        <v>0</v>
      </c>
      <c r="I848" s="644">
        <v>86972056</v>
      </c>
      <c r="J848" s="644">
        <v>86972056</v>
      </c>
      <c r="K848" s="644">
        <v>0</v>
      </c>
      <c r="L848" s="644">
        <v>0</v>
      </c>
      <c r="M848" s="644">
        <v>-86972056</v>
      </c>
      <c r="N848" s="644">
        <v>0</v>
      </c>
      <c r="O848" s="644">
        <v>0</v>
      </c>
      <c r="P848" s="644">
        <v>0</v>
      </c>
      <c r="Q848" s="644">
        <v>0</v>
      </c>
      <c r="R848" s="644">
        <v>0</v>
      </c>
      <c r="S848" s="644">
        <v>0</v>
      </c>
      <c r="T848" s="644">
        <v>0</v>
      </c>
      <c r="U848" s="644">
        <v>0</v>
      </c>
      <c r="V848" s="644">
        <v>0</v>
      </c>
      <c r="W848" s="632">
        <v>0</v>
      </c>
      <c r="X848" s="632">
        <v>0</v>
      </c>
    </row>
    <row r="849" spans="1:24" ht="22.5">
      <c r="A849" s="645">
        <v>831</v>
      </c>
      <c r="B849" s="643" t="s">
        <v>1248</v>
      </c>
      <c r="C849" s="645" t="s">
        <v>443</v>
      </c>
      <c r="D849" s="645" t="s">
        <v>1233</v>
      </c>
      <c r="E849" s="645" t="s">
        <v>905</v>
      </c>
      <c r="F849" s="645" t="s">
        <v>1114</v>
      </c>
      <c r="G849" s="645" t="s">
        <v>777</v>
      </c>
      <c r="H849" s="644">
        <v>0</v>
      </c>
      <c r="I849" s="644">
        <v>91909520</v>
      </c>
      <c r="J849" s="644">
        <v>91909520</v>
      </c>
      <c r="K849" s="644">
        <v>0</v>
      </c>
      <c r="L849" s="644">
        <v>0</v>
      </c>
      <c r="M849" s="644">
        <v>-91909520</v>
      </c>
      <c r="N849" s="644">
        <v>0</v>
      </c>
      <c r="O849" s="644">
        <v>0</v>
      </c>
      <c r="P849" s="644">
        <v>0</v>
      </c>
      <c r="Q849" s="644">
        <v>0</v>
      </c>
      <c r="R849" s="644">
        <v>0</v>
      </c>
      <c r="S849" s="644">
        <v>0</v>
      </c>
      <c r="T849" s="644">
        <v>0</v>
      </c>
      <c r="U849" s="644">
        <v>0</v>
      </c>
      <c r="V849" s="644">
        <v>0</v>
      </c>
      <c r="W849" s="632">
        <v>0</v>
      </c>
      <c r="X849" s="632">
        <v>0</v>
      </c>
    </row>
    <row r="850" spans="1:24">
      <c r="A850" s="645">
        <v>832</v>
      </c>
      <c r="B850" s="643" t="s">
        <v>1249</v>
      </c>
      <c r="C850" s="645" t="s">
        <v>443</v>
      </c>
      <c r="D850" s="645" t="s">
        <v>1233</v>
      </c>
      <c r="E850" s="645" t="s">
        <v>671</v>
      </c>
      <c r="F850" s="645" t="s">
        <v>1114</v>
      </c>
      <c r="G850" s="645" t="s">
        <v>777</v>
      </c>
      <c r="H850" s="644">
        <v>0</v>
      </c>
      <c r="I850" s="644">
        <v>1513294924</v>
      </c>
      <c r="J850" s="644">
        <v>1513294924</v>
      </c>
      <c r="K850" s="644">
        <v>0</v>
      </c>
      <c r="L850" s="644">
        <v>0</v>
      </c>
      <c r="M850" s="644">
        <v>-1513294924</v>
      </c>
      <c r="N850" s="644">
        <v>0</v>
      </c>
      <c r="O850" s="644">
        <v>0</v>
      </c>
      <c r="P850" s="644">
        <v>0</v>
      </c>
      <c r="Q850" s="644">
        <v>0</v>
      </c>
      <c r="R850" s="644">
        <v>0</v>
      </c>
      <c r="S850" s="644">
        <v>0</v>
      </c>
      <c r="T850" s="644">
        <v>0</v>
      </c>
      <c r="U850" s="644">
        <v>0</v>
      </c>
      <c r="V850" s="644">
        <v>0</v>
      </c>
      <c r="W850" s="632">
        <v>0</v>
      </c>
      <c r="X850" s="632">
        <v>0</v>
      </c>
    </row>
    <row r="851" spans="1:24" ht="22.5">
      <c r="A851" s="645">
        <v>833</v>
      </c>
      <c r="B851" s="643" t="s">
        <v>1251</v>
      </c>
      <c r="C851" s="645" t="s">
        <v>443</v>
      </c>
      <c r="D851" s="645" t="s">
        <v>1252</v>
      </c>
      <c r="E851" s="645" t="s">
        <v>905</v>
      </c>
      <c r="F851" s="645" t="s">
        <v>1114</v>
      </c>
      <c r="G851" s="645" t="s">
        <v>777</v>
      </c>
      <c r="H851" s="644">
        <v>0</v>
      </c>
      <c r="I851" s="644">
        <v>101091124</v>
      </c>
      <c r="J851" s="644">
        <v>101091124</v>
      </c>
      <c r="K851" s="644">
        <v>0</v>
      </c>
      <c r="L851" s="644">
        <v>0</v>
      </c>
      <c r="M851" s="644">
        <v>-101091124</v>
      </c>
      <c r="N851" s="644">
        <v>0</v>
      </c>
      <c r="O851" s="644">
        <v>0</v>
      </c>
      <c r="P851" s="644">
        <v>0</v>
      </c>
      <c r="Q851" s="644">
        <v>0</v>
      </c>
      <c r="R851" s="644">
        <v>0</v>
      </c>
      <c r="S851" s="644">
        <v>0</v>
      </c>
      <c r="T851" s="644">
        <v>0</v>
      </c>
      <c r="U851" s="644">
        <v>0</v>
      </c>
      <c r="V851" s="644">
        <v>0</v>
      </c>
      <c r="W851" s="632">
        <v>0</v>
      </c>
      <c r="X851" s="632">
        <v>0</v>
      </c>
    </row>
    <row r="852" spans="1:24" ht="22.5">
      <c r="A852" s="645">
        <v>834</v>
      </c>
      <c r="B852" s="643" t="s">
        <v>1251</v>
      </c>
      <c r="C852" s="645" t="s">
        <v>443</v>
      </c>
      <c r="D852" s="645" t="s">
        <v>1252</v>
      </c>
      <c r="E852" s="645" t="s">
        <v>1115</v>
      </c>
      <c r="F852" s="645" t="s">
        <v>1114</v>
      </c>
      <c r="G852" s="645" t="s">
        <v>777</v>
      </c>
      <c r="H852" s="644">
        <v>22540000</v>
      </c>
      <c r="I852" s="644">
        <v>0</v>
      </c>
      <c r="J852" s="644">
        <v>0</v>
      </c>
      <c r="K852" s="644">
        <v>0</v>
      </c>
      <c r="L852" s="644">
        <v>0</v>
      </c>
      <c r="M852" s="644">
        <v>0</v>
      </c>
      <c r="N852" s="644">
        <v>22540000</v>
      </c>
      <c r="O852" s="644">
        <v>0</v>
      </c>
      <c r="P852" s="644">
        <v>22540000</v>
      </c>
      <c r="Q852" s="644">
        <v>22540000</v>
      </c>
      <c r="R852" s="644">
        <v>0</v>
      </c>
      <c r="S852" s="644">
        <v>0</v>
      </c>
      <c r="T852" s="644">
        <v>0</v>
      </c>
      <c r="U852" s="644">
        <v>0</v>
      </c>
      <c r="V852" s="644">
        <v>0</v>
      </c>
      <c r="W852" s="632">
        <v>0</v>
      </c>
      <c r="X852" s="632">
        <v>0</v>
      </c>
    </row>
    <row r="853" spans="1:24" ht="22.5">
      <c r="A853" s="645">
        <v>835</v>
      </c>
      <c r="B853" s="643" t="s">
        <v>1255</v>
      </c>
      <c r="C853" s="645" t="s">
        <v>443</v>
      </c>
      <c r="D853" s="645" t="s">
        <v>1252</v>
      </c>
      <c r="E853" s="645" t="s">
        <v>1115</v>
      </c>
      <c r="F853" s="645" t="s">
        <v>1114</v>
      </c>
      <c r="G853" s="645" t="s">
        <v>777</v>
      </c>
      <c r="H853" s="644">
        <v>85140000</v>
      </c>
      <c r="I853" s="644">
        <v>493575446</v>
      </c>
      <c r="J853" s="644">
        <v>493575446</v>
      </c>
      <c r="K853" s="644">
        <v>0</v>
      </c>
      <c r="L853" s="644">
        <v>0</v>
      </c>
      <c r="M853" s="644">
        <v>-493575446</v>
      </c>
      <c r="N853" s="644">
        <v>85140000</v>
      </c>
      <c r="O853" s="644">
        <v>0</v>
      </c>
      <c r="P853" s="644">
        <v>85140000</v>
      </c>
      <c r="Q853" s="644">
        <v>85140000</v>
      </c>
      <c r="R853" s="644">
        <v>0</v>
      </c>
      <c r="S853" s="644">
        <v>0</v>
      </c>
      <c r="T853" s="644">
        <v>0</v>
      </c>
      <c r="U853" s="644">
        <v>0</v>
      </c>
      <c r="V853" s="644">
        <v>0</v>
      </c>
      <c r="W853" s="632">
        <v>0</v>
      </c>
      <c r="X853" s="632">
        <v>0</v>
      </c>
    </row>
    <row r="854" spans="1:24" ht="22.5">
      <c r="A854" s="645">
        <v>836</v>
      </c>
      <c r="B854" s="643" t="s">
        <v>1256</v>
      </c>
      <c r="C854" s="645" t="s">
        <v>443</v>
      </c>
      <c r="D854" s="645" t="s">
        <v>1252</v>
      </c>
      <c r="E854" s="645" t="s">
        <v>1115</v>
      </c>
      <c r="F854" s="645" t="s">
        <v>1114</v>
      </c>
      <c r="G854" s="645" t="s">
        <v>777</v>
      </c>
      <c r="H854" s="644">
        <v>102660000</v>
      </c>
      <c r="I854" s="644">
        <v>557339040</v>
      </c>
      <c r="J854" s="644">
        <v>557339040</v>
      </c>
      <c r="K854" s="644">
        <v>0</v>
      </c>
      <c r="L854" s="644">
        <v>0</v>
      </c>
      <c r="M854" s="644">
        <v>-557339040</v>
      </c>
      <c r="N854" s="644">
        <v>102660000</v>
      </c>
      <c r="O854" s="644">
        <v>0</v>
      </c>
      <c r="P854" s="644">
        <v>102660000</v>
      </c>
      <c r="Q854" s="644">
        <v>102660000</v>
      </c>
      <c r="R854" s="644">
        <v>0</v>
      </c>
      <c r="S854" s="644">
        <v>0</v>
      </c>
      <c r="T854" s="644">
        <v>0</v>
      </c>
      <c r="U854" s="644">
        <v>0</v>
      </c>
      <c r="V854" s="644">
        <v>0</v>
      </c>
      <c r="W854" s="632">
        <v>0</v>
      </c>
      <c r="X854" s="632">
        <v>57884000</v>
      </c>
    </row>
    <row r="855" spans="1:24" ht="22.5">
      <c r="A855" s="645">
        <v>837</v>
      </c>
      <c r="B855" s="643" t="s">
        <v>1257</v>
      </c>
      <c r="C855" s="645" t="s">
        <v>443</v>
      </c>
      <c r="D855" s="645" t="s">
        <v>1252</v>
      </c>
      <c r="E855" s="645" t="s">
        <v>905</v>
      </c>
      <c r="F855" s="645" t="s">
        <v>1114</v>
      </c>
      <c r="G855" s="645" t="s">
        <v>777</v>
      </c>
      <c r="H855" s="644">
        <v>0</v>
      </c>
      <c r="I855" s="644">
        <v>457210465</v>
      </c>
      <c r="J855" s="644">
        <v>457210465</v>
      </c>
      <c r="K855" s="644">
        <v>0</v>
      </c>
      <c r="L855" s="644">
        <v>0</v>
      </c>
      <c r="M855" s="644">
        <v>-457210465</v>
      </c>
      <c r="N855" s="644">
        <v>0</v>
      </c>
      <c r="O855" s="644">
        <v>0</v>
      </c>
      <c r="P855" s="644">
        <v>0</v>
      </c>
      <c r="Q855" s="644">
        <v>0</v>
      </c>
      <c r="R855" s="644">
        <v>0</v>
      </c>
      <c r="S855" s="644">
        <v>0</v>
      </c>
      <c r="T855" s="644">
        <v>0</v>
      </c>
      <c r="U855" s="644">
        <v>0</v>
      </c>
      <c r="V855" s="644">
        <v>0</v>
      </c>
      <c r="W855" s="632">
        <v>0</v>
      </c>
      <c r="X855" s="632">
        <v>0</v>
      </c>
    </row>
    <row r="856" spans="1:24" ht="22.5">
      <c r="A856" s="645">
        <v>838</v>
      </c>
      <c r="B856" s="643" t="s">
        <v>1257</v>
      </c>
      <c r="C856" s="645" t="s">
        <v>443</v>
      </c>
      <c r="D856" s="645" t="s">
        <v>1252</v>
      </c>
      <c r="E856" s="645" t="s">
        <v>1115</v>
      </c>
      <c r="F856" s="645" t="s">
        <v>1114</v>
      </c>
      <c r="G856" s="645" t="s">
        <v>777</v>
      </c>
      <c r="H856" s="644">
        <v>425544000</v>
      </c>
      <c r="I856" s="644">
        <v>0</v>
      </c>
      <c r="J856" s="644">
        <v>0</v>
      </c>
      <c r="K856" s="644">
        <v>0</v>
      </c>
      <c r="L856" s="644">
        <v>0</v>
      </c>
      <c r="M856" s="644">
        <v>0</v>
      </c>
      <c r="N856" s="644">
        <v>425544000</v>
      </c>
      <c r="O856" s="644">
        <v>0</v>
      </c>
      <c r="P856" s="644">
        <v>425544000</v>
      </c>
      <c r="Q856" s="644">
        <v>425544000</v>
      </c>
      <c r="R856" s="644">
        <v>0</v>
      </c>
      <c r="S856" s="644">
        <v>0</v>
      </c>
      <c r="T856" s="644">
        <v>0</v>
      </c>
      <c r="U856" s="644">
        <v>0</v>
      </c>
      <c r="V856" s="644">
        <v>0</v>
      </c>
      <c r="W856" s="632">
        <v>0</v>
      </c>
      <c r="X856" s="632">
        <v>0</v>
      </c>
    </row>
    <row r="857" spans="1:24" ht="22.5">
      <c r="A857" s="645">
        <v>839</v>
      </c>
      <c r="B857" s="643" t="s">
        <v>1262</v>
      </c>
      <c r="C857" s="645" t="s">
        <v>443</v>
      </c>
      <c r="D857" s="645" t="s">
        <v>1252</v>
      </c>
      <c r="E857" s="645" t="s">
        <v>1115</v>
      </c>
      <c r="F857" s="645" t="s">
        <v>1114</v>
      </c>
      <c r="G857" s="645" t="s">
        <v>777</v>
      </c>
      <c r="H857" s="644">
        <v>68650000</v>
      </c>
      <c r="I857" s="644">
        <v>370115000</v>
      </c>
      <c r="J857" s="644">
        <v>370115000</v>
      </c>
      <c r="K857" s="644">
        <v>0</v>
      </c>
      <c r="L857" s="644">
        <v>0</v>
      </c>
      <c r="M857" s="644">
        <v>-370115000</v>
      </c>
      <c r="N857" s="644">
        <v>68650000</v>
      </c>
      <c r="O857" s="644">
        <v>0</v>
      </c>
      <c r="P857" s="644">
        <v>68650000</v>
      </c>
      <c r="Q857" s="644">
        <v>68650000</v>
      </c>
      <c r="R857" s="644">
        <v>0</v>
      </c>
      <c r="S857" s="644">
        <v>0</v>
      </c>
      <c r="T857" s="644">
        <v>0</v>
      </c>
      <c r="U857" s="644">
        <v>0</v>
      </c>
      <c r="V857" s="644">
        <v>0</v>
      </c>
      <c r="W857" s="632">
        <v>0</v>
      </c>
      <c r="X857" s="632">
        <v>0</v>
      </c>
    </row>
    <row r="858" spans="1:24" ht="22.5">
      <c r="A858" s="645">
        <v>840</v>
      </c>
      <c r="B858" s="643" t="s">
        <v>1263</v>
      </c>
      <c r="C858" s="645" t="s">
        <v>443</v>
      </c>
      <c r="D858" s="645" t="s">
        <v>1252</v>
      </c>
      <c r="E858" s="645" t="s">
        <v>1358</v>
      </c>
      <c r="F858" s="645" t="s">
        <v>1114</v>
      </c>
      <c r="G858" s="645" t="s">
        <v>777</v>
      </c>
      <c r="H858" s="644">
        <v>0</v>
      </c>
      <c r="I858" s="644">
        <v>103520000</v>
      </c>
      <c r="J858" s="644">
        <v>103520000</v>
      </c>
      <c r="K858" s="644">
        <v>0</v>
      </c>
      <c r="L858" s="644">
        <v>0</v>
      </c>
      <c r="M858" s="644">
        <v>-103520000</v>
      </c>
      <c r="N858" s="644">
        <v>0</v>
      </c>
      <c r="O858" s="644">
        <v>0</v>
      </c>
      <c r="P858" s="644">
        <v>0</v>
      </c>
      <c r="Q858" s="644">
        <v>0</v>
      </c>
      <c r="R858" s="644">
        <v>0</v>
      </c>
      <c r="S858" s="644">
        <v>0</v>
      </c>
      <c r="T858" s="644">
        <v>0</v>
      </c>
      <c r="U858" s="644">
        <v>0</v>
      </c>
      <c r="V858" s="644">
        <v>0</v>
      </c>
      <c r="W858" s="632">
        <v>0</v>
      </c>
      <c r="X858" s="632">
        <v>0</v>
      </c>
    </row>
    <row r="859" spans="1:24">
      <c r="A859" s="645">
        <v>841</v>
      </c>
      <c r="B859" s="643" t="s">
        <v>1264</v>
      </c>
      <c r="C859" s="645" t="s">
        <v>443</v>
      </c>
      <c r="D859" s="645" t="s">
        <v>1252</v>
      </c>
      <c r="E859" s="645" t="s">
        <v>1115</v>
      </c>
      <c r="F859" s="645" t="s">
        <v>1114</v>
      </c>
      <c r="G859" s="645" t="s">
        <v>777</v>
      </c>
      <c r="H859" s="644">
        <v>0</v>
      </c>
      <c r="I859" s="644">
        <v>34395400</v>
      </c>
      <c r="J859" s="644">
        <v>34395400</v>
      </c>
      <c r="K859" s="644">
        <v>0</v>
      </c>
      <c r="L859" s="644">
        <v>0</v>
      </c>
      <c r="M859" s="644">
        <v>-34395400</v>
      </c>
      <c r="N859" s="644">
        <v>0</v>
      </c>
      <c r="O859" s="644">
        <v>0</v>
      </c>
      <c r="P859" s="644">
        <v>0</v>
      </c>
      <c r="Q859" s="644">
        <v>0</v>
      </c>
      <c r="R859" s="644">
        <v>0</v>
      </c>
      <c r="S859" s="644">
        <v>0</v>
      </c>
      <c r="T859" s="644">
        <v>0</v>
      </c>
      <c r="U859" s="644">
        <v>0</v>
      </c>
      <c r="V859" s="644">
        <v>0</v>
      </c>
      <c r="W859" s="632">
        <v>0</v>
      </c>
      <c r="X859" s="632">
        <v>0</v>
      </c>
    </row>
    <row r="860" spans="1:24" ht="22.5">
      <c r="A860" s="645">
        <v>842</v>
      </c>
      <c r="B860" s="643" t="s">
        <v>1265</v>
      </c>
      <c r="C860" s="645" t="s">
        <v>443</v>
      </c>
      <c r="D860" s="645" t="s">
        <v>1252</v>
      </c>
      <c r="E860" s="645" t="s">
        <v>1358</v>
      </c>
      <c r="F860" s="645" t="s">
        <v>1114</v>
      </c>
      <c r="G860" s="645" t="s">
        <v>777</v>
      </c>
      <c r="H860" s="644">
        <v>0</v>
      </c>
      <c r="I860" s="644">
        <v>19138000</v>
      </c>
      <c r="J860" s="644">
        <v>19138000</v>
      </c>
      <c r="K860" s="644">
        <v>0</v>
      </c>
      <c r="L860" s="644">
        <v>0</v>
      </c>
      <c r="M860" s="644">
        <v>-19138000</v>
      </c>
      <c r="N860" s="644">
        <v>0</v>
      </c>
      <c r="O860" s="644">
        <v>0</v>
      </c>
      <c r="P860" s="644">
        <v>0</v>
      </c>
      <c r="Q860" s="644">
        <v>0</v>
      </c>
      <c r="R860" s="644">
        <v>0</v>
      </c>
      <c r="S860" s="644">
        <v>0</v>
      </c>
      <c r="T860" s="644">
        <v>0</v>
      </c>
      <c r="U860" s="644">
        <v>0</v>
      </c>
      <c r="V860" s="644">
        <v>0</v>
      </c>
      <c r="W860" s="632">
        <v>0</v>
      </c>
      <c r="X860" s="632">
        <v>0</v>
      </c>
    </row>
    <row r="861" spans="1:24" ht="22.5">
      <c r="A861" s="645">
        <v>843</v>
      </c>
      <c r="B861" s="643" t="s">
        <v>1265</v>
      </c>
      <c r="C861" s="645" t="s">
        <v>443</v>
      </c>
      <c r="D861" s="645" t="s">
        <v>1252</v>
      </c>
      <c r="E861" s="645" t="s">
        <v>1192</v>
      </c>
      <c r="F861" s="645" t="s">
        <v>1114</v>
      </c>
      <c r="G861" s="645" t="s">
        <v>777</v>
      </c>
      <c r="H861" s="644">
        <v>0</v>
      </c>
      <c r="I861" s="644">
        <v>356694968</v>
      </c>
      <c r="J861" s="644">
        <v>356694968</v>
      </c>
      <c r="K861" s="644">
        <v>0</v>
      </c>
      <c r="L861" s="644">
        <v>0</v>
      </c>
      <c r="M861" s="644">
        <v>-356694968</v>
      </c>
      <c r="N861" s="644">
        <v>0</v>
      </c>
      <c r="O861" s="644">
        <v>0</v>
      </c>
      <c r="P861" s="644">
        <v>0</v>
      </c>
      <c r="Q861" s="644">
        <v>0</v>
      </c>
      <c r="R861" s="644">
        <v>0</v>
      </c>
      <c r="S861" s="644">
        <v>0</v>
      </c>
      <c r="T861" s="644">
        <v>0</v>
      </c>
      <c r="U861" s="644">
        <v>0</v>
      </c>
      <c r="V861" s="644">
        <v>0</v>
      </c>
      <c r="W861" s="632">
        <v>0</v>
      </c>
      <c r="X861" s="632">
        <v>0</v>
      </c>
    </row>
    <row r="862" spans="1:24">
      <c r="A862" s="645">
        <v>844</v>
      </c>
      <c r="B862" s="643" t="s">
        <v>1266</v>
      </c>
      <c r="C862" s="645" t="s">
        <v>443</v>
      </c>
      <c r="D862" s="645" t="s">
        <v>1267</v>
      </c>
      <c r="E862" s="645" t="s">
        <v>700</v>
      </c>
      <c r="F862" s="645" t="s">
        <v>1114</v>
      </c>
      <c r="G862" s="645" t="s">
        <v>777</v>
      </c>
      <c r="H862" s="644">
        <v>0</v>
      </c>
      <c r="I862" s="644">
        <v>195936000</v>
      </c>
      <c r="J862" s="644">
        <v>195936000</v>
      </c>
      <c r="K862" s="644">
        <v>0</v>
      </c>
      <c r="L862" s="644">
        <v>0</v>
      </c>
      <c r="M862" s="644">
        <v>-195936000</v>
      </c>
      <c r="N862" s="644">
        <v>0</v>
      </c>
      <c r="O862" s="644">
        <v>0</v>
      </c>
      <c r="P862" s="644">
        <v>0</v>
      </c>
      <c r="Q862" s="644">
        <v>0</v>
      </c>
      <c r="R862" s="644">
        <v>0</v>
      </c>
      <c r="S862" s="644">
        <v>0</v>
      </c>
      <c r="T862" s="644">
        <v>0</v>
      </c>
      <c r="U862" s="644">
        <v>0</v>
      </c>
      <c r="V862" s="644">
        <v>0</v>
      </c>
      <c r="W862" s="632">
        <v>0</v>
      </c>
      <c r="X862" s="632">
        <v>0</v>
      </c>
    </row>
    <row r="863" spans="1:24">
      <c r="A863" s="645">
        <v>845</v>
      </c>
      <c r="B863" s="643" t="s">
        <v>1266</v>
      </c>
      <c r="C863" s="645" t="s">
        <v>443</v>
      </c>
      <c r="D863" s="645" t="s">
        <v>1267</v>
      </c>
      <c r="E863" s="645" t="s">
        <v>1115</v>
      </c>
      <c r="F863" s="645" t="s">
        <v>1114</v>
      </c>
      <c r="G863" s="645" t="s">
        <v>777</v>
      </c>
      <c r="H863" s="644">
        <v>26040000</v>
      </c>
      <c r="I863" s="644">
        <v>0</v>
      </c>
      <c r="J863" s="644">
        <v>0</v>
      </c>
      <c r="K863" s="644">
        <v>0</v>
      </c>
      <c r="L863" s="644">
        <v>0</v>
      </c>
      <c r="M863" s="644">
        <v>0</v>
      </c>
      <c r="N863" s="644">
        <v>26040000</v>
      </c>
      <c r="O863" s="644">
        <v>0</v>
      </c>
      <c r="P863" s="644">
        <v>26040000</v>
      </c>
      <c r="Q863" s="644">
        <v>26040000</v>
      </c>
      <c r="R863" s="644">
        <v>0</v>
      </c>
      <c r="S863" s="644">
        <v>0</v>
      </c>
      <c r="T863" s="644">
        <v>0</v>
      </c>
      <c r="U863" s="644">
        <v>0</v>
      </c>
      <c r="V863" s="644">
        <v>0</v>
      </c>
      <c r="W863" s="632">
        <v>0</v>
      </c>
      <c r="X863" s="632">
        <v>0</v>
      </c>
    </row>
    <row r="864" spans="1:24" ht="22.5">
      <c r="A864" s="645">
        <v>846</v>
      </c>
      <c r="B864" s="643" t="s">
        <v>1268</v>
      </c>
      <c r="C864" s="645" t="s">
        <v>443</v>
      </c>
      <c r="D864" s="645" t="s">
        <v>1267</v>
      </c>
      <c r="E864" s="645" t="s">
        <v>700</v>
      </c>
      <c r="F864" s="645" t="s">
        <v>1114</v>
      </c>
      <c r="G864" s="645" t="s">
        <v>777</v>
      </c>
      <c r="H864" s="644">
        <v>0</v>
      </c>
      <c r="I864" s="644">
        <v>66533000</v>
      </c>
      <c r="J864" s="644">
        <v>66533000</v>
      </c>
      <c r="K864" s="644">
        <v>0</v>
      </c>
      <c r="L864" s="644">
        <v>0</v>
      </c>
      <c r="M864" s="644">
        <v>-66533000</v>
      </c>
      <c r="N864" s="644">
        <v>0</v>
      </c>
      <c r="O864" s="644">
        <v>0</v>
      </c>
      <c r="P864" s="644">
        <v>0</v>
      </c>
      <c r="Q864" s="644">
        <v>0</v>
      </c>
      <c r="R864" s="644">
        <v>0</v>
      </c>
      <c r="S864" s="644">
        <v>0</v>
      </c>
      <c r="T864" s="644">
        <v>0</v>
      </c>
      <c r="U864" s="644">
        <v>0</v>
      </c>
      <c r="V864" s="644">
        <v>0</v>
      </c>
      <c r="W864" s="632">
        <v>0</v>
      </c>
      <c r="X864" s="632">
        <v>0</v>
      </c>
    </row>
    <row r="865" spans="1:24" ht="22.5">
      <c r="A865" s="645">
        <v>847</v>
      </c>
      <c r="B865" s="643" t="s">
        <v>1268</v>
      </c>
      <c r="C865" s="645" t="s">
        <v>443</v>
      </c>
      <c r="D865" s="645" t="s">
        <v>1267</v>
      </c>
      <c r="E865" s="645" t="s">
        <v>1115</v>
      </c>
      <c r="F865" s="645" t="s">
        <v>1114</v>
      </c>
      <c r="G865" s="645" t="s">
        <v>777</v>
      </c>
      <c r="H865" s="644">
        <v>91910000</v>
      </c>
      <c r="I865" s="644">
        <v>0</v>
      </c>
      <c r="J865" s="644">
        <v>0</v>
      </c>
      <c r="K865" s="644">
        <v>0</v>
      </c>
      <c r="L865" s="644">
        <v>0</v>
      </c>
      <c r="M865" s="644">
        <v>0</v>
      </c>
      <c r="N865" s="644">
        <v>91910000</v>
      </c>
      <c r="O865" s="644">
        <v>0</v>
      </c>
      <c r="P865" s="644">
        <v>91910000</v>
      </c>
      <c r="Q865" s="644">
        <v>91910000</v>
      </c>
      <c r="R865" s="644">
        <v>0</v>
      </c>
      <c r="S865" s="644">
        <v>0</v>
      </c>
      <c r="T865" s="644">
        <v>0</v>
      </c>
      <c r="U865" s="644">
        <v>0</v>
      </c>
      <c r="V865" s="644">
        <v>0</v>
      </c>
      <c r="W865" s="632">
        <v>0</v>
      </c>
      <c r="X865" s="632">
        <v>650000</v>
      </c>
    </row>
    <row r="866" spans="1:24">
      <c r="A866" s="645">
        <v>848</v>
      </c>
      <c r="B866" s="643" t="s">
        <v>1269</v>
      </c>
      <c r="C866" s="645" t="s">
        <v>443</v>
      </c>
      <c r="D866" s="645" t="s">
        <v>1267</v>
      </c>
      <c r="E866" s="645" t="s">
        <v>700</v>
      </c>
      <c r="F866" s="645" t="s">
        <v>1114</v>
      </c>
      <c r="G866" s="645" t="s">
        <v>777</v>
      </c>
      <c r="H866" s="644">
        <v>0</v>
      </c>
      <c r="I866" s="644">
        <v>161518596</v>
      </c>
      <c r="J866" s="644">
        <v>161518596</v>
      </c>
      <c r="K866" s="644">
        <v>0</v>
      </c>
      <c r="L866" s="644">
        <v>0</v>
      </c>
      <c r="M866" s="644">
        <v>-161518596</v>
      </c>
      <c r="N866" s="644">
        <v>0</v>
      </c>
      <c r="O866" s="644">
        <v>0</v>
      </c>
      <c r="P866" s="644">
        <v>0</v>
      </c>
      <c r="Q866" s="644">
        <v>0</v>
      </c>
      <c r="R866" s="644">
        <v>0</v>
      </c>
      <c r="S866" s="644">
        <v>0</v>
      </c>
      <c r="T866" s="644">
        <v>0</v>
      </c>
      <c r="U866" s="644">
        <v>0</v>
      </c>
      <c r="V866" s="644">
        <v>0</v>
      </c>
      <c r="W866" s="632">
        <v>0</v>
      </c>
      <c r="X866" s="632">
        <v>0</v>
      </c>
    </row>
    <row r="867" spans="1:24" ht="22.5">
      <c r="A867" s="645">
        <v>849</v>
      </c>
      <c r="B867" s="643" t="s">
        <v>1271</v>
      </c>
      <c r="C867" s="645" t="s">
        <v>443</v>
      </c>
      <c r="D867" s="645" t="s">
        <v>1267</v>
      </c>
      <c r="E867" s="645" t="s">
        <v>905</v>
      </c>
      <c r="F867" s="645" t="s">
        <v>1114</v>
      </c>
      <c r="G867" s="645" t="s">
        <v>777</v>
      </c>
      <c r="H867" s="644">
        <v>0</v>
      </c>
      <c r="I867" s="644">
        <v>125264480</v>
      </c>
      <c r="J867" s="644">
        <v>125264480</v>
      </c>
      <c r="K867" s="644">
        <v>0</v>
      </c>
      <c r="L867" s="644">
        <v>0</v>
      </c>
      <c r="M867" s="644">
        <v>-125264480</v>
      </c>
      <c r="N867" s="644">
        <v>0</v>
      </c>
      <c r="O867" s="644">
        <v>0</v>
      </c>
      <c r="P867" s="644">
        <v>0</v>
      </c>
      <c r="Q867" s="644">
        <v>0</v>
      </c>
      <c r="R867" s="644">
        <v>0</v>
      </c>
      <c r="S867" s="644">
        <v>0</v>
      </c>
      <c r="T867" s="644">
        <v>0</v>
      </c>
      <c r="U867" s="644">
        <v>0</v>
      </c>
      <c r="V867" s="644">
        <v>0</v>
      </c>
      <c r="W867" s="632">
        <v>0</v>
      </c>
      <c r="X867" s="632">
        <v>0</v>
      </c>
    </row>
    <row r="868" spans="1:24" ht="22.5">
      <c r="A868" s="645">
        <v>850</v>
      </c>
      <c r="B868" s="643" t="s">
        <v>1271</v>
      </c>
      <c r="C868" s="645" t="s">
        <v>443</v>
      </c>
      <c r="D868" s="645" t="s">
        <v>1267</v>
      </c>
      <c r="E868" s="645" t="s">
        <v>1115</v>
      </c>
      <c r="F868" s="645" t="s">
        <v>1114</v>
      </c>
      <c r="G868" s="645" t="s">
        <v>777</v>
      </c>
      <c r="H868" s="644">
        <v>121540000</v>
      </c>
      <c r="I868" s="644">
        <v>0</v>
      </c>
      <c r="J868" s="644">
        <v>0</v>
      </c>
      <c r="K868" s="644">
        <v>0</v>
      </c>
      <c r="L868" s="644">
        <v>0</v>
      </c>
      <c r="M868" s="644">
        <v>0</v>
      </c>
      <c r="N868" s="644">
        <v>121540000</v>
      </c>
      <c r="O868" s="644">
        <v>0</v>
      </c>
      <c r="P868" s="644">
        <v>121540000</v>
      </c>
      <c r="Q868" s="644">
        <v>121540000</v>
      </c>
      <c r="R868" s="644">
        <v>0</v>
      </c>
      <c r="S868" s="644">
        <v>0</v>
      </c>
      <c r="T868" s="644">
        <v>0</v>
      </c>
      <c r="U868" s="644">
        <v>0</v>
      </c>
      <c r="V868" s="644">
        <v>0</v>
      </c>
      <c r="W868" s="632">
        <v>0</v>
      </c>
      <c r="X868" s="632">
        <v>0</v>
      </c>
    </row>
    <row r="869" spans="1:24" ht="22.5">
      <c r="A869" s="645">
        <v>851</v>
      </c>
      <c r="B869" s="643" t="s">
        <v>1272</v>
      </c>
      <c r="C869" s="645" t="s">
        <v>443</v>
      </c>
      <c r="D869" s="645" t="s">
        <v>1267</v>
      </c>
      <c r="E869" s="645" t="s">
        <v>700</v>
      </c>
      <c r="F869" s="645" t="s">
        <v>1114</v>
      </c>
      <c r="G869" s="645" t="s">
        <v>777</v>
      </c>
      <c r="H869" s="644">
        <v>0</v>
      </c>
      <c r="I869" s="644">
        <v>161037345</v>
      </c>
      <c r="J869" s="644">
        <v>161037345</v>
      </c>
      <c r="K869" s="644">
        <v>0</v>
      </c>
      <c r="L869" s="644">
        <v>0</v>
      </c>
      <c r="M869" s="644">
        <v>-161037345</v>
      </c>
      <c r="N869" s="644">
        <v>0</v>
      </c>
      <c r="O869" s="644">
        <v>0</v>
      </c>
      <c r="P869" s="644">
        <v>0</v>
      </c>
      <c r="Q869" s="644">
        <v>0</v>
      </c>
      <c r="R869" s="644">
        <v>0</v>
      </c>
      <c r="S869" s="644">
        <v>0</v>
      </c>
      <c r="T869" s="644">
        <v>0</v>
      </c>
      <c r="U869" s="644">
        <v>0</v>
      </c>
      <c r="V869" s="644">
        <v>0</v>
      </c>
      <c r="W869" s="632">
        <v>0</v>
      </c>
      <c r="X869" s="632">
        <v>0</v>
      </c>
    </row>
    <row r="870" spans="1:24" ht="22.5">
      <c r="A870" s="645">
        <v>852</v>
      </c>
      <c r="B870" s="643" t="s">
        <v>1273</v>
      </c>
      <c r="C870" s="645" t="s">
        <v>443</v>
      </c>
      <c r="D870" s="645" t="s">
        <v>1267</v>
      </c>
      <c r="E870" s="645" t="s">
        <v>700</v>
      </c>
      <c r="F870" s="645" t="s">
        <v>1114</v>
      </c>
      <c r="G870" s="645" t="s">
        <v>777</v>
      </c>
      <c r="H870" s="644">
        <v>0</v>
      </c>
      <c r="I870" s="644">
        <v>194274600</v>
      </c>
      <c r="J870" s="644">
        <v>194274600</v>
      </c>
      <c r="K870" s="644">
        <v>0</v>
      </c>
      <c r="L870" s="644">
        <v>0</v>
      </c>
      <c r="M870" s="644">
        <v>-194274600</v>
      </c>
      <c r="N870" s="644">
        <v>0</v>
      </c>
      <c r="O870" s="644">
        <v>0</v>
      </c>
      <c r="P870" s="644">
        <v>0</v>
      </c>
      <c r="Q870" s="644">
        <v>0</v>
      </c>
      <c r="R870" s="644">
        <v>0</v>
      </c>
      <c r="S870" s="644">
        <v>0</v>
      </c>
      <c r="T870" s="644">
        <v>0</v>
      </c>
      <c r="U870" s="644">
        <v>0</v>
      </c>
      <c r="V870" s="644">
        <v>0</v>
      </c>
      <c r="W870" s="632">
        <v>0</v>
      </c>
      <c r="X870" s="632">
        <v>37360</v>
      </c>
    </row>
    <row r="871" spans="1:24" ht="22.5">
      <c r="A871" s="645">
        <v>853</v>
      </c>
      <c r="B871" s="643" t="s">
        <v>1273</v>
      </c>
      <c r="C871" s="645" t="s">
        <v>443</v>
      </c>
      <c r="D871" s="645" t="s">
        <v>1267</v>
      </c>
      <c r="E871" s="645" t="s">
        <v>1115</v>
      </c>
      <c r="F871" s="645" t="s">
        <v>1114</v>
      </c>
      <c r="G871" s="645" t="s">
        <v>777</v>
      </c>
      <c r="H871" s="644">
        <v>29240000</v>
      </c>
      <c r="I871" s="644">
        <v>0</v>
      </c>
      <c r="J871" s="644">
        <v>0</v>
      </c>
      <c r="K871" s="644">
        <v>0</v>
      </c>
      <c r="L871" s="644">
        <v>0</v>
      </c>
      <c r="M871" s="644">
        <v>0</v>
      </c>
      <c r="N871" s="644">
        <v>29240000</v>
      </c>
      <c r="O871" s="644">
        <v>0</v>
      </c>
      <c r="P871" s="644">
        <v>29240000</v>
      </c>
      <c r="Q871" s="644">
        <v>29240000</v>
      </c>
      <c r="R871" s="644">
        <v>0</v>
      </c>
      <c r="S871" s="644">
        <v>0</v>
      </c>
      <c r="T871" s="644">
        <v>0</v>
      </c>
      <c r="U871" s="644">
        <v>0</v>
      </c>
      <c r="V871" s="644">
        <v>0</v>
      </c>
      <c r="W871" s="632">
        <v>0</v>
      </c>
      <c r="X871" s="632">
        <v>0</v>
      </c>
    </row>
    <row r="872" spans="1:24" ht="22.5">
      <c r="A872" s="645">
        <v>854</v>
      </c>
      <c r="B872" s="643" t="s">
        <v>1274</v>
      </c>
      <c r="C872" s="645" t="s">
        <v>443</v>
      </c>
      <c r="D872" s="645" t="s">
        <v>1267</v>
      </c>
      <c r="E872" s="645" t="s">
        <v>700</v>
      </c>
      <c r="F872" s="645" t="s">
        <v>1114</v>
      </c>
      <c r="G872" s="645" t="s">
        <v>777</v>
      </c>
      <c r="H872" s="644">
        <v>0</v>
      </c>
      <c r="I872" s="644">
        <v>85406000</v>
      </c>
      <c r="J872" s="644">
        <v>85406000</v>
      </c>
      <c r="K872" s="644">
        <v>0</v>
      </c>
      <c r="L872" s="644">
        <v>0</v>
      </c>
      <c r="M872" s="644">
        <v>-85406000</v>
      </c>
      <c r="N872" s="644">
        <v>0</v>
      </c>
      <c r="O872" s="644">
        <v>0</v>
      </c>
      <c r="P872" s="644">
        <v>0</v>
      </c>
      <c r="Q872" s="644">
        <v>0</v>
      </c>
      <c r="R872" s="644">
        <v>0</v>
      </c>
      <c r="S872" s="644">
        <v>0</v>
      </c>
      <c r="T872" s="644">
        <v>0</v>
      </c>
      <c r="U872" s="644">
        <v>0</v>
      </c>
      <c r="V872" s="644">
        <v>0</v>
      </c>
      <c r="W872" s="632">
        <v>0</v>
      </c>
      <c r="X872" s="632">
        <v>0</v>
      </c>
    </row>
    <row r="873" spans="1:24" ht="22.5">
      <c r="A873" s="645">
        <v>855</v>
      </c>
      <c r="B873" s="643" t="s">
        <v>1275</v>
      </c>
      <c r="C873" s="645" t="s">
        <v>443</v>
      </c>
      <c r="D873" s="645" t="s">
        <v>1267</v>
      </c>
      <c r="E873" s="645" t="s">
        <v>885</v>
      </c>
      <c r="F873" s="645" t="s">
        <v>1114</v>
      </c>
      <c r="G873" s="645" t="s">
        <v>777</v>
      </c>
      <c r="H873" s="644">
        <v>0</v>
      </c>
      <c r="I873" s="644">
        <v>313552000</v>
      </c>
      <c r="J873" s="644">
        <v>313552000</v>
      </c>
      <c r="K873" s="644">
        <v>0</v>
      </c>
      <c r="L873" s="644">
        <v>0</v>
      </c>
      <c r="M873" s="644">
        <v>-313552000</v>
      </c>
      <c r="N873" s="644">
        <v>0</v>
      </c>
      <c r="O873" s="644">
        <v>0</v>
      </c>
      <c r="P873" s="644">
        <v>0</v>
      </c>
      <c r="Q873" s="644">
        <v>0</v>
      </c>
      <c r="R873" s="644">
        <v>0</v>
      </c>
      <c r="S873" s="644">
        <v>0</v>
      </c>
      <c r="T873" s="644">
        <v>0</v>
      </c>
      <c r="U873" s="644">
        <v>0</v>
      </c>
      <c r="V873" s="644">
        <v>0</v>
      </c>
      <c r="W873" s="632">
        <v>0</v>
      </c>
      <c r="X873" s="632">
        <v>9561970</v>
      </c>
    </row>
    <row r="874" spans="1:24">
      <c r="A874" s="645">
        <v>856</v>
      </c>
      <c r="B874" s="643" t="s">
        <v>1276</v>
      </c>
      <c r="C874" s="645" t="s">
        <v>443</v>
      </c>
      <c r="D874" s="645" t="s">
        <v>1267</v>
      </c>
      <c r="E874" s="645" t="s">
        <v>700</v>
      </c>
      <c r="F874" s="645" t="s">
        <v>1114</v>
      </c>
      <c r="G874" s="645" t="s">
        <v>777</v>
      </c>
      <c r="H874" s="644">
        <v>0</v>
      </c>
      <c r="I874" s="644">
        <v>211798947</v>
      </c>
      <c r="J874" s="644">
        <v>211798947</v>
      </c>
      <c r="K874" s="644">
        <v>0</v>
      </c>
      <c r="L874" s="644">
        <v>0</v>
      </c>
      <c r="M874" s="644">
        <v>-211798947</v>
      </c>
      <c r="N874" s="644">
        <v>0</v>
      </c>
      <c r="O874" s="644">
        <v>0</v>
      </c>
      <c r="P874" s="644">
        <v>0</v>
      </c>
      <c r="Q874" s="644">
        <v>0</v>
      </c>
      <c r="R874" s="644">
        <v>0</v>
      </c>
      <c r="S874" s="644">
        <v>0</v>
      </c>
      <c r="T874" s="644">
        <v>0</v>
      </c>
      <c r="U874" s="644">
        <v>0</v>
      </c>
      <c r="V874" s="644">
        <v>0</v>
      </c>
      <c r="W874" s="632">
        <v>0</v>
      </c>
      <c r="X874" s="632">
        <v>0</v>
      </c>
    </row>
    <row r="875" spans="1:24">
      <c r="A875" s="645">
        <v>857</v>
      </c>
      <c r="B875" s="643" t="s">
        <v>1276</v>
      </c>
      <c r="C875" s="645" t="s">
        <v>443</v>
      </c>
      <c r="D875" s="645" t="s">
        <v>1267</v>
      </c>
      <c r="E875" s="645" t="s">
        <v>1115</v>
      </c>
      <c r="F875" s="645" t="s">
        <v>1114</v>
      </c>
      <c r="G875" s="645" t="s">
        <v>777</v>
      </c>
      <c r="H875" s="644">
        <v>33390000</v>
      </c>
      <c r="I875" s="644">
        <v>0</v>
      </c>
      <c r="J875" s="644">
        <v>0</v>
      </c>
      <c r="K875" s="644">
        <v>0</v>
      </c>
      <c r="L875" s="644">
        <v>0</v>
      </c>
      <c r="M875" s="644">
        <v>0</v>
      </c>
      <c r="N875" s="644">
        <v>33390000</v>
      </c>
      <c r="O875" s="644">
        <v>0</v>
      </c>
      <c r="P875" s="644">
        <v>33390000</v>
      </c>
      <c r="Q875" s="644">
        <v>33390000</v>
      </c>
      <c r="R875" s="644">
        <v>0</v>
      </c>
      <c r="S875" s="644">
        <v>0</v>
      </c>
      <c r="T875" s="644">
        <v>0</v>
      </c>
      <c r="U875" s="644">
        <v>0</v>
      </c>
      <c r="V875" s="644">
        <v>0</v>
      </c>
      <c r="W875" s="632">
        <v>0</v>
      </c>
      <c r="X875" s="632">
        <v>0</v>
      </c>
    </row>
    <row r="876" spans="1:24" ht="22.5">
      <c r="A876" s="645">
        <v>858</v>
      </c>
      <c r="B876" s="643" t="s">
        <v>1277</v>
      </c>
      <c r="C876" s="645" t="s">
        <v>443</v>
      </c>
      <c r="D876" s="645" t="s">
        <v>1267</v>
      </c>
      <c r="E876" s="645" t="s">
        <v>700</v>
      </c>
      <c r="F876" s="645" t="s">
        <v>1114</v>
      </c>
      <c r="G876" s="645" t="s">
        <v>777</v>
      </c>
      <c r="H876" s="644">
        <v>0</v>
      </c>
      <c r="I876" s="644">
        <v>36410000</v>
      </c>
      <c r="J876" s="644">
        <v>36410000</v>
      </c>
      <c r="K876" s="644">
        <v>0</v>
      </c>
      <c r="L876" s="644">
        <v>0</v>
      </c>
      <c r="M876" s="644">
        <v>-36410000</v>
      </c>
      <c r="N876" s="644">
        <v>0</v>
      </c>
      <c r="O876" s="644">
        <v>0</v>
      </c>
      <c r="P876" s="644">
        <v>0</v>
      </c>
      <c r="Q876" s="644">
        <v>0</v>
      </c>
      <c r="R876" s="644">
        <v>0</v>
      </c>
      <c r="S876" s="644">
        <v>0</v>
      </c>
      <c r="T876" s="644">
        <v>0</v>
      </c>
      <c r="U876" s="644">
        <v>0</v>
      </c>
      <c r="V876" s="644">
        <v>0</v>
      </c>
      <c r="W876" s="632">
        <v>0</v>
      </c>
      <c r="X876" s="632">
        <v>296851</v>
      </c>
    </row>
    <row r="877" spans="1:24" ht="22.5">
      <c r="A877" s="645">
        <v>859</v>
      </c>
      <c r="B877" s="643" t="s">
        <v>1277</v>
      </c>
      <c r="C877" s="645" t="s">
        <v>443</v>
      </c>
      <c r="D877" s="645" t="s">
        <v>1267</v>
      </c>
      <c r="E877" s="645" t="s">
        <v>1115</v>
      </c>
      <c r="F877" s="645" t="s">
        <v>1114</v>
      </c>
      <c r="G877" s="645" t="s">
        <v>777</v>
      </c>
      <c r="H877" s="644">
        <v>288162000</v>
      </c>
      <c r="I877" s="644">
        <v>0</v>
      </c>
      <c r="J877" s="644">
        <v>0</v>
      </c>
      <c r="K877" s="644">
        <v>0</v>
      </c>
      <c r="L877" s="644">
        <v>0</v>
      </c>
      <c r="M877" s="644">
        <v>0</v>
      </c>
      <c r="N877" s="644">
        <v>288162000</v>
      </c>
      <c r="O877" s="644">
        <v>0</v>
      </c>
      <c r="P877" s="644">
        <v>288162000</v>
      </c>
      <c r="Q877" s="644">
        <v>288162000</v>
      </c>
      <c r="R877" s="644">
        <v>0</v>
      </c>
      <c r="S877" s="644">
        <v>0</v>
      </c>
      <c r="T877" s="644">
        <v>0</v>
      </c>
      <c r="U877" s="644">
        <v>0</v>
      </c>
      <c r="V877" s="644">
        <v>0</v>
      </c>
      <c r="W877" s="632">
        <v>0</v>
      </c>
      <c r="X877" s="632">
        <v>237502140</v>
      </c>
    </row>
    <row r="878" spans="1:24" ht="22.5">
      <c r="A878" s="645">
        <v>860</v>
      </c>
      <c r="B878" s="643" t="s">
        <v>1278</v>
      </c>
      <c r="C878" s="645" t="s">
        <v>443</v>
      </c>
      <c r="D878" s="645" t="s">
        <v>1279</v>
      </c>
      <c r="E878" s="645" t="s">
        <v>905</v>
      </c>
      <c r="F878" s="645" t="s">
        <v>1114</v>
      </c>
      <c r="G878" s="645" t="s">
        <v>777</v>
      </c>
      <c r="H878" s="644">
        <v>0</v>
      </c>
      <c r="I878" s="644">
        <v>281565646</v>
      </c>
      <c r="J878" s="644">
        <v>281565646</v>
      </c>
      <c r="K878" s="644">
        <v>0</v>
      </c>
      <c r="L878" s="644">
        <v>0</v>
      </c>
      <c r="M878" s="644">
        <v>-281565646</v>
      </c>
      <c r="N878" s="644">
        <v>0</v>
      </c>
      <c r="O878" s="644">
        <v>0</v>
      </c>
      <c r="P878" s="644">
        <v>0</v>
      </c>
      <c r="Q878" s="644">
        <v>0</v>
      </c>
      <c r="R878" s="644">
        <v>0</v>
      </c>
      <c r="S878" s="644">
        <v>0</v>
      </c>
      <c r="T878" s="644">
        <v>0</v>
      </c>
      <c r="U878" s="644">
        <v>0</v>
      </c>
      <c r="V878" s="644">
        <v>0</v>
      </c>
      <c r="W878" s="632">
        <v>0</v>
      </c>
      <c r="X878" s="632">
        <v>0</v>
      </c>
    </row>
    <row r="879" spans="1:24" ht="22.5">
      <c r="A879" s="645">
        <v>861</v>
      </c>
      <c r="B879" s="643" t="s">
        <v>1278</v>
      </c>
      <c r="C879" s="645" t="s">
        <v>443</v>
      </c>
      <c r="D879" s="645" t="s">
        <v>1279</v>
      </c>
      <c r="E879" s="645" t="s">
        <v>1115</v>
      </c>
      <c r="F879" s="645" t="s">
        <v>1114</v>
      </c>
      <c r="G879" s="645" t="s">
        <v>777</v>
      </c>
      <c r="H879" s="644">
        <v>62079000</v>
      </c>
      <c r="I879" s="644">
        <v>0</v>
      </c>
      <c r="J879" s="644">
        <v>0</v>
      </c>
      <c r="K879" s="644">
        <v>0</v>
      </c>
      <c r="L879" s="644">
        <v>0</v>
      </c>
      <c r="M879" s="644">
        <v>0</v>
      </c>
      <c r="N879" s="644">
        <v>62079000</v>
      </c>
      <c r="O879" s="644">
        <v>0</v>
      </c>
      <c r="P879" s="644">
        <v>62079000</v>
      </c>
      <c r="Q879" s="644">
        <v>62079000</v>
      </c>
      <c r="R879" s="644">
        <v>0</v>
      </c>
      <c r="S879" s="644">
        <v>0</v>
      </c>
      <c r="T879" s="644">
        <v>0</v>
      </c>
      <c r="U879" s="644">
        <v>0</v>
      </c>
      <c r="V879" s="644">
        <v>0</v>
      </c>
      <c r="W879" s="632">
        <v>0</v>
      </c>
      <c r="X879" s="632">
        <v>0</v>
      </c>
    </row>
    <row r="880" spans="1:24">
      <c r="A880" s="645">
        <v>862</v>
      </c>
      <c r="B880" s="643" t="s">
        <v>1281</v>
      </c>
      <c r="C880" s="645" t="s">
        <v>443</v>
      </c>
      <c r="D880" s="645" t="s">
        <v>1279</v>
      </c>
      <c r="E880" s="645" t="s">
        <v>905</v>
      </c>
      <c r="F880" s="645" t="s">
        <v>1114</v>
      </c>
      <c r="G880" s="645" t="s">
        <v>777</v>
      </c>
      <c r="H880" s="644">
        <v>0</v>
      </c>
      <c r="I880" s="644">
        <v>130473011</v>
      </c>
      <c r="J880" s="644">
        <v>130473011</v>
      </c>
      <c r="K880" s="644">
        <v>0</v>
      </c>
      <c r="L880" s="644">
        <v>0</v>
      </c>
      <c r="M880" s="644">
        <v>-130473011</v>
      </c>
      <c r="N880" s="644">
        <v>0</v>
      </c>
      <c r="O880" s="644">
        <v>0</v>
      </c>
      <c r="P880" s="644">
        <v>0</v>
      </c>
      <c r="Q880" s="644">
        <v>0</v>
      </c>
      <c r="R880" s="644">
        <v>0</v>
      </c>
      <c r="S880" s="644">
        <v>0</v>
      </c>
      <c r="T880" s="644">
        <v>0</v>
      </c>
      <c r="U880" s="644">
        <v>0</v>
      </c>
      <c r="V880" s="644">
        <v>0</v>
      </c>
      <c r="W880" s="632">
        <v>0</v>
      </c>
      <c r="X880" s="632">
        <v>0</v>
      </c>
    </row>
    <row r="881" spans="1:24" ht="22.5">
      <c r="A881" s="645">
        <v>863</v>
      </c>
      <c r="B881" s="643" t="s">
        <v>1374</v>
      </c>
      <c r="C881" s="645" t="s">
        <v>443</v>
      </c>
      <c r="D881" s="645" t="s">
        <v>1279</v>
      </c>
      <c r="E881" s="645" t="s">
        <v>1115</v>
      </c>
      <c r="F881" s="645" t="s">
        <v>1114</v>
      </c>
      <c r="G881" s="645" t="s">
        <v>777</v>
      </c>
      <c r="H881" s="644">
        <v>20852000</v>
      </c>
      <c r="I881" s="644">
        <v>0</v>
      </c>
      <c r="J881" s="644">
        <v>0</v>
      </c>
      <c r="K881" s="644">
        <v>0</v>
      </c>
      <c r="L881" s="644">
        <v>0</v>
      </c>
      <c r="M881" s="644">
        <v>0</v>
      </c>
      <c r="N881" s="644">
        <v>20852000</v>
      </c>
      <c r="O881" s="644">
        <v>0</v>
      </c>
      <c r="P881" s="644">
        <v>20852000</v>
      </c>
      <c r="Q881" s="644">
        <v>20852000</v>
      </c>
      <c r="R881" s="644">
        <v>0</v>
      </c>
      <c r="S881" s="644">
        <v>0</v>
      </c>
      <c r="T881" s="644">
        <v>0</v>
      </c>
      <c r="U881" s="644">
        <v>0</v>
      </c>
      <c r="V881" s="644">
        <v>0</v>
      </c>
      <c r="W881" s="632">
        <v>0</v>
      </c>
      <c r="X881" s="632">
        <v>5908940</v>
      </c>
    </row>
    <row r="882" spans="1:24">
      <c r="A882" s="645">
        <v>864</v>
      </c>
      <c r="B882" s="643" t="s">
        <v>1282</v>
      </c>
      <c r="C882" s="645" t="s">
        <v>443</v>
      </c>
      <c r="D882" s="645" t="s">
        <v>1279</v>
      </c>
      <c r="E882" s="645" t="s">
        <v>905</v>
      </c>
      <c r="F882" s="645" t="s">
        <v>1114</v>
      </c>
      <c r="G882" s="645" t="s">
        <v>777</v>
      </c>
      <c r="H882" s="644">
        <v>0</v>
      </c>
      <c r="I882" s="644">
        <v>113151167</v>
      </c>
      <c r="J882" s="644">
        <v>113151167</v>
      </c>
      <c r="K882" s="644">
        <v>0</v>
      </c>
      <c r="L882" s="644">
        <v>0</v>
      </c>
      <c r="M882" s="644">
        <v>-113151167</v>
      </c>
      <c r="N882" s="644">
        <v>0</v>
      </c>
      <c r="O882" s="644">
        <v>0</v>
      </c>
      <c r="P882" s="644">
        <v>0</v>
      </c>
      <c r="Q882" s="644">
        <v>0</v>
      </c>
      <c r="R882" s="644">
        <v>0</v>
      </c>
      <c r="S882" s="644">
        <v>0</v>
      </c>
      <c r="T882" s="644">
        <v>0</v>
      </c>
      <c r="U882" s="644">
        <v>0</v>
      </c>
      <c r="V882" s="644">
        <v>0</v>
      </c>
      <c r="W882" s="632">
        <v>0</v>
      </c>
      <c r="X882" s="632">
        <v>0</v>
      </c>
    </row>
    <row r="883" spans="1:24">
      <c r="A883" s="645">
        <v>865</v>
      </c>
      <c r="B883" s="643" t="s">
        <v>1282</v>
      </c>
      <c r="C883" s="645" t="s">
        <v>443</v>
      </c>
      <c r="D883" s="645" t="s">
        <v>1279</v>
      </c>
      <c r="E883" s="645" t="s">
        <v>1115</v>
      </c>
      <c r="F883" s="645" t="s">
        <v>1114</v>
      </c>
      <c r="G883" s="645" t="s">
        <v>777</v>
      </c>
      <c r="H883" s="644">
        <v>23640000</v>
      </c>
      <c r="I883" s="644">
        <v>0</v>
      </c>
      <c r="J883" s="644">
        <v>0</v>
      </c>
      <c r="K883" s="644">
        <v>0</v>
      </c>
      <c r="L883" s="644">
        <v>0</v>
      </c>
      <c r="M883" s="644">
        <v>0</v>
      </c>
      <c r="N883" s="644">
        <v>23640000</v>
      </c>
      <c r="O883" s="644">
        <v>0</v>
      </c>
      <c r="P883" s="644">
        <v>23640000</v>
      </c>
      <c r="Q883" s="644">
        <v>23640000</v>
      </c>
      <c r="R883" s="644">
        <v>0</v>
      </c>
      <c r="S883" s="644">
        <v>0</v>
      </c>
      <c r="T883" s="644">
        <v>0</v>
      </c>
      <c r="U883" s="644">
        <v>0</v>
      </c>
      <c r="V883" s="644">
        <v>0</v>
      </c>
      <c r="W883" s="632">
        <v>0</v>
      </c>
      <c r="X883" s="632">
        <v>369719200</v>
      </c>
    </row>
    <row r="884" spans="1:24" ht="22.5">
      <c r="A884" s="645">
        <v>866</v>
      </c>
      <c r="B884" s="643" t="s">
        <v>1283</v>
      </c>
      <c r="C884" s="645" t="s">
        <v>443</v>
      </c>
      <c r="D884" s="645" t="s">
        <v>1279</v>
      </c>
      <c r="E884" s="645" t="s">
        <v>905</v>
      </c>
      <c r="F884" s="645" t="s">
        <v>1114</v>
      </c>
      <c r="G884" s="645" t="s">
        <v>777</v>
      </c>
      <c r="H884" s="644">
        <v>0</v>
      </c>
      <c r="I884" s="644">
        <v>16265599</v>
      </c>
      <c r="J884" s="644">
        <v>16265599</v>
      </c>
      <c r="K884" s="644">
        <v>0</v>
      </c>
      <c r="L884" s="644">
        <v>0</v>
      </c>
      <c r="M884" s="644">
        <v>-16265599</v>
      </c>
      <c r="N884" s="644">
        <v>0</v>
      </c>
      <c r="O884" s="644">
        <v>0</v>
      </c>
      <c r="P884" s="644">
        <v>0</v>
      </c>
      <c r="Q884" s="644">
        <v>0</v>
      </c>
      <c r="R884" s="644">
        <v>0</v>
      </c>
      <c r="S884" s="644">
        <v>0</v>
      </c>
      <c r="T884" s="644">
        <v>0</v>
      </c>
      <c r="U884" s="644">
        <v>0</v>
      </c>
      <c r="V884" s="644">
        <v>0</v>
      </c>
      <c r="W884" s="632">
        <v>0</v>
      </c>
      <c r="X884" s="632">
        <v>155674350</v>
      </c>
    </row>
    <row r="885" spans="1:24" ht="22.5">
      <c r="A885" s="645">
        <v>867</v>
      </c>
      <c r="B885" s="643" t="s">
        <v>1283</v>
      </c>
      <c r="C885" s="645" t="s">
        <v>443</v>
      </c>
      <c r="D885" s="645" t="s">
        <v>1279</v>
      </c>
      <c r="E885" s="645" t="s">
        <v>1115</v>
      </c>
      <c r="F885" s="645" t="s">
        <v>1114</v>
      </c>
      <c r="G885" s="645" t="s">
        <v>777</v>
      </c>
      <c r="H885" s="644">
        <v>15540000</v>
      </c>
      <c r="I885" s="644">
        <v>0</v>
      </c>
      <c r="J885" s="644">
        <v>0</v>
      </c>
      <c r="K885" s="644">
        <v>0</v>
      </c>
      <c r="L885" s="644">
        <v>0</v>
      </c>
      <c r="M885" s="644">
        <v>0</v>
      </c>
      <c r="N885" s="644">
        <v>15540000</v>
      </c>
      <c r="O885" s="644">
        <v>0</v>
      </c>
      <c r="P885" s="644">
        <v>15540000</v>
      </c>
      <c r="Q885" s="644">
        <v>15540000</v>
      </c>
      <c r="R885" s="644">
        <v>0</v>
      </c>
      <c r="S885" s="644">
        <v>0</v>
      </c>
      <c r="T885" s="644">
        <v>0</v>
      </c>
      <c r="U885" s="644">
        <v>0</v>
      </c>
      <c r="V885" s="644">
        <v>0</v>
      </c>
      <c r="W885" s="632">
        <v>0</v>
      </c>
      <c r="X885" s="632">
        <v>0</v>
      </c>
    </row>
    <row r="886" spans="1:24" ht="22.5">
      <c r="A886" s="645">
        <v>868</v>
      </c>
      <c r="B886" s="643" t="s">
        <v>1359</v>
      </c>
      <c r="C886" s="645" t="s">
        <v>443</v>
      </c>
      <c r="D886" s="645" t="s">
        <v>1279</v>
      </c>
      <c r="E886" s="645" t="s">
        <v>888</v>
      </c>
      <c r="F886" s="645" t="s">
        <v>1114</v>
      </c>
      <c r="G886" s="645" t="s">
        <v>777</v>
      </c>
      <c r="H886" s="644">
        <v>0</v>
      </c>
      <c r="I886" s="644">
        <v>24660155</v>
      </c>
      <c r="J886" s="644">
        <v>24660155</v>
      </c>
      <c r="K886" s="644">
        <v>0</v>
      </c>
      <c r="L886" s="644">
        <v>0</v>
      </c>
      <c r="M886" s="644">
        <v>-24660155</v>
      </c>
      <c r="N886" s="644">
        <v>0</v>
      </c>
      <c r="O886" s="644">
        <v>0</v>
      </c>
      <c r="P886" s="644">
        <v>0</v>
      </c>
      <c r="Q886" s="644">
        <v>0</v>
      </c>
      <c r="R886" s="644">
        <v>0</v>
      </c>
      <c r="S886" s="644">
        <v>0</v>
      </c>
      <c r="T886" s="644">
        <v>0</v>
      </c>
      <c r="U886" s="644">
        <v>0</v>
      </c>
      <c r="V886" s="644">
        <v>0</v>
      </c>
      <c r="W886" s="632">
        <v>0</v>
      </c>
      <c r="X886" s="632">
        <v>25000</v>
      </c>
    </row>
    <row r="887" spans="1:24" ht="22.5">
      <c r="A887" s="645">
        <v>869</v>
      </c>
      <c r="B887" s="643" t="s">
        <v>1284</v>
      </c>
      <c r="C887" s="645" t="s">
        <v>443</v>
      </c>
      <c r="D887" s="645" t="s">
        <v>1285</v>
      </c>
      <c r="E887" s="645" t="s">
        <v>905</v>
      </c>
      <c r="F887" s="645" t="s">
        <v>1114</v>
      </c>
      <c r="G887" s="645" t="s">
        <v>777</v>
      </c>
      <c r="H887" s="644">
        <v>0</v>
      </c>
      <c r="I887" s="644">
        <v>217795580</v>
      </c>
      <c r="J887" s="644">
        <v>217795580</v>
      </c>
      <c r="K887" s="644">
        <v>0</v>
      </c>
      <c r="L887" s="644">
        <v>0</v>
      </c>
      <c r="M887" s="644">
        <v>-217795580</v>
      </c>
      <c r="N887" s="644">
        <v>0</v>
      </c>
      <c r="O887" s="644">
        <v>0</v>
      </c>
      <c r="P887" s="644">
        <v>0</v>
      </c>
      <c r="Q887" s="644">
        <v>0</v>
      </c>
      <c r="R887" s="644">
        <v>0</v>
      </c>
      <c r="S887" s="644">
        <v>0</v>
      </c>
      <c r="T887" s="644">
        <v>0</v>
      </c>
      <c r="U887" s="644">
        <v>0</v>
      </c>
      <c r="V887" s="644">
        <v>0</v>
      </c>
      <c r="W887" s="632">
        <v>0</v>
      </c>
      <c r="X887" s="632">
        <v>0</v>
      </c>
    </row>
    <row r="888" spans="1:24" ht="22.5">
      <c r="A888" s="645">
        <v>870</v>
      </c>
      <c r="B888" s="643" t="s">
        <v>1284</v>
      </c>
      <c r="C888" s="645" t="s">
        <v>443</v>
      </c>
      <c r="D888" s="645" t="s">
        <v>1285</v>
      </c>
      <c r="E888" s="645" t="s">
        <v>1115</v>
      </c>
      <c r="F888" s="645" t="s">
        <v>1114</v>
      </c>
      <c r="G888" s="645" t="s">
        <v>777</v>
      </c>
      <c r="H888" s="644">
        <v>84080000</v>
      </c>
      <c r="I888" s="644">
        <v>0</v>
      </c>
      <c r="J888" s="644">
        <v>0</v>
      </c>
      <c r="K888" s="644">
        <v>0</v>
      </c>
      <c r="L888" s="644">
        <v>0</v>
      </c>
      <c r="M888" s="644">
        <v>0</v>
      </c>
      <c r="N888" s="644">
        <v>84080000</v>
      </c>
      <c r="O888" s="644">
        <v>0</v>
      </c>
      <c r="P888" s="644">
        <v>84080000</v>
      </c>
      <c r="Q888" s="644">
        <v>84080000</v>
      </c>
      <c r="R888" s="644">
        <v>0</v>
      </c>
      <c r="S888" s="644">
        <v>0</v>
      </c>
      <c r="T888" s="644">
        <v>0</v>
      </c>
      <c r="U888" s="644">
        <v>0</v>
      </c>
      <c r="V888" s="644">
        <v>0</v>
      </c>
      <c r="W888" s="632">
        <v>0</v>
      </c>
      <c r="X888" s="632">
        <v>177990</v>
      </c>
    </row>
    <row r="889" spans="1:24" ht="22.5">
      <c r="A889" s="645">
        <v>871</v>
      </c>
      <c r="B889" s="643" t="s">
        <v>1286</v>
      </c>
      <c r="C889" s="645" t="s">
        <v>443</v>
      </c>
      <c r="D889" s="645" t="s">
        <v>1285</v>
      </c>
      <c r="E889" s="645" t="s">
        <v>641</v>
      </c>
      <c r="F889" s="645" t="s">
        <v>1114</v>
      </c>
      <c r="G889" s="645" t="s">
        <v>777</v>
      </c>
      <c r="H889" s="644">
        <v>0</v>
      </c>
      <c r="I889" s="644">
        <v>247779240</v>
      </c>
      <c r="J889" s="644">
        <v>247779240</v>
      </c>
      <c r="K889" s="644">
        <v>0</v>
      </c>
      <c r="L889" s="644">
        <v>0</v>
      </c>
      <c r="M889" s="644">
        <v>-247779240</v>
      </c>
      <c r="N889" s="644">
        <v>0</v>
      </c>
      <c r="O889" s="644">
        <v>0</v>
      </c>
      <c r="P889" s="644">
        <v>0</v>
      </c>
      <c r="Q889" s="644">
        <v>0</v>
      </c>
      <c r="R889" s="644">
        <v>0</v>
      </c>
      <c r="S889" s="644">
        <v>0</v>
      </c>
      <c r="T889" s="644">
        <v>0</v>
      </c>
      <c r="U889" s="644">
        <v>0</v>
      </c>
      <c r="V889" s="644">
        <v>0</v>
      </c>
      <c r="W889" s="632">
        <v>0</v>
      </c>
      <c r="X889" s="632">
        <v>10316888</v>
      </c>
    </row>
    <row r="890" spans="1:24" ht="22.5">
      <c r="A890" s="645">
        <v>872</v>
      </c>
      <c r="B890" s="643" t="s">
        <v>1286</v>
      </c>
      <c r="C890" s="645" t="s">
        <v>443</v>
      </c>
      <c r="D890" s="645" t="s">
        <v>1285</v>
      </c>
      <c r="E890" s="645" t="s">
        <v>1115</v>
      </c>
      <c r="F890" s="645" t="s">
        <v>1114</v>
      </c>
      <c r="G890" s="645" t="s">
        <v>777</v>
      </c>
      <c r="H890" s="644">
        <v>26950000</v>
      </c>
      <c r="I890" s="644">
        <v>0</v>
      </c>
      <c r="J890" s="644">
        <v>0</v>
      </c>
      <c r="K890" s="644">
        <v>0</v>
      </c>
      <c r="L890" s="644">
        <v>0</v>
      </c>
      <c r="M890" s="644">
        <v>0</v>
      </c>
      <c r="N890" s="644">
        <v>26950000</v>
      </c>
      <c r="O890" s="644">
        <v>0</v>
      </c>
      <c r="P890" s="644">
        <v>26950000</v>
      </c>
      <c r="Q890" s="644">
        <v>26950000</v>
      </c>
      <c r="R890" s="644">
        <v>0</v>
      </c>
      <c r="S890" s="644">
        <v>0</v>
      </c>
      <c r="T890" s="644">
        <v>0</v>
      </c>
      <c r="U890" s="644">
        <v>0</v>
      </c>
      <c r="V890" s="644">
        <v>0</v>
      </c>
      <c r="W890" s="632">
        <v>0</v>
      </c>
      <c r="X890" s="632">
        <v>48734000</v>
      </c>
    </row>
    <row r="891" spans="1:24">
      <c r="A891" s="645">
        <v>873</v>
      </c>
      <c r="B891" s="643" t="s">
        <v>1287</v>
      </c>
      <c r="C891" s="645" t="s">
        <v>443</v>
      </c>
      <c r="D891" s="645" t="s">
        <v>1288</v>
      </c>
      <c r="E891" s="645" t="s">
        <v>905</v>
      </c>
      <c r="F891" s="645" t="s">
        <v>1114</v>
      </c>
      <c r="G891" s="645" t="s">
        <v>777</v>
      </c>
      <c r="H891" s="644">
        <v>0</v>
      </c>
      <c r="I891" s="644">
        <v>118600000</v>
      </c>
      <c r="J891" s="644">
        <v>118600000</v>
      </c>
      <c r="K891" s="644">
        <v>0</v>
      </c>
      <c r="L891" s="644">
        <v>0</v>
      </c>
      <c r="M891" s="644">
        <v>-118600000</v>
      </c>
      <c r="N891" s="644">
        <v>0</v>
      </c>
      <c r="O891" s="644">
        <v>0</v>
      </c>
      <c r="P891" s="644">
        <v>0</v>
      </c>
      <c r="Q891" s="644">
        <v>0</v>
      </c>
      <c r="R891" s="644">
        <v>0</v>
      </c>
      <c r="S891" s="644">
        <v>0</v>
      </c>
      <c r="T891" s="644">
        <v>0</v>
      </c>
      <c r="U891" s="644">
        <v>0</v>
      </c>
      <c r="V891" s="644">
        <v>0</v>
      </c>
      <c r="W891" s="632">
        <v>0</v>
      </c>
      <c r="X891" s="632">
        <v>0</v>
      </c>
    </row>
    <row r="892" spans="1:24">
      <c r="A892" s="645">
        <v>874</v>
      </c>
      <c r="B892" s="643" t="s">
        <v>1287</v>
      </c>
      <c r="C892" s="645" t="s">
        <v>443</v>
      </c>
      <c r="D892" s="645" t="s">
        <v>1288</v>
      </c>
      <c r="E892" s="645" t="s">
        <v>1115</v>
      </c>
      <c r="F892" s="645" t="s">
        <v>1114</v>
      </c>
      <c r="G892" s="645" t="s">
        <v>777</v>
      </c>
      <c r="H892" s="644">
        <v>114000000</v>
      </c>
      <c r="I892" s="644">
        <v>0</v>
      </c>
      <c r="J892" s="644">
        <v>0</v>
      </c>
      <c r="K892" s="644">
        <v>0</v>
      </c>
      <c r="L892" s="644">
        <v>0</v>
      </c>
      <c r="M892" s="644">
        <v>0</v>
      </c>
      <c r="N892" s="644">
        <v>114000000</v>
      </c>
      <c r="O892" s="644">
        <v>0</v>
      </c>
      <c r="P892" s="644">
        <v>114000000</v>
      </c>
      <c r="Q892" s="644">
        <v>114000000</v>
      </c>
      <c r="R892" s="644">
        <v>0</v>
      </c>
      <c r="S892" s="644">
        <v>0</v>
      </c>
      <c r="T892" s="644">
        <v>0</v>
      </c>
      <c r="U892" s="644">
        <v>0</v>
      </c>
      <c r="V892" s="644">
        <v>0</v>
      </c>
      <c r="W892" s="632">
        <v>0</v>
      </c>
      <c r="X892" s="632">
        <v>0</v>
      </c>
    </row>
    <row r="893" spans="1:24">
      <c r="A893" s="645">
        <v>875</v>
      </c>
      <c r="B893" s="643" t="s">
        <v>1290</v>
      </c>
      <c r="C893" s="645" t="s">
        <v>443</v>
      </c>
      <c r="D893" s="645" t="s">
        <v>1288</v>
      </c>
      <c r="E893" s="645" t="s">
        <v>905</v>
      </c>
      <c r="F893" s="645" t="s">
        <v>1114</v>
      </c>
      <c r="G893" s="645" t="s">
        <v>777</v>
      </c>
      <c r="H893" s="644">
        <v>2149047</v>
      </c>
      <c r="I893" s="644">
        <v>2149047</v>
      </c>
      <c r="J893" s="644">
        <v>2149047</v>
      </c>
      <c r="K893" s="644">
        <v>0</v>
      </c>
      <c r="L893" s="644">
        <v>0</v>
      </c>
      <c r="M893" s="644">
        <v>0</v>
      </c>
      <c r="N893" s="644">
        <v>0</v>
      </c>
      <c r="O893" s="644">
        <v>0</v>
      </c>
      <c r="P893" s="644">
        <v>2149047</v>
      </c>
      <c r="Q893" s="644">
        <v>2149047</v>
      </c>
      <c r="R893" s="644">
        <v>0</v>
      </c>
      <c r="S893" s="644">
        <v>0</v>
      </c>
      <c r="T893" s="644">
        <v>0</v>
      </c>
      <c r="U893" s="644">
        <v>0</v>
      </c>
      <c r="V893" s="644">
        <v>0</v>
      </c>
      <c r="W893" s="632">
        <v>0</v>
      </c>
      <c r="X893" s="632">
        <v>0</v>
      </c>
    </row>
    <row r="894" spans="1:24">
      <c r="A894" s="645">
        <v>876</v>
      </c>
      <c r="B894" s="643" t="s">
        <v>1290</v>
      </c>
      <c r="C894" s="645" t="s">
        <v>443</v>
      </c>
      <c r="D894" s="645" t="s">
        <v>1288</v>
      </c>
      <c r="E894" s="645" t="s">
        <v>1115</v>
      </c>
      <c r="F894" s="645" t="s">
        <v>1114</v>
      </c>
      <c r="G894" s="645" t="s">
        <v>777</v>
      </c>
      <c r="H894" s="644">
        <v>22000000</v>
      </c>
      <c r="I894" s="644">
        <v>0</v>
      </c>
      <c r="J894" s="644">
        <v>0</v>
      </c>
      <c r="K894" s="644">
        <v>0</v>
      </c>
      <c r="L894" s="644">
        <v>0</v>
      </c>
      <c r="M894" s="644">
        <v>0</v>
      </c>
      <c r="N894" s="644">
        <v>22000000</v>
      </c>
      <c r="O894" s="644">
        <v>0</v>
      </c>
      <c r="P894" s="644">
        <v>22000000</v>
      </c>
      <c r="Q894" s="644">
        <v>22000000</v>
      </c>
      <c r="R894" s="644">
        <v>0</v>
      </c>
      <c r="S894" s="644">
        <v>0</v>
      </c>
      <c r="T894" s="644">
        <v>0</v>
      </c>
      <c r="U894" s="644">
        <v>0</v>
      </c>
      <c r="V894" s="644">
        <v>0</v>
      </c>
      <c r="W894" s="632">
        <v>0</v>
      </c>
      <c r="X894" s="632">
        <v>0</v>
      </c>
    </row>
    <row r="895" spans="1:24" ht="22.5">
      <c r="A895" s="645">
        <v>877</v>
      </c>
      <c r="B895" s="643" t="s">
        <v>1291</v>
      </c>
      <c r="C895" s="645" t="s">
        <v>443</v>
      </c>
      <c r="D895" s="645" t="s">
        <v>1288</v>
      </c>
      <c r="E895" s="645" t="s">
        <v>905</v>
      </c>
      <c r="F895" s="645" t="s">
        <v>1114</v>
      </c>
      <c r="G895" s="645" t="s">
        <v>777</v>
      </c>
      <c r="H895" s="644">
        <v>0</v>
      </c>
      <c r="I895" s="644">
        <v>138932000</v>
      </c>
      <c r="J895" s="644">
        <v>138932000</v>
      </c>
      <c r="K895" s="644">
        <v>0</v>
      </c>
      <c r="L895" s="644">
        <v>0</v>
      </c>
      <c r="M895" s="644">
        <v>-138932000</v>
      </c>
      <c r="N895" s="644">
        <v>0</v>
      </c>
      <c r="O895" s="644">
        <v>0</v>
      </c>
      <c r="P895" s="644">
        <v>0</v>
      </c>
      <c r="Q895" s="644">
        <v>0</v>
      </c>
      <c r="R895" s="644">
        <v>0</v>
      </c>
      <c r="S895" s="644">
        <v>0</v>
      </c>
      <c r="T895" s="644">
        <v>0</v>
      </c>
      <c r="U895" s="644">
        <v>0</v>
      </c>
      <c r="V895" s="644">
        <v>0</v>
      </c>
      <c r="W895" s="632">
        <v>0</v>
      </c>
      <c r="X895" s="632">
        <v>0</v>
      </c>
    </row>
    <row r="896" spans="1:24" ht="22.5">
      <c r="A896" s="645">
        <v>878</v>
      </c>
      <c r="B896" s="643" t="s">
        <v>1291</v>
      </c>
      <c r="C896" s="645" t="s">
        <v>443</v>
      </c>
      <c r="D896" s="645" t="s">
        <v>1288</v>
      </c>
      <c r="E896" s="645" t="s">
        <v>1115</v>
      </c>
      <c r="F896" s="645" t="s">
        <v>1114</v>
      </c>
      <c r="G896" s="645" t="s">
        <v>777</v>
      </c>
      <c r="H896" s="644">
        <v>26995000</v>
      </c>
      <c r="I896" s="644">
        <v>0</v>
      </c>
      <c r="J896" s="644">
        <v>0</v>
      </c>
      <c r="K896" s="644">
        <v>0</v>
      </c>
      <c r="L896" s="644">
        <v>0</v>
      </c>
      <c r="M896" s="644">
        <v>7995000</v>
      </c>
      <c r="N896" s="644">
        <v>19000000</v>
      </c>
      <c r="O896" s="644">
        <v>0</v>
      </c>
      <c r="P896" s="644">
        <v>26995000</v>
      </c>
      <c r="Q896" s="644">
        <v>26995000</v>
      </c>
      <c r="R896" s="644">
        <v>0</v>
      </c>
      <c r="S896" s="644">
        <v>0</v>
      </c>
      <c r="T896" s="644">
        <v>0</v>
      </c>
      <c r="U896" s="644">
        <v>0</v>
      </c>
      <c r="V896" s="644">
        <v>0</v>
      </c>
      <c r="W896" s="632">
        <v>0</v>
      </c>
      <c r="X896" s="632">
        <v>557977116</v>
      </c>
    </row>
    <row r="897" spans="1:24">
      <c r="A897" s="645">
        <v>879</v>
      </c>
      <c r="B897" s="643" t="s">
        <v>1292</v>
      </c>
      <c r="C897" s="645" t="s">
        <v>443</v>
      </c>
      <c r="D897" s="645" t="s">
        <v>1288</v>
      </c>
      <c r="E897" s="645" t="s">
        <v>905</v>
      </c>
      <c r="F897" s="645" t="s">
        <v>1114</v>
      </c>
      <c r="G897" s="645" t="s">
        <v>777</v>
      </c>
      <c r="H897" s="644">
        <v>0</v>
      </c>
      <c r="I897" s="644">
        <v>106388000</v>
      </c>
      <c r="J897" s="644">
        <v>106388000</v>
      </c>
      <c r="K897" s="644">
        <v>0</v>
      </c>
      <c r="L897" s="644">
        <v>0</v>
      </c>
      <c r="M897" s="644">
        <v>-106388000</v>
      </c>
      <c r="N897" s="644">
        <v>0</v>
      </c>
      <c r="O897" s="644">
        <v>0</v>
      </c>
      <c r="P897" s="644">
        <v>0</v>
      </c>
      <c r="Q897" s="644">
        <v>0</v>
      </c>
      <c r="R897" s="644">
        <v>0</v>
      </c>
      <c r="S897" s="644">
        <v>0</v>
      </c>
      <c r="T897" s="644">
        <v>0</v>
      </c>
      <c r="U897" s="644">
        <v>0</v>
      </c>
      <c r="V897" s="644">
        <v>0</v>
      </c>
      <c r="W897" s="632">
        <v>0</v>
      </c>
      <c r="X897" s="632">
        <v>0</v>
      </c>
    </row>
    <row r="898" spans="1:24">
      <c r="A898" s="645">
        <v>880</v>
      </c>
      <c r="B898" s="643" t="s">
        <v>1292</v>
      </c>
      <c r="C898" s="645" t="s">
        <v>443</v>
      </c>
      <c r="D898" s="645" t="s">
        <v>1288</v>
      </c>
      <c r="E898" s="645" t="s">
        <v>1115</v>
      </c>
      <c r="F898" s="645" t="s">
        <v>1114</v>
      </c>
      <c r="G898" s="645" t="s">
        <v>777</v>
      </c>
      <c r="H898" s="644">
        <v>27000000</v>
      </c>
      <c r="I898" s="644">
        <v>0</v>
      </c>
      <c r="J898" s="644">
        <v>0</v>
      </c>
      <c r="K898" s="644">
        <v>0</v>
      </c>
      <c r="L898" s="644">
        <v>0</v>
      </c>
      <c r="M898" s="644">
        <v>0</v>
      </c>
      <c r="N898" s="644">
        <v>27000000</v>
      </c>
      <c r="O898" s="644">
        <v>0</v>
      </c>
      <c r="P898" s="644">
        <v>27000000</v>
      </c>
      <c r="Q898" s="644">
        <v>27000000</v>
      </c>
      <c r="R898" s="644">
        <v>0</v>
      </c>
      <c r="S898" s="644">
        <v>0</v>
      </c>
      <c r="T898" s="644">
        <v>0</v>
      </c>
      <c r="U898" s="644">
        <v>0</v>
      </c>
      <c r="V898" s="644">
        <v>0</v>
      </c>
      <c r="W898" s="632">
        <v>0</v>
      </c>
      <c r="X898" s="632">
        <v>0</v>
      </c>
    </row>
    <row r="899" spans="1:24" ht="22.5">
      <c r="A899" s="645">
        <v>881</v>
      </c>
      <c r="B899" s="643" t="s">
        <v>1293</v>
      </c>
      <c r="C899" s="645" t="s">
        <v>443</v>
      </c>
      <c r="D899" s="645" t="s">
        <v>1288</v>
      </c>
      <c r="E899" s="645" t="s">
        <v>700</v>
      </c>
      <c r="F899" s="645" t="s">
        <v>1114</v>
      </c>
      <c r="G899" s="645" t="s">
        <v>777</v>
      </c>
      <c r="H899" s="644">
        <v>30312000</v>
      </c>
      <c r="I899" s="644">
        <v>30312000</v>
      </c>
      <c r="J899" s="644">
        <v>30312000</v>
      </c>
      <c r="K899" s="644">
        <v>0</v>
      </c>
      <c r="L899" s="644">
        <v>0</v>
      </c>
      <c r="M899" s="644">
        <v>0</v>
      </c>
      <c r="N899" s="644">
        <v>0</v>
      </c>
      <c r="O899" s="644">
        <v>0</v>
      </c>
      <c r="P899" s="644">
        <v>0</v>
      </c>
      <c r="Q899" s="644">
        <v>0</v>
      </c>
      <c r="R899" s="644">
        <v>0</v>
      </c>
      <c r="S899" s="644">
        <v>30312000</v>
      </c>
      <c r="T899" s="644">
        <v>30312000</v>
      </c>
      <c r="U899" s="644">
        <v>0</v>
      </c>
      <c r="V899" s="644">
        <v>0</v>
      </c>
      <c r="W899" s="632">
        <v>0</v>
      </c>
      <c r="X899" s="632">
        <v>0</v>
      </c>
    </row>
    <row r="900" spans="1:24" ht="22.5">
      <c r="A900" s="645">
        <v>882</v>
      </c>
      <c r="B900" s="643" t="s">
        <v>1293</v>
      </c>
      <c r="C900" s="645" t="s">
        <v>443</v>
      </c>
      <c r="D900" s="645" t="s">
        <v>1288</v>
      </c>
      <c r="E900" s="645" t="s">
        <v>1115</v>
      </c>
      <c r="F900" s="645" t="s">
        <v>1114</v>
      </c>
      <c r="G900" s="645" t="s">
        <v>777</v>
      </c>
      <c r="H900" s="644">
        <v>25000000</v>
      </c>
      <c r="I900" s="644">
        <v>0</v>
      </c>
      <c r="J900" s="644">
        <v>0</v>
      </c>
      <c r="K900" s="644">
        <v>0</v>
      </c>
      <c r="L900" s="644">
        <v>0</v>
      </c>
      <c r="M900" s="644">
        <v>0</v>
      </c>
      <c r="N900" s="644">
        <v>25000000</v>
      </c>
      <c r="O900" s="644">
        <v>0</v>
      </c>
      <c r="P900" s="644">
        <v>25000000</v>
      </c>
      <c r="Q900" s="644">
        <v>25000000</v>
      </c>
      <c r="R900" s="644">
        <v>0</v>
      </c>
      <c r="S900" s="644">
        <v>0</v>
      </c>
      <c r="T900" s="644">
        <v>0</v>
      </c>
      <c r="U900" s="644">
        <v>0</v>
      </c>
      <c r="V900" s="644">
        <v>0</v>
      </c>
      <c r="W900" s="632">
        <v>0</v>
      </c>
      <c r="X900" s="632">
        <v>0</v>
      </c>
    </row>
    <row r="901" spans="1:24">
      <c r="A901" s="645">
        <v>883</v>
      </c>
      <c r="B901" s="643" t="s">
        <v>1294</v>
      </c>
      <c r="C901" s="645" t="s">
        <v>443</v>
      </c>
      <c r="D901" s="645" t="s">
        <v>1295</v>
      </c>
      <c r="E901" s="645" t="s">
        <v>1115</v>
      </c>
      <c r="F901" s="645" t="s">
        <v>1114</v>
      </c>
      <c r="G901" s="645" t="s">
        <v>777</v>
      </c>
      <c r="H901" s="644">
        <v>132000000</v>
      </c>
      <c r="I901" s="644">
        <v>0</v>
      </c>
      <c r="J901" s="644">
        <v>0</v>
      </c>
      <c r="K901" s="644">
        <v>0</v>
      </c>
      <c r="L901" s="644">
        <v>0</v>
      </c>
      <c r="M901" s="644">
        <v>0</v>
      </c>
      <c r="N901" s="644">
        <v>132000000</v>
      </c>
      <c r="O901" s="644">
        <v>0</v>
      </c>
      <c r="P901" s="644">
        <v>132000000</v>
      </c>
      <c r="Q901" s="644">
        <v>132000000</v>
      </c>
      <c r="R901" s="644">
        <v>0</v>
      </c>
      <c r="S901" s="644">
        <v>0</v>
      </c>
      <c r="T901" s="644">
        <v>0</v>
      </c>
      <c r="U901" s="644">
        <v>0</v>
      </c>
      <c r="V901" s="644">
        <v>0</v>
      </c>
      <c r="W901" s="632">
        <v>0</v>
      </c>
      <c r="X901" s="632">
        <v>0</v>
      </c>
    </row>
    <row r="902" spans="1:24" ht="22.5">
      <c r="A902" s="645">
        <v>884</v>
      </c>
      <c r="B902" s="643" t="s">
        <v>1298</v>
      </c>
      <c r="C902" s="645" t="s">
        <v>443</v>
      </c>
      <c r="D902" s="645" t="s">
        <v>1299</v>
      </c>
      <c r="E902" s="645" t="s">
        <v>905</v>
      </c>
      <c r="F902" s="645" t="s">
        <v>1114</v>
      </c>
      <c r="G902" s="645" t="s">
        <v>777</v>
      </c>
      <c r="H902" s="644">
        <v>0</v>
      </c>
      <c r="I902" s="644">
        <v>311985130</v>
      </c>
      <c r="J902" s="644">
        <v>311985130</v>
      </c>
      <c r="K902" s="644">
        <v>0</v>
      </c>
      <c r="L902" s="644">
        <v>0</v>
      </c>
      <c r="M902" s="644">
        <v>-311985130</v>
      </c>
      <c r="N902" s="644">
        <v>0</v>
      </c>
      <c r="O902" s="644">
        <v>0</v>
      </c>
      <c r="P902" s="644">
        <v>0</v>
      </c>
      <c r="Q902" s="644">
        <v>0</v>
      </c>
      <c r="R902" s="644">
        <v>0</v>
      </c>
      <c r="S902" s="644">
        <v>0</v>
      </c>
      <c r="T902" s="644">
        <v>0</v>
      </c>
      <c r="U902" s="644">
        <v>0</v>
      </c>
      <c r="V902" s="644">
        <v>0</v>
      </c>
      <c r="W902" s="632">
        <v>0</v>
      </c>
      <c r="X902" s="632">
        <v>0</v>
      </c>
    </row>
    <row r="903" spans="1:24" ht="22.5">
      <c r="A903" s="645">
        <v>885</v>
      </c>
      <c r="B903" s="643" t="s">
        <v>1298</v>
      </c>
      <c r="C903" s="645" t="s">
        <v>443</v>
      </c>
      <c r="D903" s="645" t="s">
        <v>1299</v>
      </c>
      <c r="E903" s="645" t="s">
        <v>1115</v>
      </c>
      <c r="F903" s="645" t="s">
        <v>1114</v>
      </c>
      <c r="G903" s="645" t="s">
        <v>777</v>
      </c>
      <c r="H903" s="644">
        <v>26000000</v>
      </c>
      <c r="I903" s="644">
        <v>0</v>
      </c>
      <c r="J903" s="644">
        <v>0</v>
      </c>
      <c r="K903" s="644">
        <v>0</v>
      </c>
      <c r="L903" s="644">
        <v>0</v>
      </c>
      <c r="M903" s="644">
        <v>0</v>
      </c>
      <c r="N903" s="644">
        <v>26000000</v>
      </c>
      <c r="O903" s="644">
        <v>0</v>
      </c>
      <c r="P903" s="644">
        <v>26000000</v>
      </c>
      <c r="Q903" s="644">
        <v>26000000</v>
      </c>
      <c r="R903" s="644">
        <v>0</v>
      </c>
      <c r="S903" s="644">
        <v>0</v>
      </c>
      <c r="T903" s="644">
        <v>0</v>
      </c>
      <c r="U903" s="644">
        <v>0</v>
      </c>
      <c r="V903" s="644">
        <v>0</v>
      </c>
      <c r="W903" s="632">
        <v>0</v>
      </c>
      <c r="X903" s="632">
        <v>0</v>
      </c>
    </row>
    <row r="904" spans="1:24" ht="22.5">
      <c r="A904" s="645">
        <v>886</v>
      </c>
      <c r="B904" s="643" t="s">
        <v>1360</v>
      </c>
      <c r="C904" s="645" t="s">
        <v>443</v>
      </c>
      <c r="D904" s="645" t="s">
        <v>1299</v>
      </c>
      <c r="E904" s="645" t="s">
        <v>904</v>
      </c>
      <c r="F904" s="645" t="s">
        <v>1114</v>
      </c>
      <c r="G904" s="645" t="s">
        <v>777</v>
      </c>
      <c r="H904" s="644">
        <v>0</v>
      </c>
      <c r="I904" s="644">
        <v>290030</v>
      </c>
      <c r="J904" s="644">
        <v>290030</v>
      </c>
      <c r="K904" s="644">
        <v>0</v>
      </c>
      <c r="L904" s="644">
        <v>0</v>
      </c>
      <c r="M904" s="644">
        <v>-290030</v>
      </c>
      <c r="N904" s="644">
        <v>0</v>
      </c>
      <c r="O904" s="644">
        <v>0</v>
      </c>
      <c r="P904" s="644">
        <v>0</v>
      </c>
      <c r="Q904" s="644">
        <v>0</v>
      </c>
      <c r="R904" s="644">
        <v>0</v>
      </c>
      <c r="S904" s="644">
        <v>0</v>
      </c>
      <c r="T904" s="644">
        <v>0</v>
      </c>
      <c r="U904" s="644">
        <v>0</v>
      </c>
      <c r="V904" s="644">
        <v>0</v>
      </c>
      <c r="W904" s="632">
        <v>0</v>
      </c>
      <c r="X904" s="632">
        <v>0</v>
      </c>
    </row>
    <row r="905" spans="1:24">
      <c r="A905" s="645">
        <v>887</v>
      </c>
      <c r="B905" s="643" t="s">
        <v>1301</v>
      </c>
      <c r="C905" s="645" t="s">
        <v>443</v>
      </c>
      <c r="D905" s="645" t="s">
        <v>1302</v>
      </c>
      <c r="E905" s="645" t="s">
        <v>905</v>
      </c>
      <c r="F905" s="645" t="s">
        <v>1114</v>
      </c>
      <c r="G905" s="645" t="s">
        <v>777</v>
      </c>
      <c r="H905" s="644">
        <v>0</v>
      </c>
      <c r="I905" s="644">
        <v>123377660</v>
      </c>
      <c r="J905" s="644">
        <v>123377660</v>
      </c>
      <c r="K905" s="644">
        <v>0</v>
      </c>
      <c r="L905" s="644">
        <v>0</v>
      </c>
      <c r="M905" s="644">
        <v>-123377660</v>
      </c>
      <c r="N905" s="644">
        <v>0</v>
      </c>
      <c r="O905" s="644">
        <v>0</v>
      </c>
      <c r="P905" s="644">
        <v>0</v>
      </c>
      <c r="Q905" s="644">
        <v>0</v>
      </c>
      <c r="R905" s="644">
        <v>0</v>
      </c>
      <c r="S905" s="644">
        <v>0</v>
      </c>
      <c r="T905" s="644">
        <v>0</v>
      </c>
      <c r="U905" s="644">
        <v>0</v>
      </c>
      <c r="V905" s="644">
        <v>0</v>
      </c>
      <c r="W905" s="632">
        <v>0</v>
      </c>
      <c r="X905" s="632">
        <v>211278940</v>
      </c>
    </row>
    <row r="906" spans="1:24">
      <c r="A906" s="645">
        <v>888</v>
      </c>
      <c r="B906" s="643" t="s">
        <v>1301</v>
      </c>
      <c r="C906" s="645" t="s">
        <v>443</v>
      </c>
      <c r="D906" s="645" t="s">
        <v>1302</v>
      </c>
      <c r="E906" s="645" t="s">
        <v>1115</v>
      </c>
      <c r="F906" s="645" t="s">
        <v>1114</v>
      </c>
      <c r="G906" s="645" t="s">
        <v>777</v>
      </c>
      <c r="H906" s="644">
        <v>65000000</v>
      </c>
      <c r="I906" s="644">
        <v>0</v>
      </c>
      <c r="J906" s="644">
        <v>0</v>
      </c>
      <c r="K906" s="644">
        <v>0</v>
      </c>
      <c r="L906" s="644">
        <v>0</v>
      </c>
      <c r="M906" s="644">
        <v>0</v>
      </c>
      <c r="N906" s="644">
        <v>65000000</v>
      </c>
      <c r="O906" s="644">
        <v>0</v>
      </c>
      <c r="P906" s="644">
        <v>65000000</v>
      </c>
      <c r="Q906" s="644">
        <v>65000000</v>
      </c>
      <c r="R906" s="644">
        <v>0</v>
      </c>
      <c r="S906" s="644">
        <v>0</v>
      </c>
      <c r="T906" s="644">
        <v>0</v>
      </c>
      <c r="U906" s="644">
        <v>0</v>
      </c>
      <c r="V906" s="644">
        <v>0</v>
      </c>
      <c r="W906" s="632">
        <v>0</v>
      </c>
      <c r="X906" s="632">
        <v>1610000</v>
      </c>
    </row>
    <row r="907" spans="1:24" ht="22.5">
      <c r="A907" s="645">
        <v>889</v>
      </c>
      <c r="B907" s="643" t="s">
        <v>1304</v>
      </c>
      <c r="C907" s="645" t="s">
        <v>443</v>
      </c>
      <c r="D907" s="645" t="s">
        <v>1305</v>
      </c>
      <c r="E907" s="645" t="s">
        <v>905</v>
      </c>
      <c r="F907" s="645" t="s">
        <v>1114</v>
      </c>
      <c r="G907" s="645" t="s">
        <v>777</v>
      </c>
      <c r="H907" s="644">
        <v>0</v>
      </c>
      <c r="I907" s="644">
        <v>109122778</v>
      </c>
      <c r="J907" s="644">
        <v>109122778</v>
      </c>
      <c r="K907" s="644">
        <v>0</v>
      </c>
      <c r="L907" s="644">
        <v>0</v>
      </c>
      <c r="M907" s="644">
        <v>-109122778</v>
      </c>
      <c r="N907" s="644">
        <v>0</v>
      </c>
      <c r="O907" s="644">
        <v>0</v>
      </c>
      <c r="P907" s="644">
        <v>0</v>
      </c>
      <c r="Q907" s="644">
        <v>0</v>
      </c>
      <c r="R907" s="644">
        <v>0</v>
      </c>
      <c r="S907" s="644">
        <v>0</v>
      </c>
      <c r="T907" s="644">
        <v>0</v>
      </c>
      <c r="U907" s="644">
        <v>0</v>
      </c>
      <c r="V907" s="644">
        <v>0</v>
      </c>
      <c r="W907" s="632">
        <v>0</v>
      </c>
      <c r="X907" s="632">
        <v>94000</v>
      </c>
    </row>
    <row r="908" spans="1:24" ht="22.5">
      <c r="A908" s="645">
        <v>890</v>
      </c>
      <c r="B908" s="643" t="s">
        <v>1304</v>
      </c>
      <c r="C908" s="645" t="s">
        <v>443</v>
      </c>
      <c r="D908" s="645" t="s">
        <v>1305</v>
      </c>
      <c r="E908" s="645" t="s">
        <v>1115</v>
      </c>
      <c r="F908" s="645" t="s">
        <v>1114</v>
      </c>
      <c r="G908" s="645" t="s">
        <v>777</v>
      </c>
      <c r="H908" s="644">
        <v>70000000</v>
      </c>
      <c r="I908" s="644">
        <v>0</v>
      </c>
      <c r="J908" s="644">
        <v>0</v>
      </c>
      <c r="K908" s="644">
        <v>0</v>
      </c>
      <c r="L908" s="644">
        <v>0</v>
      </c>
      <c r="M908" s="644">
        <v>0</v>
      </c>
      <c r="N908" s="644">
        <v>70000000</v>
      </c>
      <c r="O908" s="644">
        <v>0</v>
      </c>
      <c r="P908" s="644">
        <v>70000000</v>
      </c>
      <c r="Q908" s="644">
        <v>70000000</v>
      </c>
      <c r="R908" s="644">
        <v>0</v>
      </c>
      <c r="S908" s="644">
        <v>0</v>
      </c>
      <c r="T908" s="644">
        <v>0</v>
      </c>
      <c r="U908" s="644">
        <v>0</v>
      </c>
      <c r="V908" s="644">
        <v>0</v>
      </c>
      <c r="W908" s="632">
        <v>0</v>
      </c>
      <c r="X908" s="632">
        <v>0</v>
      </c>
    </row>
    <row r="909" spans="1:24" ht="22.5">
      <c r="A909" s="645">
        <v>891</v>
      </c>
      <c r="B909" s="643" t="s">
        <v>1361</v>
      </c>
      <c r="C909" s="645" t="s">
        <v>443</v>
      </c>
      <c r="D909" s="645" t="s">
        <v>1305</v>
      </c>
      <c r="E909" s="645" t="s">
        <v>1115</v>
      </c>
      <c r="F909" s="645" t="s">
        <v>1114</v>
      </c>
      <c r="G909" s="645" t="s">
        <v>777</v>
      </c>
      <c r="H909" s="644">
        <v>346728000</v>
      </c>
      <c r="I909" s="644">
        <v>0</v>
      </c>
      <c r="J909" s="644">
        <v>0</v>
      </c>
      <c r="K909" s="644">
        <v>0</v>
      </c>
      <c r="L909" s="644">
        <v>0</v>
      </c>
      <c r="M909" s="644">
        <v>0</v>
      </c>
      <c r="N909" s="644">
        <v>346728000</v>
      </c>
      <c r="O909" s="644">
        <v>0</v>
      </c>
      <c r="P909" s="644">
        <v>306728000</v>
      </c>
      <c r="Q909" s="644">
        <v>306728000</v>
      </c>
      <c r="R909" s="644">
        <v>0</v>
      </c>
      <c r="S909" s="644">
        <v>40000000</v>
      </c>
      <c r="T909" s="644">
        <v>40000000</v>
      </c>
      <c r="U909" s="644">
        <v>0</v>
      </c>
      <c r="V909" s="644">
        <v>0</v>
      </c>
      <c r="W909" s="632">
        <v>0</v>
      </c>
      <c r="X909" s="632">
        <v>0</v>
      </c>
    </row>
    <row r="910" spans="1:24" ht="22.5">
      <c r="A910" s="645">
        <v>892</v>
      </c>
      <c r="B910" s="643" t="s">
        <v>1306</v>
      </c>
      <c r="C910" s="645" t="s">
        <v>443</v>
      </c>
      <c r="D910" s="645" t="s">
        <v>1307</v>
      </c>
      <c r="E910" s="645" t="s">
        <v>906</v>
      </c>
      <c r="F910" s="645" t="s">
        <v>1114</v>
      </c>
      <c r="G910" s="645" t="s">
        <v>777</v>
      </c>
      <c r="H910" s="644">
        <v>0</v>
      </c>
      <c r="I910" s="644">
        <v>2300196</v>
      </c>
      <c r="J910" s="644">
        <v>2300196</v>
      </c>
      <c r="K910" s="644">
        <v>0</v>
      </c>
      <c r="L910" s="644">
        <v>0</v>
      </c>
      <c r="M910" s="644">
        <v>-2300196</v>
      </c>
      <c r="N910" s="644">
        <v>0</v>
      </c>
      <c r="O910" s="644">
        <v>0</v>
      </c>
      <c r="P910" s="644">
        <v>0</v>
      </c>
      <c r="Q910" s="644">
        <v>0</v>
      </c>
      <c r="R910" s="644">
        <v>0</v>
      </c>
      <c r="S910" s="644">
        <v>0</v>
      </c>
      <c r="T910" s="644">
        <v>0</v>
      </c>
      <c r="U910" s="644">
        <v>0</v>
      </c>
      <c r="V910" s="644">
        <v>0</v>
      </c>
      <c r="W910" s="632">
        <v>0</v>
      </c>
      <c r="X910" s="632">
        <v>0</v>
      </c>
    </row>
    <row r="911" spans="1:24" ht="22.5">
      <c r="A911" s="645">
        <v>893</v>
      </c>
      <c r="B911" s="643" t="s">
        <v>1306</v>
      </c>
      <c r="C911" s="645" t="s">
        <v>443</v>
      </c>
      <c r="D911" s="645" t="s">
        <v>1307</v>
      </c>
      <c r="E911" s="645" t="s">
        <v>1115</v>
      </c>
      <c r="F911" s="645" t="s">
        <v>1114</v>
      </c>
      <c r="G911" s="645" t="s">
        <v>777</v>
      </c>
      <c r="H911" s="644">
        <v>77000000</v>
      </c>
      <c r="I911" s="644">
        <v>0</v>
      </c>
      <c r="J911" s="644">
        <v>0</v>
      </c>
      <c r="K911" s="644">
        <v>0</v>
      </c>
      <c r="L911" s="644">
        <v>0</v>
      </c>
      <c r="M911" s="644">
        <v>0</v>
      </c>
      <c r="N911" s="644">
        <v>77000000</v>
      </c>
      <c r="O911" s="644">
        <v>0</v>
      </c>
      <c r="P911" s="644">
        <v>76997990</v>
      </c>
      <c r="Q911" s="644">
        <v>76997990</v>
      </c>
      <c r="R911" s="644">
        <v>0</v>
      </c>
      <c r="S911" s="644">
        <v>2010</v>
      </c>
      <c r="T911" s="644">
        <v>2010</v>
      </c>
      <c r="U911" s="644">
        <v>0</v>
      </c>
      <c r="V911" s="644">
        <v>0</v>
      </c>
      <c r="W911" s="632">
        <v>0</v>
      </c>
      <c r="X911" s="632">
        <v>18350000</v>
      </c>
    </row>
    <row r="912" spans="1:24">
      <c r="A912" s="645">
        <v>894</v>
      </c>
      <c r="B912" s="643" t="s">
        <v>1308</v>
      </c>
      <c r="C912" s="645" t="s">
        <v>443</v>
      </c>
      <c r="D912" s="645" t="s">
        <v>1309</v>
      </c>
      <c r="E912" s="645" t="s">
        <v>700</v>
      </c>
      <c r="F912" s="645" t="s">
        <v>1114</v>
      </c>
      <c r="G912" s="645" t="s">
        <v>777</v>
      </c>
      <c r="H912" s="644">
        <v>0</v>
      </c>
      <c r="I912" s="644">
        <v>52691320</v>
      </c>
      <c r="J912" s="644">
        <v>52691320</v>
      </c>
      <c r="K912" s="644">
        <v>0</v>
      </c>
      <c r="L912" s="644">
        <v>0</v>
      </c>
      <c r="M912" s="644">
        <v>-52691320</v>
      </c>
      <c r="N912" s="644">
        <v>0</v>
      </c>
      <c r="O912" s="644">
        <v>0</v>
      </c>
      <c r="P912" s="644">
        <v>0</v>
      </c>
      <c r="Q912" s="644">
        <v>0</v>
      </c>
      <c r="R912" s="644">
        <v>0</v>
      </c>
      <c r="S912" s="644">
        <v>0</v>
      </c>
      <c r="T912" s="644">
        <v>0</v>
      </c>
      <c r="U912" s="644">
        <v>0</v>
      </c>
      <c r="V912" s="644">
        <v>0</v>
      </c>
      <c r="W912" s="632">
        <v>0</v>
      </c>
      <c r="X912" s="632">
        <v>99630312</v>
      </c>
    </row>
    <row r="913" spans="1:24">
      <c r="A913" s="645">
        <v>895</v>
      </c>
      <c r="B913" s="643" t="s">
        <v>1308</v>
      </c>
      <c r="C913" s="645" t="s">
        <v>443</v>
      </c>
      <c r="D913" s="645" t="s">
        <v>1309</v>
      </c>
      <c r="E913" s="645" t="s">
        <v>1115</v>
      </c>
      <c r="F913" s="645" t="s">
        <v>1114</v>
      </c>
      <c r="G913" s="645" t="s">
        <v>777</v>
      </c>
      <c r="H913" s="644">
        <v>134369760</v>
      </c>
      <c r="I913" s="644">
        <v>0</v>
      </c>
      <c r="J913" s="644">
        <v>0</v>
      </c>
      <c r="K913" s="644">
        <v>0</v>
      </c>
      <c r="L913" s="644">
        <v>0</v>
      </c>
      <c r="M913" s="644">
        <v>0</v>
      </c>
      <c r="N913" s="644">
        <v>134369760</v>
      </c>
      <c r="O913" s="644">
        <v>0</v>
      </c>
      <c r="P913" s="644">
        <v>134369760</v>
      </c>
      <c r="Q913" s="644">
        <v>134369760</v>
      </c>
      <c r="R913" s="644">
        <v>0</v>
      </c>
      <c r="S913" s="644">
        <v>0</v>
      </c>
      <c r="T913" s="644">
        <v>0</v>
      </c>
      <c r="U913" s="644">
        <v>0</v>
      </c>
      <c r="V913" s="644">
        <v>0</v>
      </c>
      <c r="W913" s="632">
        <v>0</v>
      </c>
      <c r="X913" s="632">
        <v>0</v>
      </c>
    </row>
    <row r="914" spans="1:24">
      <c r="A914" s="645">
        <v>896</v>
      </c>
      <c r="B914" s="643" t="s">
        <v>1310</v>
      </c>
      <c r="C914" s="645" t="s">
        <v>443</v>
      </c>
      <c r="D914" s="645" t="s">
        <v>1309</v>
      </c>
      <c r="E914" s="645" t="s">
        <v>906</v>
      </c>
      <c r="F914" s="645" t="s">
        <v>1114</v>
      </c>
      <c r="G914" s="645" t="s">
        <v>777</v>
      </c>
      <c r="H914" s="644">
        <v>0</v>
      </c>
      <c r="I914" s="644">
        <v>287501280</v>
      </c>
      <c r="J914" s="644">
        <v>287501280</v>
      </c>
      <c r="K914" s="644">
        <v>0</v>
      </c>
      <c r="L914" s="644">
        <v>0</v>
      </c>
      <c r="M914" s="644">
        <v>-287501280</v>
      </c>
      <c r="N914" s="644">
        <v>0</v>
      </c>
      <c r="O914" s="644">
        <v>0</v>
      </c>
      <c r="P914" s="644">
        <v>0</v>
      </c>
      <c r="Q914" s="644">
        <v>0</v>
      </c>
      <c r="R914" s="644">
        <v>0</v>
      </c>
      <c r="S914" s="644">
        <v>0</v>
      </c>
      <c r="T914" s="644">
        <v>0</v>
      </c>
      <c r="U914" s="644">
        <v>0</v>
      </c>
      <c r="V914" s="644">
        <v>0</v>
      </c>
      <c r="W914" s="632">
        <v>0</v>
      </c>
      <c r="X914" s="632">
        <v>0</v>
      </c>
    </row>
    <row r="915" spans="1:24">
      <c r="A915" s="645">
        <v>897</v>
      </c>
      <c r="B915" s="643" t="s">
        <v>1310</v>
      </c>
      <c r="C915" s="645" t="s">
        <v>443</v>
      </c>
      <c r="D915" s="645" t="s">
        <v>1309</v>
      </c>
      <c r="E915" s="645" t="s">
        <v>1115</v>
      </c>
      <c r="F915" s="645" t="s">
        <v>1114</v>
      </c>
      <c r="G915" s="645" t="s">
        <v>777</v>
      </c>
      <c r="H915" s="644">
        <v>70000000</v>
      </c>
      <c r="I915" s="644">
        <v>0</v>
      </c>
      <c r="J915" s="644">
        <v>0</v>
      </c>
      <c r="K915" s="644">
        <v>0</v>
      </c>
      <c r="L915" s="644">
        <v>0</v>
      </c>
      <c r="M915" s="644">
        <v>0</v>
      </c>
      <c r="N915" s="644">
        <v>70000000</v>
      </c>
      <c r="O915" s="644">
        <v>0</v>
      </c>
      <c r="P915" s="644">
        <v>70000000</v>
      </c>
      <c r="Q915" s="644">
        <v>70000000</v>
      </c>
      <c r="R915" s="644">
        <v>0</v>
      </c>
      <c r="S915" s="644">
        <v>0</v>
      </c>
      <c r="T915" s="644">
        <v>0</v>
      </c>
      <c r="U915" s="644">
        <v>0</v>
      </c>
      <c r="V915" s="644">
        <v>0</v>
      </c>
      <c r="W915" s="632">
        <v>0</v>
      </c>
      <c r="X915" s="632">
        <v>0</v>
      </c>
    </row>
    <row r="916" spans="1:24" ht="22.5">
      <c r="A916" s="645">
        <v>898</v>
      </c>
      <c r="B916" s="643" t="s">
        <v>1311</v>
      </c>
      <c r="C916" s="645" t="s">
        <v>443</v>
      </c>
      <c r="D916" s="645" t="s">
        <v>1312</v>
      </c>
      <c r="E916" s="645" t="s">
        <v>906</v>
      </c>
      <c r="F916" s="645" t="s">
        <v>1114</v>
      </c>
      <c r="G916" s="645" t="s">
        <v>777</v>
      </c>
      <c r="H916" s="644">
        <v>0</v>
      </c>
      <c r="I916" s="644">
        <v>96724087</v>
      </c>
      <c r="J916" s="644">
        <v>96724087</v>
      </c>
      <c r="K916" s="644">
        <v>0</v>
      </c>
      <c r="L916" s="644">
        <v>0</v>
      </c>
      <c r="M916" s="644">
        <v>-96724087</v>
      </c>
      <c r="N916" s="644">
        <v>0</v>
      </c>
      <c r="O916" s="644">
        <v>0</v>
      </c>
      <c r="P916" s="644">
        <v>0</v>
      </c>
      <c r="Q916" s="644">
        <v>0</v>
      </c>
      <c r="R916" s="644">
        <v>0</v>
      </c>
      <c r="S916" s="644">
        <v>0</v>
      </c>
      <c r="T916" s="644">
        <v>0</v>
      </c>
      <c r="U916" s="644">
        <v>0</v>
      </c>
      <c r="V916" s="644">
        <v>0</v>
      </c>
      <c r="W916" s="632">
        <v>0</v>
      </c>
      <c r="X916" s="632">
        <v>0</v>
      </c>
    </row>
    <row r="917" spans="1:24" ht="22.5">
      <c r="A917" s="645">
        <v>899</v>
      </c>
      <c r="B917" s="643" t="s">
        <v>1311</v>
      </c>
      <c r="C917" s="645" t="s">
        <v>443</v>
      </c>
      <c r="D917" s="645" t="s">
        <v>1312</v>
      </c>
      <c r="E917" s="645" t="s">
        <v>1115</v>
      </c>
      <c r="F917" s="645" t="s">
        <v>1114</v>
      </c>
      <c r="G917" s="645" t="s">
        <v>777</v>
      </c>
      <c r="H917" s="644">
        <v>84710000</v>
      </c>
      <c r="I917" s="644">
        <v>0</v>
      </c>
      <c r="J917" s="644">
        <v>0</v>
      </c>
      <c r="K917" s="644">
        <v>0</v>
      </c>
      <c r="L917" s="644">
        <v>0</v>
      </c>
      <c r="M917" s="644">
        <v>0</v>
      </c>
      <c r="N917" s="644">
        <v>84710000</v>
      </c>
      <c r="O917" s="644">
        <v>0</v>
      </c>
      <c r="P917" s="644">
        <v>84710000</v>
      </c>
      <c r="Q917" s="644">
        <v>84710000</v>
      </c>
      <c r="R917" s="644">
        <v>0</v>
      </c>
      <c r="S917" s="644">
        <v>0</v>
      </c>
      <c r="T917" s="644">
        <v>0</v>
      </c>
      <c r="U917" s="644">
        <v>0</v>
      </c>
      <c r="V917" s="644">
        <v>0</v>
      </c>
      <c r="W917" s="632">
        <v>0</v>
      </c>
      <c r="X917" s="632">
        <v>48841600</v>
      </c>
    </row>
    <row r="918" spans="1:24">
      <c r="A918" s="645">
        <v>900</v>
      </c>
      <c r="B918" s="643" t="s">
        <v>1314</v>
      </c>
      <c r="C918" s="645" t="s">
        <v>443</v>
      </c>
      <c r="D918" s="645" t="s">
        <v>1315</v>
      </c>
      <c r="E918" s="645" t="s">
        <v>906</v>
      </c>
      <c r="F918" s="645" t="s">
        <v>1114</v>
      </c>
      <c r="G918" s="645" t="s">
        <v>777</v>
      </c>
      <c r="H918" s="644">
        <v>0</v>
      </c>
      <c r="I918" s="644">
        <v>110516823</v>
      </c>
      <c r="J918" s="644">
        <v>110516823</v>
      </c>
      <c r="K918" s="644">
        <v>0</v>
      </c>
      <c r="L918" s="644">
        <v>0</v>
      </c>
      <c r="M918" s="644">
        <v>-110516823</v>
      </c>
      <c r="N918" s="644">
        <v>0</v>
      </c>
      <c r="O918" s="644">
        <v>0</v>
      </c>
      <c r="P918" s="644">
        <v>0</v>
      </c>
      <c r="Q918" s="644">
        <v>0</v>
      </c>
      <c r="R918" s="644">
        <v>0</v>
      </c>
      <c r="S918" s="644">
        <v>0</v>
      </c>
      <c r="T918" s="644">
        <v>0</v>
      </c>
      <c r="U918" s="644">
        <v>0</v>
      </c>
      <c r="V918" s="644">
        <v>0</v>
      </c>
      <c r="W918" s="632">
        <v>0</v>
      </c>
      <c r="X918" s="632">
        <v>210735057</v>
      </c>
    </row>
    <row r="919" spans="1:24">
      <c r="A919" s="645">
        <v>901</v>
      </c>
      <c r="B919" s="643" t="s">
        <v>1314</v>
      </c>
      <c r="C919" s="645" t="s">
        <v>443</v>
      </c>
      <c r="D919" s="645" t="s">
        <v>1315</v>
      </c>
      <c r="E919" s="645" t="s">
        <v>1115</v>
      </c>
      <c r="F919" s="645" t="s">
        <v>1114</v>
      </c>
      <c r="G919" s="645" t="s">
        <v>777</v>
      </c>
      <c r="H919" s="644">
        <v>331135000</v>
      </c>
      <c r="I919" s="644">
        <v>0</v>
      </c>
      <c r="J919" s="644">
        <v>0</v>
      </c>
      <c r="K919" s="644">
        <v>0</v>
      </c>
      <c r="L919" s="644">
        <v>0</v>
      </c>
      <c r="M919" s="644">
        <v>0</v>
      </c>
      <c r="N919" s="644">
        <v>331135000</v>
      </c>
      <c r="O919" s="644">
        <v>0</v>
      </c>
      <c r="P919" s="644">
        <v>331135000</v>
      </c>
      <c r="Q919" s="644">
        <v>331135000</v>
      </c>
      <c r="R919" s="644">
        <v>0</v>
      </c>
      <c r="S919" s="644">
        <v>0</v>
      </c>
      <c r="T919" s="644">
        <v>0</v>
      </c>
      <c r="U919" s="644">
        <v>0</v>
      </c>
      <c r="V919" s="644">
        <v>0</v>
      </c>
      <c r="W919" s="632">
        <v>0</v>
      </c>
      <c r="X919" s="632">
        <v>0</v>
      </c>
    </row>
    <row r="920" spans="1:24">
      <c r="A920" s="645">
        <v>902</v>
      </c>
      <c r="B920" s="643" t="s">
        <v>1317</v>
      </c>
      <c r="C920" s="645" t="s">
        <v>443</v>
      </c>
      <c r="D920" s="645" t="s">
        <v>1318</v>
      </c>
      <c r="E920" s="645" t="s">
        <v>906</v>
      </c>
      <c r="F920" s="645" t="s">
        <v>1114</v>
      </c>
      <c r="G920" s="645" t="s">
        <v>777</v>
      </c>
      <c r="H920" s="644">
        <v>0</v>
      </c>
      <c r="I920" s="644">
        <v>89665000</v>
      </c>
      <c r="J920" s="644">
        <v>89665000</v>
      </c>
      <c r="K920" s="644">
        <v>0</v>
      </c>
      <c r="L920" s="644">
        <v>0</v>
      </c>
      <c r="M920" s="644">
        <v>-89665000</v>
      </c>
      <c r="N920" s="644">
        <v>0</v>
      </c>
      <c r="O920" s="644">
        <v>0</v>
      </c>
      <c r="P920" s="644">
        <v>0</v>
      </c>
      <c r="Q920" s="644">
        <v>0</v>
      </c>
      <c r="R920" s="644">
        <v>0</v>
      </c>
      <c r="S920" s="644">
        <v>0</v>
      </c>
      <c r="T920" s="644">
        <v>0</v>
      </c>
      <c r="U920" s="644">
        <v>0</v>
      </c>
      <c r="V920" s="644">
        <v>0</v>
      </c>
      <c r="W920" s="632">
        <v>0</v>
      </c>
      <c r="X920" s="632">
        <v>0</v>
      </c>
    </row>
    <row r="921" spans="1:24">
      <c r="A921" s="645">
        <v>903</v>
      </c>
      <c r="B921" s="643" t="s">
        <v>1317</v>
      </c>
      <c r="C921" s="645" t="s">
        <v>443</v>
      </c>
      <c r="D921" s="645" t="s">
        <v>1318</v>
      </c>
      <c r="E921" s="645" t="s">
        <v>1115</v>
      </c>
      <c r="F921" s="645" t="s">
        <v>1114</v>
      </c>
      <c r="G921" s="645" t="s">
        <v>777</v>
      </c>
      <c r="H921" s="644">
        <v>36160000</v>
      </c>
      <c r="I921" s="644">
        <v>0</v>
      </c>
      <c r="J921" s="644">
        <v>0</v>
      </c>
      <c r="K921" s="644">
        <v>0</v>
      </c>
      <c r="L921" s="644">
        <v>0</v>
      </c>
      <c r="M921" s="644">
        <v>0</v>
      </c>
      <c r="N921" s="644">
        <v>36160000</v>
      </c>
      <c r="O921" s="644">
        <v>0</v>
      </c>
      <c r="P921" s="644">
        <v>36160000</v>
      </c>
      <c r="Q921" s="644">
        <v>36160000</v>
      </c>
      <c r="R921" s="644">
        <v>0</v>
      </c>
      <c r="S921" s="644">
        <v>0</v>
      </c>
      <c r="T921" s="644">
        <v>0</v>
      </c>
      <c r="U921" s="644">
        <v>0</v>
      </c>
      <c r="V921" s="644">
        <v>0</v>
      </c>
      <c r="W921" s="632">
        <v>0</v>
      </c>
      <c r="X921" s="632">
        <v>2369900</v>
      </c>
    </row>
    <row r="922" spans="1:24" ht="22.5">
      <c r="A922" s="645">
        <v>904</v>
      </c>
      <c r="B922" s="643" t="s">
        <v>1319</v>
      </c>
      <c r="C922" s="645" t="s">
        <v>443</v>
      </c>
      <c r="D922" s="645" t="s">
        <v>1320</v>
      </c>
      <c r="E922" s="645" t="s">
        <v>907</v>
      </c>
      <c r="F922" s="645" t="s">
        <v>1114</v>
      </c>
      <c r="G922" s="645" t="s">
        <v>777</v>
      </c>
      <c r="H922" s="644">
        <v>0</v>
      </c>
      <c r="I922" s="644">
        <v>94078280</v>
      </c>
      <c r="J922" s="644">
        <v>94078280</v>
      </c>
      <c r="K922" s="644">
        <v>0</v>
      </c>
      <c r="L922" s="644">
        <v>0</v>
      </c>
      <c r="M922" s="644">
        <v>-94078280</v>
      </c>
      <c r="N922" s="644">
        <v>0</v>
      </c>
      <c r="O922" s="644">
        <v>0</v>
      </c>
      <c r="P922" s="644">
        <v>0</v>
      </c>
      <c r="Q922" s="644">
        <v>0</v>
      </c>
      <c r="R922" s="644">
        <v>0</v>
      </c>
      <c r="S922" s="644">
        <v>0</v>
      </c>
      <c r="T922" s="644">
        <v>0</v>
      </c>
      <c r="U922" s="644">
        <v>0</v>
      </c>
      <c r="V922" s="644">
        <v>0</v>
      </c>
      <c r="W922" s="632">
        <v>0</v>
      </c>
      <c r="X922" s="632">
        <v>0</v>
      </c>
    </row>
    <row r="923" spans="1:24" ht="22.5">
      <c r="A923" s="645">
        <v>905</v>
      </c>
      <c r="B923" s="643" t="s">
        <v>1319</v>
      </c>
      <c r="C923" s="645" t="s">
        <v>443</v>
      </c>
      <c r="D923" s="645" t="s">
        <v>1320</v>
      </c>
      <c r="E923" s="645" t="s">
        <v>1115</v>
      </c>
      <c r="F923" s="645" t="s">
        <v>1114</v>
      </c>
      <c r="G923" s="645" t="s">
        <v>777</v>
      </c>
      <c r="H923" s="644">
        <v>22000000</v>
      </c>
      <c r="I923" s="644">
        <v>0</v>
      </c>
      <c r="J923" s="644">
        <v>0</v>
      </c>
      <c r="K923" s="644">
        <v>0</v>
      </c>
      <c r="L923" s="644">
        <v>0</v>
      </c>
      <c r="M923" s="644">
        <v>0</v>
      </c>
      <c r="N923" s="644">
        <v>22000000</v>
      </c>
      <c r="O923" s="644">
        <v>0</v>
      </c>
      <c r="P923" s="644">
        <v>19910907</v>
      </c>
      <c r="Q923" s="644">
        <v>19910907</v>
      </c>
      <c r="R923" s="644">
        <v>0</v>
      </c>
      <c r="S923" s="644">
        <v>0</v>
      </c>
      <c r="T923" s="644">
        <v>0</v>
      </c>
      <c r="U923" s="644">
        <v>0</v>
      </c>
      <c r="V923" s="644">
        <v>0</v>
      </c>
      <c r="W923" s="632">
        <v>0</v>
      </c>
      <c r="X923" s="632">
        <v>0</v>
      </c>
    </row>
    <row r="924" spans="1:24" ht="22.5">
      <c r="A924" s="645">
        <v>906</v>
      </c>
      <c r="B924" s="643" t="s">
        <v>1321</v>
      </c>
      <c r="C924" s="645" t="s">
        <v>443</v>
      </c>
      <c r="D924" s="645" t="s">
        <v>1322</v>
      </c>
      <c r="E924" s="645" t="s">
        <v>907</v>
      </c>
      <c r="F924" s="645" t="s">
        <v>1114</v>
      </c>
      <c r="G924" s="645" t="s">
        <v>777</v>
      </c>
      <c r="H924" s="644">
        <v>0</v>
      </c>
      <c r="I924" s="644">
        <v>161688662</v>
      </c>
      <c r="J924" s="644">
        <v>161688662</v>
      </c>
      <c r="K924" s="644">
        <v>0</v>
      </c>
      <c r="L924" s="644">
        <v>0</v>
      </c>
      <c r="M924" s="644">
        <v>-161688662</v>
      </c>
      <c r="N924" s="644">
        <v>0</v>
      </c>
      <c r="O924" s="644">
        <v>0</v>
      </c>
      <c r="P924" s="644">
        <v>0</v>
      </c>
      <c r="Q924" s="644">
        <v>0</v>
      </c>
      <c r="R924" s="644">
        <v>0</v>
      </c>
      <c r="S924" s="644">
        <v>0</v>
      </c>
      <c r="T924" s="644">
        <v>0</v>
      </c>
      <c r="U924" s="644">
        <v>0</v>
      </c>
      <c r="V924" s="644">
        <v>0</v>
      </c>
      <c r="W924" s="632">
        <v>0</v>
      </c>
      <c r="X924" s="632">
        <v>500000</v>
      </c>
    </row>
    <row r="925" spans="1:24" ht="22.5">
      <c r="A925" s="645">
        <v>907</v>
      </c>
      <c r="B925" s="643" t="s">
        <v>1321</v>
      </c>
      <c r="C925" s="645" t="s">
        <v>443</v>
      </c>
      <c r="D925" s="645" t="s">
        <v>1322</v>
      </c>
      <c r="E925" s="645" t="s">
        <v>1115</v>
      </c>
      <c r="F925" s="645" t="s">
        <v>1114</v>
      </c>
      <c r="G925" s="645" t="s">
        <v>777</v>
      </c>
      <c r="H925" s="644">
        <v>41110000</v>
      </c>
      <c r="I925" s="644">
        <v>0</v>
      </c>
      <c r="J925" s="644">
        <v>0</v>
      </c>
      <c r="K925" s="644">
        <v>0</v>
      </c>
      <c r="L925" s="644">
        <v>0</v>
      </c>
      <c r="M925" s="644">
        <v>0</v>
      </c>
      <c r="N925" s="644">
        <v>41110000</v>
      </c>
      <c r="O925" s="644">
        <v>0</v>
      </c>
      <c r="P925" s="644">
        <v>41110000</v>
      </c>
      <c r="Q925" s="644">
        <v>41110000</v>
      </c>
      <c r="R925" s="644">
        <v>0</v>
      </c>
      <c r="S925" s="644">
        <v>0</v>
      </c>
      <c r="T925" s="644">
        <v>0</v>
      </c>
      <c r="U925" s="644">
        <v>0</v>
      </c>
      <c r="V925" s="644">
        <v>0</v>
      </c>
      <c r="W925" s="632">
        <v>0</v>
      </c>
      <c r="X925" s="632">
        <v>0</v>
      </c>
    </row>
    <row r="926" spans="1:24" ht="22.5">
      <c r="A926" s="645">
        <v>908</v>
      </c>
      <c r="B926" s="643" t="s">
        <v>1323</v>
      </c>
      <c r="C926" s="645" t="s">
        <v>443</v>
      </c>
      <c r="D926" s="645" t="s">
        <v>1324</v>
      </c>
      <c r="E926" s="645" t="s">
        <v>907</v>
      </c>
      <c r="F926" s="645" t="s">
        <v>1114</v>
      </c>
      <c r="G926" s="645" t="s">
        <v>777</v>
      </c>
      <c r="H926" s="644">
        <v>0</v>
      </c>
      <c r="I926" s="644">
        <v>210818000</v>
      </c>
      <c r="J926" s="644">
        <v>210818000</v>
      </c>
      <c r="K926" s="644">
        <v>0</v>
      </c>
      <c r="L926" s="644">
        <v>0</v>
      </c>
      <c r="M926" s="644">
        <v>-210818000</v>
      </c>
      <c r="N926" s="644">
        <v>0</v>
      </c>
      <c r="O926" s="644">
        <v>0</v>
      </c>
      <c r="P926" s="644">
        <v>0</v>
      </c>
      <c r="Q926" s="644">
        <v>0</v>
      </c>
      <c r="R926" s="644">
        <v>0</v>
      </c>
      <c r="S926" s="644">
        <v>0</v>
      </c>
      <c r="T926" s="644">
        <v>0</v>
      </c>
      <c r="U926" s="644">
        <v>0</v>
      </c>
      <c r="V926" s="644">
        <v>0</v>
      </c>
      <c r="W926" s="632">
        <v>0</v>
      </c>
      <c r="X926" s="632">
        <v>0</v>
      </c>
    </row>
    <row r="927" spans="1:24" ht="22.5">
      <c r="A927" s="645">
        <v>909</v>
      </c>
      <c r="B927" s="643" t="s">
        <v>1323</v>
      </c>
      <c r="C927" s="645" t="s">
        <v>443</v>
      </c>
      <c r="D927" s="645" t="s">
        <v>1324</v>
      </c>
      <c r="E927" s="645" t="s">
        <v>1115</v>
      </c>
      <c r="F927" s="645" t="s">
        <v>1114</v>
      </c>
      <c r="G927" s="645" t="s">
        <v>777</v>
      </c>
      <c r="H927" s="644">
        <v>31000000</v>
      </c>
      <c r="I927" s="644">
        <v>0</v>
      </c>
      <c r="J927" s="644">
        <v>0</v>
      </c>
      <c r="K927" s="644">
        <v>0</v>
      </c>
      <c r="L927" s="644">
        <v>0</v>
      </c>
      <c r="M927" s="644">
        <v>0</v>
      </c>
      <c r="N927" s="644">
        <v>31000000</v>
      </c>
      <c r="O927" s="644">
        <v>0</v>
      </c>
      <c r="P927" s="644">
        <v>31000000</v>
      </c>
      <c r="Q927" s="644">
        <v>31000000</v>
      </c>
      <c r="R927" s="644">
        <v>0</v>
      </c>
      <c r="S927" s="644">
        <v>0</v>
      </c>
      <c r="T927" s="644">
        <v>0</v>
      </c>
      <c r="U927" s="644">
        <v>0</v>
      </c>
      <c r="V927" s="644">
        <v>0</v>
      </c>
      <c r="W927" s="632">
        <v>0</v>
      </c>
      <c r="X927" s="632">
        <v>0</v>
      </c>
    </row>
    <row r="928" spans="1:24" ht="22.5">
      <c r="A928" s="645">
        <v>910</v>
      </c>
      <c r="B928" s="643" t="s">
        <v>1325</v>
      </c>
      <c r="C928" s="645" t="s">
        <v>443</v>
      </c>
      <c r="D928" s="645" t="s">
        <v>1326</v>
      </c>
      <c r="E928" s="645" t="s">
        <v>907</v>
      </c>
      <c r="F928" s="645" t="s">
        <v>1114</v>
      </c>
      <c r="G928" s="645" t="s">
        <v>777</v>
      </c>
      <c r="H928" s="644">
        <v>0</v>
      </c>
      <c r="I928" s="644">
        <v>58886651</v>
      </c>
      <c r="J928" s="644">
        <v>58886651</v>
      </c>
      <c r="K928" s="644">
        <v>0</v>
      </c>
      <c r="L928" s="644">
        <v>0</v>
      </c>
      <c r="M928" s="644">
        <v>-58886651</v>
      </c>
      <c r="N928" s="644">
        <v>0</v>
      </c>
      <c r="O928" s="644">
        <v>0</v>
      </c>
      <c r="P928" s="644">
        <v>0</v>
      </c>
      <c r="Q928" s="644">
        <v>0</v>
      </c>
      <c r="R928" s="644">
        <v>0</v>
      </c>
      <c r="S928" s="644">
        <v>0</v>
      </c>
      <c r="T928" s="644">
        <v>0</v>
      </c>
      <c r="U928" s="644">
        <v>0</v>
      </c>
      <c r="V928" s="644">
        <v>0</v>
      </c>
      <c r="W928" s="632">
        <v>0</v>
      </c>
      <c r="X928" s="632">
        <v>0</v>
      </c>
    </row>
    <row r="929" spans="1:24" ht="22.5">
      <c r="A929" s="645">
        <v>911</v>
      </c>
      <c r="B929" s="643" t="s">
        <v>1325</v>
      </c>
      <c r="C929" s="645" t="s">
        <v>443</v>
      </c>
      <c r="D929" s="645" t="s">
        <v>1326</v>
      </c>
      <c r="E929" s="645" t="s">
        <v>1115</v>
      </c>
      <c r="F929" s="645" t="s">
        <v>1114</v>
      </c>
      <c r="G929" s="645" t="s">
        <v>777</v>
      </c>
      <c r="H929" s="644">
        <v>23000000</v>
      </c>
      <c r="I929" s="644">
        <v>0</v>
      </c>
      <c r="J929" s="644">
        <v>0</v>
      </c>
      <c r="K929" s="644">
        <v>0</v>
      </c>
      <c r="L929" s="644">
        <v>0</v>
      </c>
      <c r="M929" s="644">
        <v>0</v>
      </c>
      <c r="N929" s="644">
        <v>23000000</v>
      </c>
      <c r="O929" s="644">
        <v>0</v>
      </c>
      <c r="P929" s="644">
        <v>18136650</v>
      </c>
      <c r="Q929" s="644">
        <v>18136650</v>
      </c>
      <c r="R929" s="644">
        <v>0</v>
      </c>
      <c r="S929" s="644">
        <v>4863350</v>
      </c>
      <c r="T929" s="644">
        <v>4863350</v>
      </c>
      <c r="U929" s="644">
        <v>0</v>
      </c>
      <c r="V929" s="644">
        <v>0</v>
      </c>
      <c r="W929" s="632">
        <v>0</v>
      </c>
      <c r="X929" s="632">
        <v>9750000</v>
      </c>
    </row>
    <row r="930" spans="1:24">
      <c r="A930" s="645">
        <v>912</v>
      </c>
      <c r="B930" s="643" t="s">
        <v>1329</v>
      </c>
      <c r="C930" s="645" t="s">
        <v>443</v>
      </c>
      <c r="D930" s="645" t="s">
        <v>1330</v>
      </c>
      <c r="E930" s="645" t="s">
        <v>907</v>
      </c>
      <c r="F930" s="645" t="s">
        <v>1114</v>
      </c>
      <c r="G930" s="645" t="s">
        <v>777</v>
      </c>
      <c r="H930" s="644">
        <v>0</v>
      </c>
      <c r="I930" s="644">
        <v>70320800</v>
      </c>
      <c r="J930" s="644">
        <v>70320800</v>
      </c>
      <c r="K930" s="644">
        <v>0</v>
      </c>
      <c r="L930" s="644">
        <v>0</v>
      </c>
      <c r="M930" s="644">
        <v>-70320800</v>
      </c>
      <c r="N930" s="644">
        <v>0</v>
      </c>
      <c r="O930" s="644">
        <v>0</v>
      </c>
      <c r="P930" s="644">
        <v>0</v>
      </c>
      <c r="Q930" s="644">
        <v>0</v>
      </c>
      <c r="R930" s="644">
        <v>0</v>
      </c>
      <c r="S930" s="644">
        <v>0</v>
      </c>
      <c r="T930" s="644">
        <v>0</v>
      </c>
      <c r="U930" s="644">
        <v>0</v>
      </c>
      <c r="V930" s="644">
        <v>0</v>
      </c>
      <c r="W930" s="632">
        <v>0</v>
      </c>
      <c r="X930" s="632">
        <v>64712000</v>
      </c>
    </row>
    <row r="931" spans="1:24">
      <c r="A931" s="645">
        <v>913</v>
      </c>
      <c r="B931" s="643" t="s">
        <v>1329</v>
      </c>
      <c r="C931" s="645" t="s">
        <v>443</v>
      </c>
      <c r="D931" s="645" t="s">
        <v>1330</v>
      </c>
      <c r="E931" s="645" t="s">
        <v>1115</v>
      </c>
      <c r="F931" s="645" t="s">
        <v>1114</v>
      </c>
      <c r="G931" s="645" t="s">
        <v>777</v>
      </c>
      <c r="H931" s="644">
        <v>28000000</v>
      </c>
      <c r="I931" s="644">
        <v>0</v>
      </c>
      <c r="J931" s="644">
        <v>0</v>
      </c>
      <c r="K931" s="644">
        <v>0</v>
      </c>
      <c r="L931" s="644">
        <v>0</v>
      </c>
      <c r="M931" s="644">
        <v>0</v>
      </c>
      <c r="N931" s="644">
        <v>28000000</v>
      </c>
      <c r="O931" s="644">
        <v>0</v>
      </c>
      <c r="P931" s="644">
        <v>28000000</v>
      </c>
      <c r="Q931" s="644">
        <v>28000000</v>
      </c>
      <c r="R931" s="644">
        <v>0</v>
      </c>
      <c r="S931" s="644">
        <v>0</v>
      </c>
      <c r="T931" s="644">
        <v>0</v>
      </c>
      <c r="U931" s="644">
        <v>0</v>
      </c>
      <c r="V931" s="644">
        <v>0</v>
      </c>
      <c r="W931" s="632">
        <v>0</v>
      </c>
      <c r="X931" s="632">
        <v>63015000</v>
      </c>
    </row>
    <row r="932" spans="1:24">
      <c r="A932" s="645">
        <v>914</v>
      </c>
      <c r="B932" s="643" t="s">
        <v>1333</v>
      </c>
      <c r="C932" s="645" t="s">
        <v>443</v>
      </c>
      <c r="D932" s="645" t="s">
        <v>1334</v>
      </c>
      <c r="E932" s="645" t="s">
        <v>907</v>
      </c>
      <c r="F932" s="645" t="s">
        <v>1114</v>
      </c>
      <c r="G932" s="645" t="s">
        <v>777</v>
      </c>
      <c r="H932" s="644">
        <v>0</v>
      </c>
      <c r="I932" s="644">
        <v>70507040</v>
      </c>
      <c r="J932" s="644">
        <v>70507040</v>
      </c>
      <c r="K932" s="644">
        <v>0</v>
      </c>
      <c r="L932" s="644">
        <v>0</v>
      </c>
      <c r="M932" s="644">
        <v>-70507040</v>
      </c>
      <c r="N932" s="644">
        <v>0</v>
      </c>
      <c r="O932" s="644">
        <v>0</v>
      </c>
      <c r="P932" s="644">
        <v>0</v>
      </c>
      <c r="Q932" s="644">
        <v>0</v>
      </c>
      <c r="R932" s="644">
        <v>0</v>
      </c>
      <c r="S932" s="644">
        <v>0</v>
      </c>
      <c r="T932" s="644">
        <v>0</v>
      </c>
      <c r="U932" s="644">
        <v>0</v>
      </c>
      <c r="V932" s="644">
        <v>0</v>
      </c>
      <c r="W932" s="632">
        <v>0</v>
      </c>
      <c r="X932" s="632">
        <v>0</v>
      </c>
    </row>
    <row r="933" spans="1:24">
      <c r="A933" s="645">
        <v>915</v>
      </c>
      <c r="B933" s="643" t="s">
        <v>1333</v>
      </c>
      <c r="C933" s="645" t="s">
        <v>443</v>
      </c>
      <c r="D933" s="645" t="s">
        <v>1334</v>
      </c>
      <c r="E933" s="645" t="s">
        <v>1115</v>
      </c>
      <c r="F933" s="645" t="s">
        <v>1114</v>
      </c>
      <c r="G933" s="645" t="s">
        <v>777</v>
      </c>
      <c r="H933" s="644">
        <v>23000000</v>
      </c>
      <c r="I933" s="644">
        <v>0</v>
      </c>
      <c r="J933" s="644">
        <v>0</v>
      </c>
      <c r="K933" s="644">
        <v>0</v>
      </c>
      <c r="L933" s="644">
        <v>0</v>
      </c>
      <c r="M933" s="644">
        <v>0</v>
      </c>
      <c r="N933" s="644">
        <v>23000000</v>
      </c>
      <c r="O933" s="644">
        <v>0</v>
      </c>
      <c r="P933" s="644">
        <v>23000000</v>
      </c>
      <c r="Q933" s="644">
        <v>23000000</v>
      </c>
      <c r="R933" s="644">
        <v>0</v>
      </c>
      <c r="S933" s="644">
        <v>0</v>
      </c>
      <c r="T933" s="644">
        <v>0</v>
      </c>
      <c r="U933" s="644">
        <v>0</v>
      </c>
      <c r="V933" s="644">
        <v>0</v>
      </c>
      <c r="W933" s="632">
        <v>0</v>
      </c>
      <c r="X933" s="632">
        <v>0</v>
      </c>
    </row>
    <row r="934" spans="1:24">
      <c r="A934" s="645">
        <v>916</v>
      </c>
      <c r="B934" s="643" t="s">
        <v>1344</v>
      </c>
      <c r="C934" s="645" t="s">
        <v>443</v>
      </c>
      <c r="D934" s="645" t="s">
        <v>1345</v>
      </c>
      <c r="E934" s="645" t="s">
        <v>1300</v>
      </c>
      <c r="F934" s="645" t="s">
        <v>1114</v>
      </c>
      <c r="G934" s="645" t="s">
        <v>777</v>
      </c>
      <c r="H934" s="644">
        <v>0</v>
      </c>
      <c r="I934" s="644">
        <v>3373476539</v>
      </c>
      <c r="J934" s="644">
        <v>3373476539</v>
      </c>
      <c r="K934" s="644">
        <v>0</v>
      </c>
      <c r="L934" s="644">
        <v>0</v>
      </c>
      <c r="M934" s="644">
        <v>-3373476539</v>
      </c>
      <c r="N934" s="644">
        <v>0</v>
      </c>
      <c r="O934" s="644">
        <v>0</v>
      </c>
      <c r="P934" s="644">
        <v>0</v>
      </c>
      <c r="Q934" s="644">
        <v>0</v>
      </c>
      <c r="R934" s="644">
        <v>0</v>
      </c>
      <c r="S934" s="644">
        <v>0</v>
      </c>
      <c r="T934" s="644">
        <v>0</v>
      </c>
      <c r="U934" s="644">
        <v>0</v>
      </c>
      <c r="V934" s="644">
        <v>0</v>
      </c>
      <c r="W934" s="632">
        <v>0</v>
      </c>
      <c r="X934" s="632">
        <v>219070000</v>
      </c>
    </row>
    <row r="935" spans="1:24">
      <c r="A935" s="645">
        <v>917</v>
      </c>
      <c r="B935" s="643" t="s">
        <v>1346</v>
      </c>
      <c r="C935" s="645" t="s">
        <v>443</v>
      </c>
      <c r="D935" s="645" t="s">
        <v>1345</v>
      </c>
      <c r="E935" s="645" t="s">
        <v>886</v>
      </c>
      <c r="F935" s="645" t="s">
        <v>1114</v>
      </c>
      <c r="G935" s="645" t="s">
        <v>777</v>
      </c>
      <c r="H935" s="644">
        <v>0</v>
      </c>
      <c r="I935" s="644">
        <v>8600000</v>
      </c>
      <c r="J935" s="644">
        <v>8600000</v>
      </c>
      <c r="K935" s="644">
        <v>0</v>
      </c>
      <c r="L935" s="644">
        <v>0</v>
      </c>
      <c r="M935" s="644">
        <v>-8600000</v>
      </c>
      <c r="N935" s="644">
        <v>0</v>
      </c>
      <c r="O935" s="644">
        <v>0</v>
      </c>
      <c r="P935" s="644">
        <v>0</v>
      </c>
      <c r="Q935" s="644">
        <v>0</v>
      </c>
      <c r="R935" s="644">
        <v>0</v>
      </c>
      <c r="S935" s="644">
        <v>0</v>
      </c>
      <c r="T935" s="644">
        <v>0</v>
      </c>
      <c r="U935" s="644">
        <v>0</v>
      </c>
      <c r="V935" s="644">
        <v>0</v>
      </c>
      <c r="W935" s="632">
        <v>0</v>
      </c>
      <c r="X935" s="632">
        <v>0</v>
      </c>
    </row>
    <row r="936" spans="1:24">
      <c r="A936" s="645">
        <v>918</v>
      </c>
      <c r="B936" s="643" t="s">
        <v>1346</v>
      </c>
      <c r="C936" s="645" t="s">
        <v>443</v>
      </c>
      <c r="D936" s="645" t="s">
        <v>1345</v>
      </c>
      <c r="E936" s="645" t="s">
        <v>1115</v>
      </c>
      <c r="F936" s="645" t="s">
        <v>1114</v>
      </c>
      <c r="G936" s="645" t="s">
        <v>777</v>
      </c>
      <c r="H936" s="644">
        <v>3997798000</v>
      </c>
      <c r="I936" s="644">
        <v>0</v>
      </c>
      <c r="J936" s="644">
        <v>0</v>
      </c>
      <c r="K936" s="644">
        <v>0</v>
      </c>
      <c r="L936" s="644">
        <v>0</v>
      </c>
      <c r="M936" s="644">
        <v>0</v>
      </c>
      <c r="N936" s="644">
        <v>3997798000</v>
      </c>
      <c r="O936" s="644">
        <v>0</v>
      </c>
      <c r="P936" s="644">
        <v>3997798000</v>
      </c>
      <c r="Q936" s="644">
        <v>3997798000</v>
      </c>
      <c r="R936" s="644">
        <v>0</v>
      </c>
      <c r="S936" s="644">
        <v>0</v>
      </c>
      <c r="T936" s="644">
        <v>0</v>
      </c>
      <c r="U936" s="644">
        <v>0</v>
      </c>
      <c r="V936" s="644">
        <v>0</v>
      </c>
      <c r="W936" s="632">
        <v>0</v>
      </c>
      <c r="X936" s="632">
        <v>0</v>
      </c>
    </row>
    <row r="937" spans="1:24">
      <c r="A937" s="645">
        <v>919</v>
      </c>
      <c r="B937" s="643" t="s">
        <v>1347</v>
      </c>
      <c r="C937" s="645" t="s">
        <v>443</v>
      </c>
      <c r="D937" s="645" t="s">
        <v>1345</v>
      </c>
      <c r="E937" s="645" t="s">
        <v>710</v>
      </c>
      <c r="F937" s="645" t="s">
        <v>1114</v>
      </c>
      <c r="G937" s="645" t="s">
        <v>777</v>
      </c>
      <c r="H937" s="644">
        <v>0</v>
      </c>
      <c r="I937" s="644">
        <v>241139617</v>
      </c>
      <c r="J937" s="644">
        <v>241139617</v>
      </c>
      <c r="K937" s="644">
        <v>0</v>
      </c>
      <c r="L937" s="644">
        <v>0</v>
      </c>
      <c r="M937" s="644">
        <v>-241139617</v>
      </c>
      <c r="N937" s="644">
        <v>0</v>
      </c>
      <c r="O937" s="644">
        <v>0</v>
      </c>
      <c r="P937" s="644">
        <v>0</v>
      </c>
      <c r="Q937" s="644">
        <v>0</v>
      </c>
      <c r="R937" s="644">
        <v>0</v>
      </c>
      <c r="S937" s="644">
        <v>0</v>
      </c>
      <c r="T937" s="644">
        <v>0</v>
      </c>
      <c r="U937" s="644">
        <v>0</v>
      </c>
      <c r="V937" s="644">
        <v>0</v>
      </c>
      <c r="W937" s="632">
        <v>0</v>
      </c>
      <c r="X937" s="632">
        <v>12586439</v>
      </c>
    </row>
    <row r="938" spans="1:24">
      <c r="A938" s="645">
        <v>920</v>
      </c>
      <c r="B938" s="643" t="s">
        <v>1347</v>
      </c>
      <c r="C938" s="645" t="s">
        <v>443</v>
      </c>
      <c r="D938" s="645" t="s">
        <v>1345</v>
      </c>
      <c r="E938" s="645" t="s">
        <v>1115</v>
      </c>
      <c r="F938" s="645" t="s">
        <v>1114</v>
      </c>
      <c r="G938" s="645" t="s">
        <v>777</v>
      </c>
      <c r="H938" s="644">
        <v>68320000</v>
      </c>
      <c r="I938" s="644">
        <v>0</v>
      </c>
      <c r="J938" s="644">
        <v>0</v>
      </c>
      <c r="K938" s="644">
        <v>0</v>
      </c>
      <c r="L938" s="644">
        <v>0</v>
      </c>
      <c r="M938" s="644">
        <v>0</v>
      </c>
      <c r="N938" s="644">
        <v>68320000</v>
      </c>
      <c r="O938" s="644">
        <v>0</v>
      </c>
      <c r="P938" s="644">
        <v>68320000</v>
      </c>
      <c r="Q938" s="644">
        <v>68320000</v>
      </c>
      <c r="R938" s="644">
        <v>0</v>
      </c>
      <c r="S938" s="644">
        <v>0</v>
      </c>
      <c r="T938" s="644">
        <v>0</v>
      </c>
      <c r="U938" s="644">
        <v>0</v>
      </c>
      <c r="V938" s="644">
        <v>0</v>
      </c>
      <c r="W938" s="632">
        <v>0</v>
      </c>
      <c r="X938" s="632">
        <v>0</v>
      </c>
    </row>
    <row r="939" spans="1:24">
      <c r="A939" s="645">
        <v>921</v>
      </c>
      <c r="B939" s="643" t="s">
        <v>1348</v>
      </c>
      <c r="C939" s="645" t="s">
        <v>443</v>
      </c>
      <c r="D939" s="645" t="s">
        <v>1345</v>
      </c>
      <c r="E939" s="645" t="s">
        <v>886</v>
      </c>
      <c r="F939" s="645" t="s">
        <v>1114</v>
      </c>
      <c r="G939" s="645" t="s">
        <v>777</v>
      </c>
      <c r="H939" s="644">
        <v>0</v>
      </c>
      <c r="I939" s="644">
        <v>103536690</v>
      </c>
      <c r="J939" s="644">
        <v>103536690</v>
      </c>
      <c r="K939" s="644">
        <v>0</v>
      </c>
      <c r="L939" s="644">
        <v>0</v>
      </c>
      <c r="M939" s="644">
        <v>-103536690</v>
      </c>
      <c r="N939" s="644">
        <v>0</v>
      </c>
      <c r="O939" s="644">
        <v>0</v>
      </c>
      <c r="P939" s="644">
        <v>0</v>
      </c>
      <c r="Q939" s="644">
        <v>0</v>
      </c>
      <c r="R939" s="644">
        <v>0</v>
      </c>
      <c r="S939" s="644">
        <v>0</v>
      </c>
      <c r="T939" s="644">
        <v>0</v>
      </c>
      <c r="U939" s="644">
        <v>0</v>
      </c>
      <c r="V939" s="644">
        <v>0</v>
      </c>
      <c r="W939" s="632">
        <v>0</v>
      </c>
      <c r="X939" s="632">
        <v>0</v>
      </c>
    </row>
    <row r="940" spans="1:24">
      <c r="A940" s="645">
        <v>922</v>
      </c>
      <c r="B940" s="643" t="s">
        <v>1348</v>
      </c>
      <c r="C940" s="645" t="s">
        <v>443</v>
      </c>
      <c r="D940" s="645" t="s">
        <v>1345</v>
      </c>
      <c r="E940" s="645" t="s">
        <v>1115</v>
      </c>
      <c r="F940" s="645" t="s">
        <v>1114</v>
      </c>
      <c r="G940" s="645" t="s">
        <v>777</v>
      </c>
      <c r="H940" s="644">
        <v>2982660000</v>
      </c>
      <c r="I940" s="644">
        <v>0</v>
      </c>
      <c r="J940" s="644">
        <v>0</v>
      </c>
      <c r="K940" s="644">
        <v>0</v>
      </c>
      <c r="L940" s="644">
        <v>0</v>
      </c>
      <c r="M940" s="644">
        <v>0</v>
      </c>
      <c r="N940" s="644">
        <v>2982660000</v>
      </c>
      <c r="O940" s="644">
        <v>0</v>
      </c>
      <c r="P940" s="644">
        <v>2982001250</v>
      </c>
      <c r="Q940" s="644">
        <v>2982001250</v>
      </c>
      <c r="R940" s="644">
        <v>0</v>
      </c>
      <c r="S940" s="644">
        <v>658750</v>
      </c>
      <c r="T940" s="644">
        <v>658750</v>
      </c>
      <c r="U940" s="644">
        <v>0</v>
      </c>
      <c r="V940" s="644">
        <v>0</v>
      </c>
      <c r="W940" s="632">
        <v>0</v>
      </c>
      <c r="X940" s="632">
        <v>0</v>
      </c>
    </row>
    <row r="941" spans="1:24" ht="22.5">
      <c r="A941" s="645">
        <v>923</v>
      </c>
      <c r="B941" s="643" t="s">
        <v>1349</v>
      </c>
      <c r="C941" s="645" t="s">
        <v>443</v>
      </c>
      <c r="D941" s="645" t="s">
        <v>1345</v>
      </c>
      <c r="E941" s="645" t="s">
        <v>886</v>
      </c>
      <c r="F941" s="645" t="s">
        <v>1114</v>
      </c>
      <c r="G941" s="645" t="s">
        <v>777</v>
      </c>
      <c r="H941" s="644">
        <v>0</v>
      </c>
      <c r="I941" s="644">
        <v>35800000</v>
      </c>
      <c r="J941" s="644">
        <v>35800000</v>
      </c>
      <c r="K941" s="644">
        <v>0</v>
      </c>
      <c r="L941" s="644">
        <v>0</v>
      </c>
      <c r="M941" s="644">
        <v>-35800000</v>
      </c>
      <c r="N941" s="644">
        <v>0</v>
      </c>
      <c r="O941" s="644">
        <v>0</v>
      </c>
      <c r="P941" s="644">
        <v>0</v>
      </c>
      <c r="Q941" s="644">
        <v>0</v>
      </c>
      <c r="R941" s="644">
        <v>0</v>
      </c>
      <c r="S941" s="644">
        <v>0</v>
      </c>
      <c r="T941" s="644">
        <v>0</v>
      </c>
      <c r="U941" s="644">
        <v>0</v>
      </c>
      <c r="V941" s="644">
        <v>0</v>
      </c>
      <c r="W941" s="632">
        <v>0</v>
      </c>
      <c r="X941" s="632">
        <v>0</v>
      </c>
    </row>
    <row r="942" spans="1:24" ht="22.5">
      <c r="A942" s="645">
        <v>924</v>
      </c>
      <c r="B942" s="643" t="s">
        <v>1349</v>
      </c>
      <c r="C942" s="645" t="s">
        <v>443</v>
      </c>
      <c r="D942" s="645" t="s">
        <v>1345</v>
      </c>
      <c r="E942" s="645" t="s">
        <v>1115</v>
      </c>
      <c r="F942" s="645" t="s">
        <v>1114</v>
      </c>
      <c r="G942" s="645" t="s">
        <v>777</v>
      </c>
      <c r="H942" s="644">
        <v>15000000</v>
      </c>
      <c r="I942" s="644">
        <v>0</v>
      </c>
      <c r="J942" s="644">
        <v>0</v>
      </c>
      <c r="K942" s="644">
        <v>0</v>
      </c>
      <c r="L942" s="644">
        <v>0</v>
      </c>
      <c r="M942" s="644">
        <v>0</v>
      </c>
      <c r="N942" s="644">
        <v>15000000</v>
      </c>
      <c r="O942" s="644">
        <v>0</v>
      </c>
      <c r="P942" s="644">
        <v>0</v>
      </c>
      <c r="Q942" s="644">
        <v>0</v>
      </c>
      <c r="R942" s="644">
        <v>0</v>
      </c>
      <c r="S942" s="644">
        <v>15000000</v>
      </c>
      <c r="T942" s="644">
        <v>15000000</v>
      </c>
      <c r="U942" s="644">
        <v>0</v>
      </c>
      <c r="V942" s="644">
        <v>0</v>
      </c>
      <c r="W942" s="632">
        <v>0</v>
      </c>
      <c r="X942" s="632">
        <v>54267997</v>
      </c>
    </row>
    <row r="943" spans="1:24" ht="22.5">
      <c r="A943" s="645">
        <v>925</v>
      </c>
      <c r="B943" s="643" t="s">
        <v>1350</v>
      </c>
      <c r="C943" s="645" t="s">
        <v>443</v>
      </c>
      <c r="D943" s="645" t="s">
        <v>1345</v>
      </c>
      <c r="E943" s="645" t="s">
        <v>905</v>
      </c>
      <c r="F943" s="645" t="s">
        <v>1114</v>
      </c>
      <c r="G943" s="645" t="s">
        <v>777</v>
      </c>
      <c r="H943" s="644">
        <v>0</v>
      </c>
      <c r="I943" s="644">
        <v>63355382</v>
      </c>
      <c r="J943" s="644">
        <v>63355382</v>
      </c>
      <c r="K943" s="644">
        <v>0</v>
      </c>
      <c r="L943" s="644">
        <v>0</v>
      </c>
      <c r="M943" s="644">
        <v>-63355382</v>
      </c>
      <c r="N943" s="644">
        <v>0</v>
      </c>
      <c r="O943" s="644">
        <v>0</v>
      </c>
      <c r="P943" s="644">
        <v>0</v>
      </c>
      <c r="Q943" s="644">
        <v>0</v>
      </c>
      <c r="R943" s="644">
        <v>0</v>
      </c>
      <c r="S943" s="644">
        <v>0</v>
      </c>
      <c r="T943" s="644">
        <v>0</v>
      </c>
      <c r="U943" s="644">
        <v>0</v>
      </c>
      <c r="V943" s="644">
        <v>0</v>
      </c>
      <c r="W943" s="632">
        <v>0</v>
      </c>
      <c r="X943" s="632">
        <v>0</v>
      </c>
    </row>
    <row r="944" spans="1:24" ht="22.5">
      <c r="A944" s="645">
        <v>926</v>
      </c>
      <c r="B944" s="643" t="s">
        <v>1350</v>
      </c>
      <c r="C944" s="645" t="s">
        <v>443</v>
      </c>
      <c r="D944" s="645" t="s">
        <v>1345</v>
      </c>
      <c r="E944" s="645" t="s">
        <v>1115</v>
      </c>
      <c r="F944" s="645" t="s">
        <v>1114</v>
      </c>
      <c r="G944" s="645" t="s">
        <v>777</v>
      </c>
      <c r="H944" s="644">
        <v>24000000</v>
      </c>
      <c r="I944" s="644">
        <v>0</v>
      </c>
      <c r="J944" s="644">
        <v>0</v>
      </c>
      <c r="K944" s="644">
        <v>0</v>
      </c>
      <c r="L944" s="644">
        <v>0</v>
      </c>
      <c r="M944" s="644">
        <v>0</v>
      </c>
      <c r="N944" s="644">
        <v>24000000</v>
      </c>
      <c r="O944" s="644">
        <v>0</v>
      </c>
      <c r="P944" s="644">
        <v>24000000</v>
      </c>
      <c r="Q944" s="644">
        <v>24000000</v>
      </c>
      <c r="R944" s="644">
        <v>0</v>
      </c>
      <c r="S944" s="644">
        <v>0</v>
      </c>
      <c r="T944" s="644">
        <v>0</v>
      </c>
      <c r="U944" s="644">
        <v>0</v>
      </c>
      <c r="V944" s="644">
        <v>0</v>
      </c>
      <c r="W944" s="632">
        <v>0</v>
      </c>
      <c r="X944" s="632">
        <v>0</v>
      </c>
    </row>
    <row r="945" spans="1:24">
      <c r="A945" s="645">
        <v>927</v>
      </c>
      <c r="B945" s="643" t="s">
        <v>1126</v>
      </c>
      <c r="C945" s="645" t="s">
        <v>445</v>
      </c>
      <c r="D945" s="645" t="s">
        <v>1127</v>
      </c>
      <c r="E945" s="645" t="s">
        <v>890</v>
      </c>
      <c r="F945" s="645" t="s">
        <v>1114</v>
      </c>
      <c r="G945" s="645" t="s">
        <v>777</v>
      </c>
      <c r="H945" s="644">
        <v>466150000</v>
      </c>
      <c r="I945" s="644">
        <v>0</v>
      </c>
      <c r="J945" s="644">
        <v>0</v>
      </c>
      <c r="K945" s="644">
        <v>0</v>
      </c>
      <c r="L945" s="644">
        <v>0</v>
      </c>
      <c r="M945" s="644">
        <v>0</v>
      </c>
      <c r="N945" s="644">
        <v>466150000</v>
      </c>
      <c r="O945" s="644">
        <v>0</v>
      </c>
      <c r="P945" s="644">
        <v>0</v>
      </c>
      <c r="Q945" s="644">
        <v>0</v>
      </c>
      <c r="R945" s="644">
        <v>0</v>
      </c>
      <c r="S945" s="644">
        <v>466150000</v>
      </c>
      <c r="T945" s="644">
        <v>466150000</v>
      </c>
      <c r="U945" s="644"/>
      <c r="V945" s="644">
        <v>0</v>
      </c>
      <c r="W945" s="632">
        <v>0</v>
      </c>
      <c r="X945" s="632">
        <v>0</v>
      </c>
    </row>
    <row r="946" spans="1:24">
      <c r="A946" s="645">
        <v>928</v>
      </c>
      <c r="B946" s="643" t="s">
        <v>1140</v>
      </c>
      <c r="C946" s="645" t="s">
        <v>445</v>
      </c>
      <c r="D946" s="645" t="s">
        <v>1127</v>
      </c>
      <c r="E946" s="645" t="s">
        <v>889</v>
      </c>
      <c r="F946" s="645" t="s">
        <v>1114</v>
      </c>
      <c r="G946" s="645" t="s">
        <v>777</v>
      </c>
      <c r="H946" s="644">
        <v>136500000</v>
      </c>
      <c r="I946" s="644">
        <v>0</v>
      </c>
      <c r="J946" s="644">
        <v>0</v>
      </c>
      <c r="K946" s="644">
        <v>0</v>
      </c>
      <c r="L946" s="644">
        <v>0</v>
      </c>
      <c r="M946" s="644">
        <v>0</v>
      </c>
      <c r="N946" s="644">
        <v>136500000</v>
      </c>
      <c r="O946" s="644">
        <v>0</v>
      </c>
      <c r="P946" s="644">
        <v>92769500</v>
      </c>
      <c r="Q946" s="644">
        <v>92769500</v>
      </c>
      <c r="R946" s="644">
        <v>0</v>
      </c>
      <c r="S946" s="644">
        <v>0</v>
      </c>
      <c r="T946" s="644">
        <v>0</v>
      </c>
      <c r="U946" s="644">
        <v>0</v>
      </c>
      <c r="V946" s="644">
        <v>0</v>
      </c>
      <c r="W946" s="632">
        <v>0</v>
      </c>
      <c r="X946" s="632">
        <v>670000</v>
      </c>
    </row>
    <row r="947" spans="1:24">
      <c r="A947" s="645">
        <v>929</v>
      </c>
      <c r="B947" s="643" t="s">
        <v>1140</v>
      </c>
      <c r="C947" s="645" t="s">
        <v>445</v>
      </c>
      <c r="D947" s="645" t="s">
        <v>1127</v>
      </c>
      <c r="E947" s="645" t="s">
        <v>892</v>
      </c>
      <c r="F947" s="645" t="s">
        <v>1114</v>
      </c>
      <c r="G947" s="645" t="s">
        <v>777</v>
      </c>
      <c r="H947" s="644">
        <v>140550000</v>
      </c>
      <c r="I947" s="644">
        <v>0</v>
      </c>
      <c r="J947" s="644">
        <v>0</v>
      </c>
      <c r="K947" s="644">
        <v>0</v>
      </c>
      <c r="L947" s="644">
        <v>0</v>
      </c>
      <c r="M947" s="644">
        <v>0</v>
      </c>
      <c r="N947" s="644">
        <v>140550000</v>
      </c>
      <c r="O947" s="644">
        <v>0</v>
      </c>
      <c r="P947" s="644">
        <v>113791000</v>
      </c>
      <c r="Q947" s="644">
        <v>113791000</v>
      </c>
      <c r="R947" s="644">
        <v>0</v>
      </c>
      <c r="S947" s="644">
        <v>0</v>
      </c>
      <c r="T947" s="644">
        <v>0</v>
      </c>
      <c r="U947" s="644">
        <v>0</v>
      </c>
      <c r="V947" s="644">
        <v>0</v>
      </c>
      <c r="W947" s="632">
        <v>0</v>
      </c>
      <c r="X947" s="632">
        <v>0</v>
      </c>
    </row>
    <row r="948" spans="1:24" ht="22.5">
      <c r="A948" s="645">
        <v>930</v>
      </c>
      <c r="B948" s="643" t="s">
        <v>1143</v>
      </c>
      <c r="C948" s="645" t="s">
        <v>445</v>
      </c>
      <c r="D948" s="645" t="s">
        <v>1127</v>
      </c>
      <c r="E948" s="645" t="s">
        <v>889</v>
      </c>
      <c r="F948" s="645" t="s">
        <v>1114</v>
      </c>
      <c r="G948" s="645" t="s">
        <v>777</v>
      </c>
      <c r="H948" s="644">
        <v>160577000</v>
      </c>
      <c r="I948" s="644">
        <v>0</v>
      </c>
      <c r="J948" s="644">
        <v>0</v>
      </c>
      <c r="K948" s="644">
        <v>0</v>
      </c>
      <c r="L948" s="644">
        <v>0</v>
      </c>
      <c r="M948" s="644">
        <v>0</v>
      </c>
      <c r="N948" s="644">
        <v>160577000</v>
      </c>
      <c r="O948" s="644">
        <v>0</v>
      </c>
      <c r="P948" s="644">
        <v>132629780</v>
      </c>
      <c r="Q948" s="644">
        <v>132629780</v>
      </c>
      <c r="R948" s="644">
        <v>0</v>
      </c>
      <c r="S948" s="644">
        <v>0</v>
      </c>
      <c r="T948" s="644">
        <v>0</v>
      </c>
      <c r="U948" s="644">
        <v>0</v>
      </c>
      <c r="V948" s="644">
        <v>0</v>
      </c>
      <c r="W948" s="632">
        <v>0</v>
      </c>
      <c r="X948" s="632">
        <v>0</v>
      </c>
    </row>
    <row r="949" spans="1:24" ht="22.5">
      <c r="A949" s="645">
        <v>931</v>
      </c>
      <c r="B949" s="643" t="s">
        <v>1152</v>
      </c>
      <c r="C949" s="645" t="s">
        <v>445</v>
      </c>
      <c r="D949" s="645" t="s">
        <v>1127</v>
      </c>
      <c r="E949" s="645" t="s">
        <v>891</v>
      </c>
      <c r="F949" s="645" t="s">
        <v>1114</v>
      </c>
      <c r="G949" s="645" t="s">
        <v>777</v>
      </c>
      <c r="H949" s="644">
        <v>50556000</v>
      </c>
      <c r="I949" s="644">
        <v>0</v>
      </c>
      <c r="J949" s="644">
        <v>0</v>
      </c>
      <c r="K949" s="644">
        <v>0</v>
      </c>
      <c r="L949" s="644">
        <v>0</v>
      </c>
      <c r="M949" s="644">
        <v>0</v>
      </c>
      <c r="N949" s="644">
        <v>50556000</v>
      </c>
      <c r="O949" s="644">
        <v>0</v>
      </c>
      <c r="P949" s="644">
        <v>50556000</v>
      </c>
      <c r="Q949" s="644">
        <v>50556000</v>
      </c>
      <c r="R949" s="644">
        <v>0</v>
      </c>
      <c r="S949" s="644">
        <v>0</v>
      </c>
      <c r="T949" s="644">
        <v>0</v>
      </c>
      <c r="U949" s="644">
        <v>0</v>
      </c>
      <c r="V949" s="644">
        <v>0</v>
      </c>
      <c r="W949" s="632">
        <v>0</v>
      </c>
      <c r="X949" s="632">
        <v>0</v>
      </c>
    </row>
    <row r="950" spans="1:24" ht="22.5">
      <c r="A950" s="645">
        <v>932</v>
      </c>
      <c r="B950" s="643" t="s">
        <v>1157</v>
      </c>
      <c r="C950" s="645" t="s">
        <v>445</v>
      </c>
      <c r="D950" s="645" t="s">
        <v>1158</v>
      </c>
      <c r="E950" s="645" t="s">
        <v>905</v>
      </c>
      <c r="F950" s="645" t="s">
        <v>1114</v>
      </c>
      <c r="G950" s="645" t="s">
        <v>777</v>
      </c>
      <c r="H950" s="644">
        <v>632610000</v>
      </c>
      <c r="I950" s="644">
        <v>0</v>
      </c>
      <c r="J950" s="644">
        <v>0</v>
      </c>
      <c r="K950" s="644">
        <v>0</v>
      </c>
      <c r="L950" s="644">
        <v>0</v>
      </c>
      <c r="M950" s="644">
        <v>0</v>
      </c>
      <c r="N950" s="644">
        <v>632610000</v>
      </c>
      <c r="O950" s="644">
        <v>0</v>
      </c>
      <c r="P950" s="644">
        <v>513754008</v>
      </c>
      <c r="Q950" s="644">
        <v>513754008</v>
      </c>
      <c r="R950" s="644">
        <v>0</v>
      </c>
      <c r="S950" s="644">
        <v>0</v>
      </c>
      <c r="T950" s="644">
        <v>0</v>
      </c>
      <c r="U950" s="644">
        <v>0</v>
      </c>
      <c r="V950" s="644">
        <v>0</v>
      </c>
      <c r="W950" s="632">
        <v>0</v>
      </c>
      <c r="X950" s="632">
        <v>0</v>
      </c>
    </row>
    <row r="951" spans="1:24" ht="22.5">
      <c r="A951" s="645">
        <v>933</v>
      </c>
      <c r="B951" s="643" t="s">
        <v>1165</v>
      </c>
      <c r="C951" s="645" t="s">
        <v>445</v>
      </c>
      <c r="D951" s="645" t="s">
        <v>1164</v>
      </c>
      <c r="E951" s="645" t="s">
        <v>1116</v>
      </c>
      <c r="F951" s="645" t="s">
        <v>1114</v>
      </c>
      <c r="G951" s="645" t="s">
        <v>777</v>
      </c>
      <c r="H951" s="644">
        <v>23500000</v>
      </c>
      <c r="I951" s="644">
        <v>0</v>
      </c>
      <c r="J951" s="644">
        <v>0</v>
      </c>
      <c r="K951" s="644">
        <v>0</v>
      </c>
      <c r="L951" s="644">
        <v>0</v>
      </c>
      <c r="M951" s="644">
        <v>0</v>
      </c>
      <c r="N951" s="644">
        <v>23500000</v>
      </c>
      <c r="O951" s="644">
        <v>0</v>
      </c>
      <c r="P951" s="644">
        <v>23500000</v>
      </c>
      <c r="Q951" s="644">
        <v>23500000</v>
      </c>
      <c r="R951" s="644">
        <v>0</v>
      </c>
      <c r="S951" s="644">
        <v>0</v>
      </c>
      <c r="T951" s="644">
        <v>0</v>
      </c>
      <c r="U951" s="644">
        <v>0</v>
      </c>
      <c r="V951" s="644">
        <v>0</v>
      </c>
      <c r="W951" s="632">
        <v>0</v>
      </c>
      <c r="X951" s="632">
        <v>400000</v>
      </c>
    </row>
    <row r="952" spans="1:24">
      <c r="A952" s="645">
        <v>934</v>
      </c>
      <c r="B952" s="643" t="s">
        <v>1166</v>
      </c>
      <c r="C952" s="645" t="s">
        <v>445</v>
      </c>
      <c r="D952" s="645" t="s">
        <v>1164</v>
      </c>
      <c r="E952" s="645" t="s">
        <v>905</v>
      </c>
      <c r="F952" s="645" t="s">
        <v>1114</v>
      </c>
      <c r="G952" s="645" t="s">
        <v>777</v>
      </c>
      <c r="H952" s="644">
        <v>253542500</v>
      </c>
      <c r="I952" s="644">
        <v>3542500</v>
      </c>
      <c r="J952" s="644">
        <v>3542500</v>
      </c>
      <c r="K952" s="644">
        <v>0</v>
      </c>
      <c r="L952" s="644">
        <v>0</v>
      </c>
      <c r="M952" s="644">
        <v>0</v>
      </c>
      <c r="N952" s="644">
        <v>250000000</v>
      </c>
      <c r="O952" s="644">
        <v>0</v>
      </c>
      <c r="P952" s="644">
        <v>10350000</v>
      </c>
      <c r="Q952" s="644">
        <v>10350000</v>
      </c>
      <c r="R952" s="644">
        <v>0</v>
      </c>
      <c r="S952" s="644">
        <v>243150000</v>
      </c>
      <c r="T952" s="644">
        <v>243150000</v>
      </c>
      <c r="U952" s="644">
        <v>0</v>
      </c>
      <c r="V952" s="644">
        <v>0</v>
      </c>
      <c r="W952" s="632">
        <v>0</v>
      </c>
      <c r="X952" s="632">
        <v>3196600</v>
      </c>
    </row>
    <row r="953" spans="1:24">
      <c r="A953" s="645">
        <v>935</v>
      </c>
      <c r="B953" s="643" t="s">
        <v>1166</v>
      </c>
      <c r="C953" s="645" t="s">
        <v>445</v>
      </c>
      <c r="D953" s="645" t="s">
        <v>1164</v>
      </c>
      <c r="E953" s="645" t="s">
        <v>1116</v>
      </c>
      <c r="F953" s="645" t="s">
        <v>1114</v>
      </c>
      <c r="G953" s="645" t="s">
        <v>777</v>
      </c>
      <c r="H953" s="644">
        <v>2250000</v>
      </c>
      <c r="I953" s="644">
        <v>0</v>
      </c>
      <c r="J953" s="644">
        <v>0</v>
      </c>
      <c r="K953" s="644">
        <v>0</v>
      </c>
      <c r="L953" s="644">
        <v>0</v>
      </c>
      <c r="M953" s="644">
        <v>0</v>
      </c>
      <c r="N953" s="644">
        <v>2250000</v>
      </c>
      <c r="O953" s="644">
        <v>0</v>
      </c>
      <c r="P953" s="644">
        <v>1300000</v>
      </c>
      <c r="Q953" s="644">
        <v>1300000</v>
      </c>
      <c r="R953" s="644">
        <v>0</v>
      </c>
      <c r="S953" s="644">
        <v>950000</v>
      </c>
      <c r="T953" s="644">
        <v>950000</v>
      </c>
      <c r="U953" s="644">
        <v>0</v>
      </c>
      <c r="V953" s="644">
        <v>0</v>
      </c>
      <c r="W953" s="632">
        <v>0</v>
      </c>
      <c r="X953" s="632">
        <v>0</v>
      </c>
    </row>
    <row r="954" spans="1:24">
      <c r="A954" s="645">
        <v>936</v>
      </c>
      <c r="B954" s="643" t="s">
        <v>1174</v>
      </c>
      <c r="C954" s="645" t="s">
        <v>445</v>
      </c>
      <c r="D954" s="645" t="s">
        <v>1175</v>
      </c>
      <c r="E954" s="645" t="s">
        <v>905</v>
      </c>
      <c r="F954" s="645" t="s">
        <v>1114</v>
      </c>
      <c r="G954" s="645" t="s">
        <v>777</v>
      </c>
      <c r="H954" s="644">
        <v>1605600000</v>
      </c>
      <c r="I954" s="644">
        <v>0</v>
      </c>
      <c r="J954" s="644">
        <v>0</v>
      </c>
      <c r="K954" s="644">
        <v>0</v>
      </c>
      <c r="L954" s="644">
        <v>0</v>
      </c>
      <c r="M954" s="644">
        <v>0</v>
      </c>
      <c r="N954" s="644">
        <v>1605600000</v>
      </c>
      <c r="O954" s="644">
        <v>0</v>
      </c>
      <c r="P954" s="644">
        <v>1605600000</v>
      </c>
      <c r="Q954" s="644">
        <v>1605600000</v>
      </c>
      <c r="R954" s="644">
        <v>0</v>
      </c>
      <c r="S954" s="644">
        <v>0</v>
      </c>
      <c r="T954" s="644">
        <v>0</v>
      </c>
      <c r="U954" s="644">
        <v>0</v>
      </c>
      <c r="V954" s="644">
        <v>0</v>
      </c>
      <c r="W954" s="632">
        <v>0</v>
      </c>
      <c r="X954" s="632">
        <v>31559608</v>
      </c>
    </row>
    <row r="955" spans="1:24">
      <c r="A955" s="645">
        <v>937</v>
      </c>
      <c r="B955" s="643" t="s">
        <v>1177</v>
      </c>
      <c r="C955" s="645" t="s">
        <v>445</v>
      </c>
      <c r="D955" s="645" t="s">
        <v>1178</v>
      </c>
      <c r="E955" s="645" t="s">
        <v>905</v>
      </c>
      <c r="F955" s="645" t="s">
        <v>1114</v>
      </c>
      <c r="G955" s="645" t="s">
        <v>777</v>
      </c>
      <c r="H955" s="644">
        <v>55000000</v>
      </c>
      <c r="I955" s="644">
        <v>0</v>
      </c>
      <c r="J955" s="644">
        <v>0</v>
      </c>
      <c r="K955" s="644">
        <v>0</v>
      </c>
      <c r="L955" s="644">
        <v>0</v>
      </c>
      <c r="M955" s="644">
        <v>0</v>
      </c>
      <c r="N955" s="644">
        <v>55000000</v>
      </c>
      <c r="O955" s="644">
        <v>0</v>
      </c>
      <c r="P955" s="644">
        <v>0</v>
      </c>
      <c r="Q955" s="644">
        <v>0</v>
      </c>
      <c r="R955" s="644">
        <v>0</v>
      </c>
      <c r="S955" s="644">
        <v>55000000</v>
      </c>
      <c r="T955" s="644">
        <v>55000000</v>
      </c>
      <c r="U955" s="644">
        <v>0</v>
      </c>
      <c r="V955" s="644">
        <v>0</v>
      </c>
      <c r="W955" s="632">
        <v>0</v>
      </c>
      <c r="X955" s="632">
        <v>0</v>
      </c>
    </row>
    <row r="956" spans="1:24">
      <c r="A956" s="645">
        <v>938</v>
      </c>
      <c r="B956" s="643" t="s">
        <v>1177</v>
      </c>
      <c r="C956" s="645" t="s">
        <v>445</v>
      </c>
      <c r="D956" s="645" t="s">
        <v>1178</v>
      </c>
      <c r="E956" s="645" t="s">
        <v>1116</v>
      </c>
      <c r="F956" s="645" t="s">
        <v>1114</v>
      </c>
      <c r="G956" s="645" t="s">
        <v>777</v>
      </c>
      <c r="H956" s="644">
        <v>43784000</v>
      </c>
      <c r="I956" s="644">
        <v>0</v>
      </c>
      <c r="J956" s="644">
        <v>0</v>
      </c>
      <c r="K956" s="644">
        <v>0</v>
      </c>
      <c r="L956" s="644">
        <v>0</v>
      </c>
      <c r="M956" s="644">
        <v>0</v>
      </c>
      <c r="N956" s="644">
        <v>43784000</v>
      </c>
      <c r="O956" s="644">
        <v>0</v>
      </c>
      <c r="P956" s="644">
        <v>43784000</v>
      </c>
      <c r="Q956" s="644">
        <v>43784000</v>
      </c>
      <c r="R956" s="644">
        <v>0</v>
      </c>
      <c r="S956" s="644">
        <v>0</v>
      </c>
      <c r="T956" s="644">
        <v>0</v>
      </c>
      <c r="U956" s="644">
        <v>0</v>
      </c>
      <c r="V956" s="644">
        <v>0</v>
      </c>
      <c r="W956" s="632">
        <v>0</v>
      </c>
      <c r="X956" s="632">
        <v>0</v>
      </c>
    </row>
    <row r="957" spans="1:24" ht="22.5">
      <c r="A957" s="645">
        <v>939</v>
      </c>
      <c r="B957" s="643" t="s">
        <v>1375</v>
      </c>
      <c r="C957" s="645" t="s">
        <v>445</v>
      </c>
      <c r="D957" s="645" t="s">
        <v>1180</v>
      </c>
      <c r="E957" s="645" t="s">
        <v>895</v>
      </c>
      <c r="F957" s="645" t="s">
        <v>1114</v>
      </c>
      <c r="G957" s="645" t="s">
        <v>777</v>
      </c>
      <c r="H957" s="644">
        <v>78750000</v>
      </c>
      <c r="I957" s="644">
        <v>0</v>
      </c>
      <c r="J957" s="644">
        <v>0</v>
      </c>
      <c r="K957" s="644">
        <v>0</v>
      </c>
      <c r="L957" s="644">
        <v>0</v>
      </c>
      <c r="M957" s="644">
        <v>0</v>
      </c>
      <c r="N957" s="644">
        <v>78750000</v>
      </c>
      <c r="O957" s="644">
        <v>0</v>
      </c>
      <c r="P957" s="644">
        <v>78750000</v>
      </c>
      <c r="Q957" s="644">
        <v>78750000</v>
      </c>
      <c r="R957" s="644">
        <v>0</v>
      </c>
      <c r="S957" s="644">
        <v>0</v>
      </c>
      <c r="T957" s="644">
        <v>0</v>
      </c>
      <c r="U957" s="644">
        <v>0</v>
      </c>
      <c r="V957" s="644">
        <v>0</v>
      </c>
      <c r="W957" s="632">
        <v>0</v>
      </c>
      <c r="X957" s="632">
        <v>0</v>
      </c>
    </row>
    <row r="958" spans="1:24">
      <c r="A958" s="645">
        <v>940</v>
      </c>
      <c r="B958" s="643" t="s">
        <v>1182</v>
      </c>
      <c r="C958" s="645" t="s">
        <v>445</v>
      </c>
      <c r="D958" s="645" t="s">
        <v>1183</v>
      </c>
      <c r="E958" s="645" t="s">
        <v>1184</v>
      </c>
      <c r="F958" s="645" t="s">
        <v>1114</v>
      </c>
      <c r="G958" s="645" t="s">
        <v>777</v>
      </c>
      <c r="H958" s="644">
        <v>258020000</v>
      </c>
      <c r="I958" s="644">
        <v>0</v>
      </c>
      <c r="J958" s="644">
        <v>0</v>
      </c>
      <c r="K958" s="644">
        <v>0</v>
      </c>
      <c r="L958" s="644">
        <v>0</v>
      </c>
      <c r="M958" s="644">
        <v>0</v>
      </c>
      <c r="N958" s="644">
        <v>258020000</v>
      </c>
      <c r="O958" s="644">
        <v>0</v>
      </c>
      <c r="P958" s="644">
        <v>225822785</v>
      </c>
      <c r="Q958" s="644">
        <v>225822785</v>
      </c>
      <c r="R958" s="644">
        <v>0</v>
      </c>
      <c r="S958" s="644">
        <v>32197215</v>
      </c>
      <c r="T958" s="644">
        <v>32197215</v>
      </c>
      <c r="U958" s="644">
        <v>0</v>
      </c>
      <c r="V958" s="644">
        <v>0</v>
      </c>
      <c r="W958" s="632">
        <v>0</v>
      </c>
      <c r="X958" s="632">
        <v>0</v>
      </c>
    </row>
    <row r="959" spans="1:24" ht="22.5">
      <c r="A959" s="645">
        <v>941</v>
      </c>
      <c r="B959" s="643" t="s">
        <v>1222</v>
      </c>
      <c r="C959" s="645" t="s">
        <v>445</v>
      </c>
      <c r="D959" s="645" t="s">
        <v>1183</v>
      </c>
      <c r="E959" s="645" t="s">
        <v>1223</v>
      </c>
      <c r="F959" s="645" t="s">
        <v>1114</v>
      </c>
      <c r="G959" s="645" t="s">
        <v>777</v>
      </c>
      <c r="H959" s="644">
        <v>382128000</v>
      </c>
      <c r="I959" s="644">
        <v>0</v>
      </c>
      <c r="J959" s="644">
        <v>0</v>
      </c>
      <c r="K959" s="644">
        <v>0</v>
      </c>
      <c r="L959" s="644">
        <v>0</v>
      </c>
      <c r="M959" s="644">
        <v>0</v>
      </c>
      <c r="N959" s="644">
        <v>382128000</v>
      </c>
      <c r="O959" s="644">
        <v>0</v>
      </c>
      <c r="P959" s="644">
        <v>382128000</v>
      </c>
      <c r="Q959" s="644">
        <v>382128000</v>
      </c>
      <c r="R959" s="644">
        <v>0</v>
      </c>
      <c r="S959" s="644">
        <v>0</v>
      </c>
      <c r="T959" s="644">
        <v>0</v>
      </c>
      <c r="U959" s="644">
        <v>0</v>
      </c>
      <c r="V959" s="644">
        <v>0</v>
      </c>
      <c r="W959" s="632">
        <v>79000</v>
      </c>
      <c r="X959" s="632">
        <v>0</v>
      </c>
    </row>
    <row r="960" spans="1:24">
      <c r="A960" s="645">
        <v>942</v>
      </c>
      <c r="B960" s="643" t="s">
        <v>1238</v>
      </c>
      <c r="C960" s="645" t="s">
        <v>445</v>
      </c>
      <c r="D960" s="645" t="s">
        <v>1233</v>
      </c>
      <c r="E960" s="645" t="s">
        <v>678</v>
      </c>
      <c r="F960" s="645" t="s">
        <v>1114</v>
      </c>
      <c r="G960" s="645" t="s">
        <v>777</v>
      </c>
      <c r="H960" s="644">
        <v>10500000000</v>
      </c>
      <c r="I960" s="644">
        <v>0</v>
      </c>
      <c r="J960" s="644">
        <v>0</v>
      </c>
      <c r="K960" s="644">
        <v>0</v>
      </c>
      <c r="L960" s="644">
        <v>0</v>
      </c>
      <c r="M960" s="644">
        <v>0</v>
      </c>
      <c r="N960" s="644">
        <v>10500000000</v>
      </c>
      <c r="O960" s="644">
        <v>0</v>
      </c>
      <c r="P960" s="644">
        <v>0</v>
      </c>
      <c r="Q960" s="644">
        <v>0</v>
      </c>
      <c r="R960" s="644">
        <v>0</v>
      </c>
      <c r="S960" s="644">
        <v>10500000000</v>
      </c>
      <c r="T960" s="644">
        <v>10500000000</v>
      </c>
      <c r="U960" s="644">
        <v>0</v>
      </c>
      <c r="V960" s="644">
        <v>0</v>
      </c>
      <c r="W960" s="632">
        <v>0</v>
      </c>
      <c r="X960" s="632">
        <v>0</v>
      </c>
    </row>
    <row r="961" spans="1:24" ht="22.5">
      <c r="A961" s="645">
        <v>943</v>
      </c>
      <c r="B961" s="643" t="s">
        <v>1251</v>
      </c>
      <c r="C961" s="645" t="s">
        <v>445</v>
      </c>
      <c r="D961" s="645" t="s">
        <v>1252</v>
      </c>
      <c r="E961" s="645" t="s">
        <v>1115</v>
      </c>
      <c r="F961" s="645" t="s">
        <v>1114</v>
      </c>
      <c r="G961" s="645" t="s">
        <v>777</v>
      </c>
      <c r="H961" s="644">
        <v>350000000</v>
      </c>
      <c r="I961" s="644">
        <v>350000000</v>
      </c>
      <c r="J961" s="644">
        <v>350000000</v>
      </c>
      <c r="K961" s="644">
        <v>0</v>
      </c>
      <c r="L961" s="644">
        <v>0</v>
      </c>
      <c r="M961" s="644">
        <v>0</v>
      </c>
      <c r="N961" s="644">
        <v>0</v>
      </c>
      <c r="O961" s="644">
        <v>0</v>
      </c>
      <c r="P961" s="644">
        <v>350000000</v>
      </c>
      <c r="Q961" s="644">
        <v>350000000</v>
      </c>
      <c r="R961" s="644">
        <v>0</v>
      </c>
      <c r="S961" s="644">
        <v>0</v>
      </c>
      <c r="T961" s="644">
        <v>0</v>
      </c>
      <c r="U961" s="644">
        <v>0</v>
      </c>
      <c r="V961" s="644">
        <v>0</v>
      </c>
      <c r="W961" s="632">
        <v>0</v>
      </c>
      <c r="X961" s="632">
        <v>0</v>
      </c>
    </row>
    <row r="962" spans="1:24" ht="22.5">
      <c r="A962" s="645">
        <v>944</v>
      </c>
      <c r="B962" s="643" t="s">
        <v>1254</v>
      </c>
      <c r="C962" s="645" t="s">
        <v>445</v>
      </c>
      <c r="D962" s="645" t="s">
        <v>1252</v>
      </c>
      <c r="E962" s="645" t="s">
        <v>1115</v>
      </c>
      <c r="F962" s="645" t="s">
        <v>1114</v>
      </c>
      <c r="G962" s="645" t="s">
        <v>777</v>
      </c>
      <c r="H962" s="644">
        <v>607500000</v>
      </c>
      <c r="I962" s="644">
        <v>0</v>
      </c>
      <c r="J962" s="644">
        <v>0</v>
      </c>
      <c r="K962" s="644">
        <v>0</v>
      </c>
      <c r="L962" s="644">
        <v>0</v>
      </c>
      <c r="M962" s="644">
        <v>0</v>
      </c>
      <c r="N962" s="644">
        <v>607500000</v>
      </c>
      <c r="O962" s="644">
        <v>0</v>
      </c>
      <c r="P962" s="644">
        <v>0</v>
      </c>
      <c r="Q962" s="644">
        <v>0</v>
      </c>
      <c r="R962" s="644">
        <v>0</v>
      </c>
      <c r="S962" s="644">
        <v>607500000</v>
      </c>
      <c r="T962" s="644">
        <v>607500000</v>
      </c>
      <c r="U962" s="644">
        <v>0</v>
      </c>
      <c r="V962" s="644">
        <v>0</v>
      </c>
      <c r="W962" s="632">
        <v>0</v>
      </c>
      <c r="X962" s="632">
        <v>0</v>
      </c>
    </row>
    <row r="963" spans="1:24" ht="22.5">
      <c r="A963" s="645">
        <v>945</v>
      </c>
      <c r="B963" s="643" t="s">
        <v>1256</v>
      </c>
      <c r="C963" s="645" t="s">
        <v>445</v>
      </c>
      <c r="D963" s="645" t="s">
        <v>1252</v>
      </c>
      <c r="E963" s="645" t="s">
        <v>1115</v>
      </c>
      <c r="F963" s="645" t="s">
        <v>1114</v>
      </c>
      <c r="G963" s="645" t="s">
        <v>777</v>
      </c>
      <c r="H963" s="644">
        <v>585984000</v>
      </c>
      <c r="I963" s="644">
        <v>0</v>
      </c>
      <c r="J963" s="644">
        <v>0</v>
      </c>
      <c r="K963" s="644">
        <v>0</v>
      </c>
      <c r="L963" s="644">
        <v>0</v>
      </c>
      <c r="M963" s="644">
        <v>0</v>
      </c>
      <c r="N963" s="644">
        <v>585984000</v>
      </c>
      <c r="O963" s="644">
        <v>0</v>
      </c>
      <c r="P963" s="644">
        <v>585984000</v>
      </c>
      <c r="Q963" s="644">
        <v>585984000</v>
      </c>
      <c r="R963" s="644">
        <v>0</v>
      </c>
      <c r="S963" s="644">
        <v>0</v>
      </c>
      <c r="T963" s="644">
        <v>0</v>
      </c>
      <c r="U963" s="644">
        <v>0</v>
      </c>
      <c r="V963" s="644">
        <v>0</v>
      </c>
      <c r="W963" s="632">
        <v>0</v>
      </c>
      <c r="X963" s="632">
        <v>0</v>
      </c>
    </row>
    <row r="964" spans="1:24" ht="22.5">
      <c r="A964" s="645">
        <v>946</v>
      </c>
      <c r="B964" s="643" t="s">
        <v>1257</v>
      </c>
      <c r="C964" s="645" t="s">
        <v>445</v>
      </c>
      <c r="D964" s="645" t="s">
        <v>1252</v>
      </c>
      <c r="E964" s="645" t="s">
        <v>1115</v>
      </c>
      <c r="F964" s="645" t="s">
        <v>1114</v>
      </c>
      <c r="G964" s="645" t="s">
        <v>777</v>
      </c>
      <c r="H964" s="644">
        <v>2531793000</v>
      </c>
      <c r="I964" s="644">
        <v>407100000</v>
      </c>
      <c r="J964" s="644">
        <v>407100000</v>
      </c>
      <c r="K964" s="644">
        <v>0</v>
      </c>
      <c r="L964" s="644">
        <v>0</v>
      </c>
      <c r="M964" s="644">
        <v>0</v>
      </c>
      <c r="N964" s="644">
        <v>2124693000</v>
      </c>
      <c r="O964" s="644">
        <v>0</v>
      </c>
      <c r="P964" s="644">
        <v>2349742268</v>
      </c>
      <c r="Q964" s="644">
        <v>2349742268</v>
      </c>
      <c r="R964" s="644">
        <v>0</v>
      </c>
      <c r="S964" s="644">
        <v>182050732</v>
      </c>
      <c r="T964" s="644">
        <v>182050732</v>
      </c>
      <c r="U964" s="644">
        <v>0</v>
      </c>
      <c r="V964" s="644">
        <v>0</v>
      </c>
      <c r="W964" s="632">
        <v>0</v>
      </c>
      <c r="X964" s="632">
        <v>0</v>
      </c>
    </row>
    <row r="965" spans="1:24" ht="22.5">
      <c r="A965" s="645">
        <v>947</v>
      </c>
      <c r="B965" s="643" t="s">
        <v>1257</v>
      </c>
      <c r="C965" s="645" t="s">
        <v>445</v>
      </c>
      <c r="D965" s="645" t="s">
        <v>1252</v>
      </c>
      <c r="E965" s="645" t="s">
        <v>710</v>
      </c>
      <c r="F965" s="645" t="s">
        <v>1376</v>
      </c>
      <c r="G965" s="645" t="s">
        <v>777</v>
      </c>
      <c r="H965" s="644">
        <v>600000000</v>
      </c>
      <c r="I965" s="644">
        <v>0</v>
      </c>
      <c r="J965" s="644">
        <v>0</v>
      </c>
      <c r="K965" s="644">
        <v>0</v>
      </c>
      <c r="L965" s="644">
        <v>0</v>
      </c>
      <c r="M965" s="644">
        <v>0</v>
      </c>
      <c r="N965" s="644">
        <v>600000000</v>
      </c>
      <c r="O965" s="644">
        <v>0</v>
      </c>
      <c r="P965" s="644">
        <v>0</v>
      </c>
      <c r="Q965" s="644">
        <v>0</v>
      </c>
      <c r="R965" s="644">
        <v>0</v>
      </c>
      <c r="S965" s="644">
        <v>600000000</v>
      </c>
      <c r="T965" s="644">
        <v>600000000</v>
      </c>
      <c r="U965" s="644">
        <v>0</v>
      </c>
      <c r="V965" s="644">
        <v>0</v>
      </c>
      <c r="W965" s="632">
        <v>0</v>
      </c>
      <c r="X965" s="632">
        <v>0</v>
      </c>
    </row>
    <row r="966" spans="1:24">
      <c r="A966" s="645">
        <v>948</v>
      </c>
      <c r="B966" s="643" t="s">
        <v>1266</v>
      </c>
      <c r="C966" s="645" t="s">
        <v>445</v>
      </c>
      <c r="D966" s="645" t="s">
        <v>1267</v>
      </c>
      <c r="E966" s="645" t="s">
        <v>700</v>
      </c>
      <c r="F966" s="645" t="s">
        <v>1114</v>
      </c>
      <c r="G966" s="645" t="s">
        <v>777</v>
      </c>
      <c r="H966" s="644">
        <v>56720000</v>
      </c>
      <c r="I966" s="644">
        <v>0</v>
      </c>
      <c r="J966" s="644">
        <v>0</v>
      </c>
      <c r="K966" s="644">
        <v>0</v>
      </c>
      <c r="L966" s="644">
        <v>0</v>
      </c>
      <c r="M966" s="644">
        <v>0</v>
      </c>
      <c r="N966" s="644">
        <v>56720000</v>
      </c>
      <c r="O966" s="644">
        <v>0</v>
      </c>
      <c r="P966" s="644">
        <v>26160000</v>
      </c>
      <c r="Q966" s="644">
        <v>26160000</v>
      </c>
      <c r="R966" s="644">
        <v>0</v>
      </c>
      <c r="S966" s="644">
        <v>30560000</v>
      </c>
      <c r="T966" s="644">
        <v>30560000</v>
      </c>
      <c r="U966" s="644">
        <v>0</v>
      </c>
      <c r="V966" s="644">
        <v>0</v>
      </c>
      <c r="W966" s="632">
        <v>0</v>
      </c>
      <c r="X966" s="632">
        <v>14534000</v>
      </c>
    </row>
    <row r="967" spans="1:24" ht="22.5">
      <c r="A967" s="645">
        <v>949</v>
      </c>
      <c r="B967" s="643" t="s">
        <v>1273</v>
      </c>
      <c r="C967" s="645" t="s">
        <v>445</v>
      </c>
      <c r="D967" s="645" t="s">
        <v>1267</v>
      </c>
      <c r="E967" s="645" t="s">
        <v>700</v>
      </c>
      <c r="F967" s="645" t="s">
        <v>1114</v>
      </c>
      <c r="G967" s="645" t="s">
        <v>777</v>
      </c>
      <c r="H967" s="644">
        <v>89050000</v>
      </c>
      <c r="I967" s="644">
        <v>0</v>
      </c>
      <c r="J967" s="644">
        <v>0</v>
      </c>
      <c r="K967" s="644">
        <v>0</v>
      </c>
      <c r="L967" s="644">
        <v>0</v>
      </c>
      <c r="M967" s="644">
        <v>0</v>
      </c>
      <c r="N967" s="644">
        <v>89050000</v>
      </c>
      <c r="O967" s="644">
        <v>0</v>
      </c>
      <c r="P967" s="644">
        <v>0</v>
      </c>
      <c r="Q967" s="644">
        <v>0</v>
      </c>
      <c r="R967" s="644">
        <v>0</v>
      </c>
      <c r="S967" s="644">
        <v>89050000</v>
      </c>
      <c r="T967" s="644">
        <v>89050000</v>
      </c>
      <c r="U967" s="644">
        <v>0</v>
      </c>
      <c r="V967" s="644">
        <v>0</v>
      </c>
      <c r="W967" s="632">
        <v>0</v>
      </c>
      <c r="X967" s="632">
        <v>0</v>
      </c>
    </row>
    <row r="968" spans="1:24">
      <c r="A968" s="645">
        <v>950</v>
      </c>
      <c r="B968" s="643" t="s">
        <v>1276</v>
      </c>
      <c r="C968" s="645" t="s">
        <v>445</v>
      </c>
      <c r="D968" s="645" t="s">
        <v>1267</v>
      </c>
      <c r="E968" s="645" t="s">
        <v>886</v>
      </c>
      <c r="F968" s="645" t="s">
        <v>1114</v>
      </c>
      <c r="G968" s="645" t="s">
        <v>777</v>
      </c>
      <c r="H968" s="644">
        <v>402235000</v>
      </c>
      <c r="I968" s="644">
        <v>0</v>
      </c>
      <c r="J968" s="644">
        <v>0</v>
      </c>
      <c r="K968" s="644">
        <v>0</v>
      </c>
      <c r="L968" s="644">
        <v>0</v>
      </c>
      <c r="M968" s="644">
        <v>0</v>
      </c>
      <c r="N968" s="644">
        <v>402235000</v>
      </c>
      <c r="O968" s="644">
        <v>0</v>
      </c>
      <c r="P968" s="644">
        <v>354950000</v>
      </c>
      <c r="Q968" s="644">
        <v>354950000</v>
      </c>
      <c r="R968" s="644">
        <v>0</v>
      </c>
      <c r="S968" s="644">
        <v>47285000</v>
      </c>
      <c r="T968" s="644">
        <v>47285000</v>
      </c>
      <c r="U968" s="644">
        <v>0</v>
      </c>
      <c r="V968" s="644">
        <v>0</v>
      </c>
      <c r="W968" s="632">
        <v>0</v>
      </c>
      <c r="X968" s="632">
        <v>0</v>
      </c>
    </row>
    <row r="969" spans="1:24" ht="22.5">
      <c r="A969" s="645">
        <v>951</v>
      </c>
      <c r="B969" s="643" t="s">
        <v>1278</v>
      </c>
      <c r="C969" s="645" t="s">
        <v>445</v>
      </c>
      <c r="D969" s="645" t="s">
        <v>1279</v>
      </c>
      <c r="E969" s="645" t="s">
        <v>903</v>
      </c>
      <c r="F969" s="645" t="s">
        <v>1114</v>
      </c>
      <c r="G969" s="645" t="s">
        <v>777</v>
      </c>
      <c r="H969" s="644">
        <v>10855000000</v>
      </c>
      <c r="I969" s="644">
        <v>0</v>
      </c>
      <c r="J969" s="644">
        <v>0</v>
      </c>
      <c r="K969" s="644">
        <v>0</v>
      </c>
      <c r="L969" s="644">
        <v>0</v>
      </c>
      <c r="M969" s="644">
        <v>0</v>
      </c>
      <c r="N969" s="644">
        <v>10855000000</v>
      </c>
      <c r="O969" s="644">
        <v>0</v>
      </c>
      <c r="P969" s="644">
        <v>8615500944</v>
      </c>
      <c r="Q969" s="644">
        <v>8615500944</v>
      </c>
      <c r="R969" s="644">
        <v>0</v>
      </c>
      <c r="S969" s="644">
        <v>2239499056</v>
      </c>
      <c r="T969" s="644">
        <v>2239499056</v>
      </c>
      <c r="U969" s="644">
        <v>0</v>
      </c>
      <c r="V969" s="644">
        <v>0</v>
      </c>
      <c r="W969" s="632">
        <v>0</v>
      </c>
      <c r="X969" s="632">
        <v>0</v>
      </c>
    </row>
    <row r="970" spans="1:24" ht="22.5">
      <c r="A970" s="645">
        <v>952</v>
      </c>
      <c r="B970" s="643" t="s">
        <v>1278</v>
      </c>
      <c r="C970" s="645" t="s">
        <v>445</v>
      </c>
      <c r="D970" s="645" t="s">
        <v>1279</v>
      </c>
      <c r="E970" s="645" t="s">
        <v>887</v>
      </c>
      <c r="F970" s="645" t="s">
        <v>1377</v>
      </c>
      <c r="G970" s="645" t="s">
        <v>777</v>
      </c>
      <c r="H970" s="644">
        <v>700000000</v>
      </c>
      <c r="I970" s="644">
        <v>0</v>
      </c>
      <c r="J970" s="644">
        <v>0</v>
      </c>
      <c r="K970" s="644">
        <v>0</v>
      </c>
      <c r="L970" s="644">
        <v>0</v>
      </c>
      <c r="M970" s="644">
        <v>0</v>
      </c>
      <c r="N970" s="644">
        <v>700000000</v>
      </c>
      <c r="O970" s="644">
        <v>0</v>
      </c>
      <c r="P970" s="644">
        <v>0</v>
      </c>
      <c r="Q970" s="644">
        <v>0</v>
      </c>
      <c r="R970" s="644">
        <v>0</v>
      </c>
      <c r="S970" s="644">
        <v>700000000</v>
      </c>
      <c r="T970" s="644">
        <v>700000000</v>
      </c>
      <c r="U970" s="644">
        <v>0</v>
      </c>
      <c r="V970" s="644">
        <v>0</v>
      </c>
      <c r="W970" s="632">
        <v>0</v>
      </c>
      <c r="X970" s="632">
        <v>0</v>
      </c>
    </row>
    <row r="971" spans="1:24" ht="22.5">
      <c r="A971" s="645">
        <v>953</v>
      </c>
      <c r="B971" s="643" t="s">
        <v>1284</v>
      </c>
      <c r="C971" s="645" t="s">
        <v>445</v>
      </c>
      <c r="D971" s="645" t="s">
        <v>1285</v>
      </c>
      <c r="E971" s="645" t="s">
        <v>905</v>
      </c>
      <c r="F971" s="645" t="s">
        <v>1114</v>
      </c>
      <c r="G971" s="645" t="s">
        <v>777</v>
      </c>
      <c r="H971" s="644">
        <v>25000000</v>
      </c>
      <c r="I971" s="644">
        <v>0</v>
      </c>
      <c r="J971" s="644">
        <v>0</v>
      </c>
      <c r="K971" s="644">
        <v>0</v>
      </c>
      <c r="L971" s="644">
        <v>0</v>
      </c>
      <c r="M971" s="644">
        <v>0</v>
      </c>
      <c r="N971" s="644">
        <v>25000000</v>
      </c>
      <c r="O971" s="644">
        <v>0</v>
      </c>
      <c r="P971" s="644">
        <v>25000000</v>
      </c>
      <c r="Q971" s="644">
        <v>25000000</v>
      </c>
      <c r="R971" s="644">
        <v>0</v>
      </c>
      <c r="S971" s="644">
        <v>0</v>
      </c>
      <c r="T971" s="644">
        <v>0</v>
      </c>
      <c r="U971" s="644">
        <v>0</v>
      </c>
      <c r="V971" s="644">
        <v>0</v>
      </c>
      <c r="W971" s="632">
        <v>0</v>
      </c>
      <c r="X971" s="632">
        <v>1145362776</v>
      </c>
    </row>
    <row r="972" spans="1:24">
      <c r="A972" s="645">
        <v>954</v>
      </c>
      <c r="B972" s="643" t="s">
        <v>1287</v>
      </c>
      <c r="C972" s="645" t="s">
        <v>445</v>
      </c>
      <c r="D972" s="645" t="s">
        <v>1288</v>
      </c>
      <c r="E972" s="645" t="s">
        <v>1125</v>
      </c>
      <c r="F972" s="645" t="s">
        <v>1114</v>
      </c>
      <c r="G972" s="645" t="s">
        <v>777</v>
      </c>
      <c r="H972" s="644">
        <v>4201497000</v>
      </c>
      <c r="I972" s="644">
        <v>0</v>
      </c>
      <c r="J972" s="644">
        <v>0</v>
      </c>
      <c r="K972" s="644">
        <v>0</v>
      </c>
      <c r="L972" s="644">
        <v>0</v>
      </c>
      <c r="M972" s="644">
        <v>0</v>
      </c>
      <c r="N972" s="644">
        <v>4201497000</v>
      </c>
      <c r="O972" s="644">
        <v>0</v>
      </c>
      <c r="P972" s="644">
        <v>4201497000</v>
      </c>
      <c r="Q972" s="644">
        <v>4201497000</v>
      </c>
      <c r="R972" s="644">
        <v>0</v>
      </c>
      <c r="S972" s="644">
        <v>0</v>
      </c>
      <c r="T972" s="644">
        <v>0</v>
      </c>
      <c r="U972" s="644">
        <v>0</v>
      </c>
      <c r="V972" s="644">
        <v>0</v>
      </c>
      <c r="W972" s="632">
        <v>0</v>
      </c>
      <c r="X972" s="632">
        <v>0</v>
      </c>
    </row>
    <row r="973" spans="1:24">
      <c r="A973" s="645">
        <v>955</v>
      </c>
      <c r="B973" s="643" t="s">
        <v>1287</v>
      </c>
      <c r="C973" s="645" t="s">
        <v>445</v>
      </c>
      <c r="D973" s="645" t="s">
        <v>1288</v>
      </c>
      <c r="E973" s="645" t="s">
        <v>905</v>
      </c>
      <c r="F973" s="645" t="s">
        <v>1120</v>
      </c>
      <c r="G973" s="645" t="s">
        <v>777</v>
      </c>
      <c r="H973" s="644">
        <v>320000000</v>
      </c>
      <c r="I973" s="644">
        <v>0</v>
      </c>
      <c r="J973" s="644">
        <v>0</v>
      </c>
      <c r="K973" s="644">
        <v>0</v>
      </c>
      <c r="L973" s="644">
        <v>0</v>
      </c>
      <c r="M973" s="644">
        <v>320000000</v>
      </c>
      <c r="N973" s="644">
        <v>0</v>
      </c>
      <c r="O973" s="644">
        <v>0</v>
      </c>
      <c r="P973" s="644">
        <v>320000000</v>
      </c>
      <c r="Q973" s="644">
        <v>320000000</v>
      </c>
      <c r="R973" s="644">
        <v>0</v>
      </c>
      <c r="S973" s="644">
        <v>0</v>
      </c>
      <c r="T973" s="644">
        <v>0</v>
      </c>
      <c r="U973" s="644">
        <v>0</v>
      </c>
      <c r="V973" s="644">
        <v>0</v>
      </c>
      <c r="W973" s="632">
        <v>0</v>
      </c>
      <c r="X973" s="632">
        <v>0</v>
      </c>
    </row>
    <row r="974" spans="1:24">
      <c r="A974" s="645">
        <v>956</v>
      </c>
      <c r="B974" s="643" t="s">
        <v>1301</v>
      </c>
      <c r="C974" s="645" t="s">
        <v>445</v>
      </c>
      <c r="D974" s="645" t="s">
        <v>1302</v>
      </c>
      <c r="E974" s="645" t="s">
        <v>905</v>
      </c>
      <c r="F974" s="645" t="s">
        <v>1303</v>
      </c>
      <c r="G974" s="645" t="s">
        <v>777</v>
      </c>
      <c r="H974" s="644">
        <v>395307300</v>
      </c>
      <c r="I974" s="644">
        <v>395307300</v>
      </c>
      <c r="J974" s="644">
        <v>395307300</v>
      </c>
      <c r="K974" s="644">
        <v>0</v>
      </c>
      <c r="L974" s="644">
        <v>0</v>
      </c>
      <c r="M974" s="644">
        <v>0</v>
      </c>
      <c r="N974" s="644">
        <v>0</v>
      </c>
      <c r="O974" s="644">
        <v>0</v>
      </c>
      <c r="P974" s="644">
        <v>365707000</v>
      </c>
      <c r="Q974" s="644">
        <v>365707000</v>
      </c>
      <c r="R974" s="644">
        <v>0</v>
      </c>
      <c r="S974" s="644">
        <v>0</v>
      </c>
      <c r="T974" s="644">
        <v>0</v>
      </c>
      <c r="U974" s="644">
        <v>0</v>
      </c>
      <c r="V974" s="644">
        <v>0</v>
      </c>
      <c r="W974" s="632">
        <v>0</v>
      </c>
      <c r="X974" s="632">
        <v>0</v>
      </c>
    </row>
    <row r="975" spans="1:24" ht="22.5">
      <c r="A975" s="645">
        <v>957</v>
      </c>
      <c r="B975" s="643" t="s">
        <v>1311</v>
      </c>
      <c r="C975" s="645" t="s">
        <v>445</v>
      </c>
      <c r="D975" s="645" t="s">
        <v>1312</v>
      </c>
      <c r="E975" s="645" t="s">
        <v>1115</v>
      </c>
      <c r="F975" s="645" t="s">
        <v>1114</v>
      </c>
      <c r="G975" s="645" t="s">
        <v>777</v>
      </c>
      <c r="H975" s="644">
        <v>25000000</v>
      </c>
      <c r="I975" s="644">
        <v>0</v>
      </c>
      <c r="J975" s="644">
        <v>0</v>
      </c>
      <c r="K975" s="644">
        <v>0</v>
      </c>
      <c r="L975" s="644">
        <v>0</v>
      </c>
      <c r="M975" s="644">
        <v>0</v>
      </c>
      <c r="N975" s="644">
        <v>25000000</v>
      </c>
      <c r="O975" s="644">
        <v>0</v>
      </c>
      <c r="P975" s="644">
        <v>15550000</v>
      </c>
      <c r="Q975" s="644">
        <v>15550000</v>
      </c>
      <c r="R975" s="644">
        <v>0</v>
      </c>
      <c r="S975" s="644">
        <v>9450000</v>
      </c>
      <c r="T975" s="644">
        <v>9450000</v>
      </c>
      <c r="U975" s="644">
        <v>0</v>
      </c>
      <c r="V975" s="644">
        <v>0</v>
      </c>
      <c r="W975" s="632">
        <v>0</v>
      </c>
      <c r="X975" s="632">
        <v>171225480</v>
      </c>
    </row>
    <row r="976" spans="1:24">
      <c r="A976" s="645">
        <v>958</v>
      </c>
      <c r="B976" s="643" t="s">
        <v>1317</v>
      </c>
      <c r="C976" s="645" t="s">
        <v>445</v>
      </c>
      <c r="D976" s="645" t="s">
        <v>1318</v>
      </c>
      <c r="E976" s="645" t="s">
        <v>906</v>
      </c>
      <c r="F976" s="645" t="s">
        <v>1114</v>
      </c>
      <c r="G976" s="645" t="s">
        <v>777</v>
      </c>
      <c r="H976" s="644">
        <v>45450000</v>
      </c>
      <c r="I976" s="644">
        <v>0</v>
      </c>
      <c r="J976" s="644">
        <v>0</v>
      </c>
      <c r="K976" s="644">
        <v>0</v>
      </c>
      <c r="L976" s="644">
        <v>0</v>
      </c>
      <c r="M976" s="644">
        <v>0</v>
      </c>
      <c r="N976" s="644">
        <v>45450000</v>
      </c>
      <c r="O976" s="644">
        <v>0</v>
      </c>
      <c r="P976" s="644">
        <v>45450000</v>
      </c>
      <c r="Q976" s="644">
        <v>45450000</v>
      </c>
      <c r="R976" s="644">
        <v>0</v>
      </c>
      <c r="S976" s="644">
        <v>0</v>
      </c>
      <c r="T976" s="644">
        <v>0</v>
      </c>
      <c r="U976" s="644">
        <v>0</v>
      </c>
      <c r="V976" s="644">
        <v>0</v>
      </c>
      <c r="W976" s="632">
        <v>0</v>
      </c>
      <c r="X976" s="632">
        <v>15983000</v>
      </c>
    </row>
    <row r="977" spans="1:25" ht="22.5">
      <c r="A977" s="645">
        <v>959</v>
      </c>
      <c r="B977" s="643" t="s">
        <v>1323</v>
      </c>
      <c r="C977" s="645" t="s">
        <v>445</v>
      </c>
      <c r="D977" s="645" t="s">
        <v>1324</v>
      </c>
      <c r="E977" s="645" t="s">
        <v>700</v>
      </c>
      <c r="F977" s="645" t="s">
        <v>1114</v>
      </c>
      <c r="G977" s="645" t="s">
        <v>777</v>
      </c>
      <c r="H977" s="644">
        <v>287319392</v>
      </c>
      <c r="I977" s="644">
        <v>287319392</v>
      </c>
      <c r="J977" s="644">
        <v>287319392</v>
      </c>
      <c r="K977" s="644">
        <v>0</v>
      </c>
      <c r="L977" s="644">
        <v>0</v>
      </c>
      <c r="M977" s="644">
        <v>0</v>
      </c>
      <c r="N977" s="644">
        <v>0</v>
      </c>
      <c r="O977" s="644">
        <v>0</v>
      </c>
      <c r="P977" s="644">
        <v>151319392</v>
      </c>
      <c r="Q977" s="644">
        <v>151319392</v>
      </c>
      <c r="R977" s="644">
        <v>0</v>
      </c>
      <c r="S977" s="644">
        <v>136000000</v>
      </c>
      <c r="T977" s="644">
        <v>136000000</v>
      </c>
      <c r="U977" s="644">
        <v>0</v>
      </c>
      <c r="V977" s="644">
        <v>0</v>
      </c>
      <c r="W977" s="632">
        <v>0</v>
      </c>
      <c r="X977" s="632">
        <v>0</v>
      </c>
    </row>
    <row r="978" spans="1:25">
      <c r="A978" s="645">
        <v>960</v>
      </c>
      <c r="B978" s="643" t="s">
        <v>1329</v>
      </c>
      <c r="C978" s="645" t="s">
        <v>445</v>
      </c>
      <c r="D978" s="645" t="s">
        <v>1330</v>
      </c>
      <c r="E978" s="645" t="s">
        <v>904</v>
      </c>
      <c r="F978" s="645" t="s">
        <v>1114</v>
      </c>
      <c r="G978" s="645" t="s">
        <v>777</v>
      </c>
      <c r="H978" s="644">
        <v>490000000</v>
      </c>
      <c r="I978" s="644">
        <v>0</v>
      </c>
      <c r="J978" s="644">
        <v>0</v>
      </c>
      <c r="K978" s="644">
        <v>0</v>
      </c>
      <c r="L978" s="644">
        <v>0</v>
      </c>
      <c r="M978" s="644">
        <v>0</v>
      </c>
      <c r="N978" s="644">
        <v>490000000</v>
      </c>
      <c r="O978" s="644">
        <v>0</v>
      </c>
      <c r="P978" s="644">
        <v>0</v>
      </c>
      <c r="Q978" s="644">
        <v>0</v>
      </c>
      <c r="R978" s="644">
        <v>0</v>
      </c>
      <c r="S978" s="644">
        <v>490000000</v>
      </c>
      <c r="T978" s="644">
        <v>490000000</v>
      </c>
      <c r="U978" s="644">
        <v>0</v>
      </c>
      <c r="V978" s="644">
        <v>0</v>
      </c>
      <c r="W978" s="632">
        <v>0</v>
      </c>
      <c r="X978" s="632">
        <v>416525443</v>
      </c>
    </row>
    <row r="979" spans="1:25" ht="22.5">
      <c r="A979" s="645">
        <v>961</v>
      </c>
      <c r="B979" s="643" t="s">
        <v>1335</v>
      </c>
      <c r="C979" s="645" t="s">
        <v>445</v>
      </c>
      <c r="D979" s="645" t="s">
        <v>1336</v>
      </c>
      <c r="E979" s="645" t="s">
        <v>907</v>
      </c>
      <c r="F979" s="645" t="s">
        <v>1114</v>
      </c>
      <c r="G979" s="645" t="s">
        <v>777</v>
      </c>
      <c r="H979" s="644">
        <v>29500000</v>
      </c>
      <c r="I979" s="644">
        <v>0</v>
      </c>
      <c r="J979" s="644">
        <v>0</v>
      </c>
      <c r="K979" s="644">
        <v>0</v>
      </c>
      <c r="L979" s="644">
        <v>0</v>
      </c>
      <c r="M979" s="644">
        <v>0</v>
      </c>
      <c r="N979" s="644">
        <v>29500000</v>
      </c>
      <c r="O979" s="644">
        <v>0</v>
      </c>
      <c r="P979" s="644">
        <v>29500000</v>
      </c>
      <c r="Q979" s="644">
        <v>29500000</v>
      </c>
      <c r="R979" s="644">
        <v>0</v>
      </c>
      <c r="S979" s="644">
        <v>0</v>
      </c>
      <c r="T979" s="644">
        <v>0</v>
      </c>
      <c r="U979" s="644">
        <v>0</v>
      </c>
      <c r="V979" s="644">
        <v>0</v>
      </c>
      <c r="W979" s="632">
        <v>0</v>
      </c>
      <c r="X979" s="632">
        <v>0</v>
      </c>
    </row>
    <row r="980" spans="1:25" ht="22.5">
      <c r="A980" s="645">
        <v>962</v>
      </c>
      <c r="B980" s="643" t="s">
        <v>1337</v>
      </c>
      <c r="C980" s="645" t="s">
        <v>445</v>
      </c>
      <c r="D980" s="645" t="s">
        <v>1338</v>
      </c>
      <c r="E980" s="645" t="s">
        <v>907</v>
      </c>
      <c r="F980" s="645" t="s">
        <v>1114</v>
      </c>
      <c r="G980" s="645" t="s">
        <v>777</v>
      </c>
      <c r="H980" s="644">
        <v>25000000</v>
      </c>
      <c r="I980" s="644">
        <v>0</v>
      </c>
      <c r="J980" s="644">
        <v>0</v>
      </c>
      <c r="K980" s="644">
        <v>0</v>
      </c>
      <c r="L980" s="644">
        <v>0</v>
      </c>
      <c r="M980" s="644">
        <v>0</v>
      </c>
      <c r="N980" s="644">
        <v>25000000</v>
      </c>
      <c r="O980" s="644">
        <v>0</v>
      </c>
      <c r="P980" s="644">
        <v>0</v>
      </c>
      <c r="Q980" s="644">
        <v>0</v>
      </c>
      <c r="R980" s="644">
        <v>0</v>
      </c>
      <c r="S980" s="644">
        <v>25000000</v>
      </c>
      <c r="T980" s="644">
        <v>0</v>
      </c>
      <c r="U980" s="644">
        <v>0</v>
      </c>
      <c r="V980" s="644">
        <v>25000000</v>
      </c>
      <c r="W980" s="632">
        <v>0</v>
      </c>
      <c r="X980" s="632">
        <v>0</v>
      </c>
    </row>
    <row r="981" spans="1:25">
      <c r="A981" s="645">
        <v>963</v>
      </c>
      <c r="B981" s="643" t="s">
        <v>1364</v>
      </c>
      <c r="C981" s="645" t="s">
        <v>445</v>
      </c>
      <c r="D981" s="645" t="s">
        <v>1365</v>
      </c>
      <c r="E981" s="645" t="s">
        <v>907</v>
      </c>
      <c r="F981" s="645" t="s">
        <v>1114</v>
      </c>
      <c r="G981" s="645" t="s">
        <v>777</v>
      </c>
      <c r="H981" s="644">
        <v>50775000</v>
      </c>
      <c r="I981" s="644">
        <v>0</v>
      </c>
      <c r="J981" s="644">
        <v>0</v>
      </c>
      <c r="K981" s="644">
        <v>0</v>
      </c>
      <c r="L981" s="644">
        <v>0</v>
      </c>
      <c r="M981" s="644">
        <v>0</v>
      </c>
      <c r="N981" s="644">
        <v>50775000</v>
      </c>
      <c r="O981" s="644">
        <v>0</v>
      </c>
      <c r="P981" s="644">
        <v>0</v>
      </c>
      <c r="Q981" s="644">
        <v>0</v>
      </c>
      <c r="R981" s="644">
        <v>0</v>
      </c>
      <c r="S981" s="644">
        <v>50775000</v>
      </c>
      <c r="T981" s="644">
        <v>50775000</v>
      </c>
      <c r="U981" s="644">
        <v>0</v>
      </c>
      <c r="V981" s="644">
        <v>0</v>
      </c>
      <c r="W981" s="632">
        <v>0</v>
      </c>
      <c r="X981" s="632">
        <v>20000000</v>
      </c>
    </row>
    <row r="982" spans="1:25">
      <c r="A982" s="645">
        <v>964</v>
      </c>
      <c r="B982" s="643" t="s">
        <v>1344</v>
      </c>
      <c r="C982" s="645" t="s">
        <v>445</v>
      </c>
      <c r="D982" s="645" t="s">
        <v>1345</v>
      </c>
      <c r="E982" s="645" t="s">
        <v>1300</v>
      </c>
      <c r="F982" s="645" t="s">
        <v>1114</v>
      </c>
      <c r="G982" s="645" t="s">
        <v>777</v>
      </c>
      <c r="H982" s="644">
        <v>109285000</v>
      </c>
      <c r="I982" s="644">
        <v>0</v>
      </c>
      <c r="J982" s="644">
        <v>0</v>
      </c>
      <c r="K982" s="644">
        <v>0</v>
      </c>
      <c r="L982" s="644">
        <v>0</v>
      </c>
      <c r="M982" s="644">
        <v>0</v>
      </c>
      <c r="N982" s="644">
        <v>109285000</v>
      </c>
      <c r="O982" s="644">
        <v>0</v>
      </c>
      <c r="P982" s="644">
        <v>0</v>
      </c>
      <c r="Q982" s="644">
        <v>0</v>
      </c>
      <c r="R982" s="644">
        <v>0</v>
      </c>
      <c r="S982" s="644">
        <v>109285000</v>
      </c>
      <c r="T982" s="644">
        <v>109285000</v>
      </c>
      <c r="U982" s="644">
        <v>0</v>
      </c>
      <c r="V982" s="644">
        <v>0</v>
      </c>
      <c r="W982" s="632">
        <v>0</v>
      </c>
      <c r="X982" s="632">
        <v>2376200</v>
      </c>
    </row>
    <row r="983" spans="1:25" ht="22.5">
      <c r="A983" s="645">
        <v>965</v>
      </c>
      <c r="B983" s="643" t="s">
        <v>1170</v>
      </c>
      <c r="C983" s="645" t="s">
        <v>446</v>
      </c>
      <c r="D983" s="645" t="s">
        <v>1169</v>
      </c>
      <c r="E983" s="645" t="s">
        <v>639</v>
      </c>
      <c r="F983" s="645" t="s">
        <v>1114</v>
      </c>
      <c r="G983" s="645" t="s">
        <v>777</v>
      </c>
      <c r="H983" s="644">
        <v>13722646830</v>
      </c>
      <c r="I983" s="644">
        <v>2628692600</v>
      </c>
      <c r="J983" s="644">
        <v>0</v>
      </c>
      <c r="K983" s="644">
        <v>0</v>
      </c>
      <c r="L983" s="644">
        <v>2628692600</v>
      </c>
      <c r="M983" s="644">
        <v>10593954230</v>
      </c>
      <c r="N983" s="644">
        <v>500000000</v>
      </c>
      <c r="O983" s="644">
        <v>0</v>
      </c>
      <c r="P983" s="644">
        <v>2739293225</v>
      </c>
      <c r="Q983" s="644">
        <v>2739293225</v>
      </c>
      <c r="R983" s="644">
        <v>0</v>
      </c>
      <c r="S983" s="644">
        <v>10983353605</v>
      </c>
      <c r="T983" s="644">
        <v>4410220905</v>
      </c>
      <c r="U983" s="644">
        <v>0</v>
      </c>
      <c r="V983" s="644">
        <v>6573132700</v>
      </c>
      <c r="W983" s="632">
        <v>0</v>
      </c>
      <c r="X983" s="632">
        <v>3599900</v>
      </c>
    </row>
    <row r="984" spans="1:25" ht="22.5">
      <c r="A984" s="645">
        <v>966</v>
      </c>
      <c r="B984" s="643" t="s">
        <v>1171</v>
      </c>
      <c r="C984" s="645" t="s">
        <v>446</v>
      </c>
      <c r="D984" s="645" t="s">
        <v>1169</v>
      </c>
      <c r="E984" s="645" t="s">
        <v>639</v>
      </c>
      <c r="F984" s="645" t="s">
        <v>1114</v>
      </c>
      <c r="G984" s="645" t="s">
        <v>777</v>
      </c>
      <c r="H984" s="644">
        <v>48938736</v>
      </c>
      <c r="I984" s="644">
        <v>48938736</v>
      </c>
      <c r="J984" s="644">
        <v>48938736</v>
      </c>
      <c r="K984" s="644">
        <v>0</v>
      </c>
      <c r="L984" s="644">
        <v>0</v>
      </c>
      <c r="M984" s="644">
        <v>0</v>
      </c>
      <c r="N984" s="644">
        <v>0</v>
      </c>
      <c r="O984" s="644">
        <v>0</v>
      </c>
      <c r="P984" s="644">
        <v>24235000</v>
      </c>
      <c r="Q984" s="644">
        <v>24235000</v>
      </c>
      <c r="R984" s="644">
        <v>0</v>
      </c>
      <c r="S984" s="644">
        <v>0</v>
      </c>
      <c r="T984" s="644">
        <v>0</v>
      </c>
      <c r="U984" s="644">
        <v>0</v>
      </c>
      <c r="V984" s="644">
        <v>0</v>
      </c>
      <c r="W984" s="632">
        <v>0</v>
      </c>
      <c r="X984" s="632">
        <v>0</v>
      </c>
    </row>
    <row r="985" spans="1:25">
      <c r="A985" s="639"/>
      <c r="B985" s="634"/>
      <c r="C985" s="634"/>
      <c r="D985" s="634"/>
      <c r="E985" s="634"/>
      <c r="F985" s="634"/>
      <c r="G985" s="634"/>
      <c r="H985" s="634"/>
      <c r="I985" s="634"/>
      <c r="J985" s="634"/>
      <c r="K985" s="634"/>
      <c r="L985" s="634"/>
      <c r="M985" s="634"/>
      <c r="N985" s="634"/>
      <c r="O985" s="634"/>
      <c r="P985" s="634"/>
      <c r="Q985" s="634"/>
      <c r="R985" s="634"/>
      <c r="S985" s="634"/>
      <c r="T985" s="634"/>
      <c r="U985" s="634"/>
      <c r="V985" s="634"/>
      <c r="W985" s="634"/>
      <c r="X985" s="634"/>
    </row>
    <row r="986" spans="1:25" ht="18.75">
      <c r="A986" s="640"/>
      <c r="B986" s="635"/>
      <c r="C986" s="635"/>
      <c r="D986" s="635"/>
      <c r="E986" s="635"/>
      <c r="F986" s="635"/>
      <c r="G986" s="635"/>
      <c r="H986" s="635"/>
      <c r="I986" s="635"/>
      <c r="J986" s="635"/>
      <c r="K986" s="635"/>
      <c r="L986" s="635"/>
      <c r="M986" s="635"/>
      <c r="N986" s="1871" t="s">
        <v>1068</v>
      </c>
      <c r="O986" s="1871"/>
      <c r="P986" s="1871"/>
      <c r="Q986" s="1871"/>
      <c r="R986" s="1871"/>
      <c r="S986" s="1871"/>
      <c r="T986" s="1871"/>
      <c r="U986" s="1871"/>
      <c r="V986" s="1871"/>
      <c r="W986" s="635"/>
      <c r="X986" s="635"/>
    </row>
    <row r="987" spans="1:25" ht="18.75">
      <c r="A987" s="1872" t="s">
        <v>877</v>
      </c>
      <c r="B987" s="1872"/>
      <c r="C987" s="1872"/>
      <c r="D987" s="1872"/>
      <c r="E987" s="1872"/>
      <c r="F987" s="1872"/>
      <c r="G987" s="636"/>
      <c r="H987" s="636"/>
      <c r="I987" s="636"/>
      <c r="J987" s="636"/>
      <c r="K987" s="636"/>
      <c r="L987" s="636"/>
      <c r="M987" s="636"/>
      <c r="N987" s="1870" t="s">
        <v>356</v>
      </c>
      <c r="O987" s="1870"/>
      <c r="P987" s="1870"/>
      <c r="Q987" s="1870"/>
      <c r="R987" s="1870"/>
      <c r="S987" s="1870"/>
      <c r="T987" s="1870"/>
      <c r="U987" s="1870"/>
      <c r="V987" s="1870"/>
      <c r="W987" s="636"/>
      <c r="X987" s="636"/>
    </row>
    <row r="988" spans="1:25" ht="18.75">
      <c r="A988" s="1872"/>
      <c r="B988" s="1872"/>
      <c r="C988" s="1872"/>
      <c r="D988" s="1872"/>
      <c r="E988" s="1872"/>
      <c r="F988" s="1872"/>
      <c r="G988" s="1870"/>
      <c r="H988" s="1870"/>
      <c r="I988" s="1870"/>
      <c r="J988" s="1870"/>
      <c r="K988" s="1870"/>
      <c r="L988" s="1870"/>
      <c r="M988" s="1870"/>
      <c r="N988" s="1870"/>
      <c r="O988" s="1870"/>
      <c r="P988" s="1870"/>
      <c r="Q988" s="1870"/>
      <c r="R988" s="1870"/>
      <c r="S988" s="1870"/>
      <c r="T988" s="1870"/>
      <c r="U988" s="1870"/>
      <c r="V988" s="1870"/>
      <c r="W988" s="1870"/>
      <c r="X988" s="1870"/>
    </row>
    <row r="989" spans="1:25">
      <c r="A989" s="1854"/>
      <c r="B989" s="1854"/>
      <c r="C989" s="1854"/>
      <c r="D989" s="1854"/>
      <c r="E989" s="1854"/>
      <c r="F989" s="1854"/>
      <c r="G989" s="1855"/>
      <c r="H989" s="1855"/>
      <c r="I989" s="1855"/>
      <c r="J989" s="1855"/>
      <c r="K989" s="1855"/>
      <c r="L989" s="1855"/>
      <c r="M989" s="1855"/>
      <c r="N989" s="1855"/>
      <c r="O989" s="1855"/>
      <c r="P989" s="1855"/>
      <c r="Q989" s="1855"/>
      <c r="R989" s="1855"/>
      <c r="S989" s="1855"/>
      <c r="T989" s="1855"/>
      <c r="U989" s="1855"/>
      <c r="V989" s="1855"/>
      <c r="W989" s="1855"/>
      <c r="X989" s="1855"/>
    </row>
    <row r="990" spans="1:25">
      <c r="A990" s="1854"/>
      <c r="B990" s="1854"/>
      <c r="C990" s="1854"/>
      <c r="D990" s="1854"/>
      <c r="E990" s="1854"/>
      <c r="F990" s="1854"/>
      <c r="G990" s="1855"/>
      <c r="H990" s="1855"/>
      <c r="I990" s="1855"/>
      <c r="J990" s="1855"/>
      <c r="K990" s="1855"/>
      <c r="L990" s="1855"/>
      <c r="M990" s="1855"/>
      <c r="N990" s="1855"/>
      <c r="O990" s="1855"/>
      <c r="P990" s="1855"/>
      <c r="Q990" s="1855"/>
      <c r="R990" s="1855"/>
      <c r="S990" s="1855"/>
      <c r="T990" s="1855"/>
      <c r="U990" s="1855"/>
      <c r="V990" s="1855"/>
      <c r="W990" s="1855"/>
      <c r="X990" s="1855"/>
    </row>
    <row r="991" spans="1:25">
      <c r="A991" s="637"/>
    </row>
    <row r="992" spans="1:25">
      <c r="A992" s="1867"/>
      <c r="B992" s="1867"/>
      <c r="C992" s="1867"/>
      <c r="D992" s="1867"/>
      <c r="E992" s="1867"/>
      <c r="F992" s="1867"/>
      <c r="G992" s="1867"/>
      <c r="H992" s="1867"/>
      <c r="I992" s="1867"/>
      <c r="J992" s="1867"/>
      <c r="K992" s="1867"/>
      <c r="L992" s="1867"/>
      <c r="M992" s="1867"/>
      <c r="N992" s="1867"/>
      <c r="O992" s="1867"/>
      <c r="P992" s="1867"/>
      <c r="Q992" s="1867"/>
      <c r="R992" s="1867"/>
      <c r="S992" s="1867"/>
      <c r="T992" s="1867"/>
      <c r="U992" s="1867"/>
      <c r="V992" s="1867"/>
      <c r="W992" s="1867"/>
      <c r="X992" s="1867"/>
      <c r="Y992" s="1867"/>
    </row>
  </sheetData>
  <mergeCells count="42">
    <mergeCell ref="A992:Y992"/>
    <mergeCell ref="A2:B2"/>
    <mergeCell ref="A3:B3"/>
    <mergeCell ref="N987:V987"/>
    <mergeCell ref="N986:V986"/>
    <mergeCell ref="A988:F988"/>
    <mergeCell ref="G988:O988"/>
    <mergeCell ref="P988:X988"/>
    <mergeCell ref="A989:F989"/>
    <mergeCell ref="G989:O989"/>
    <mergeCell ref="P989:X989"/>
    <mergeCell ref="T10:T11"/>
    <mergeCell ref="U10:U11"/>
    <mergeCell ref="A987:F987"/>
    <mergeCell ref="P8:R11"/>
    <mergeCell ref="T8:V9"/>
    <mergeCell ref="W8:W11"/>
    <mergeCell ref="A990:F990"/>
    <mergeCell ref="G990:O990"/>
    <mergeCell ref="P990:X990"/>
    <mergeCell ref="F8:F11"/>
    <mergeCell ref="G8:G11"/>
    <mergeCell ref="H8:N9"/>
    <mergeCell ref="O8:O11"/>
    <mergeCell ref="X8:X11"/>
    <mergeCell ref="S9:S11"/>
    <mergeCell ref="H10:H11"/>
    <mergeCell ref="I10:I11"/>
    <mergeCell ref="J10:L10"/>
    <mergeCell ref="M10:M11"/>
    <mergeCell ref="N10:N11"/>
    <mergeCell ref="V10:V11"/>
    <mergeCell ref="A8:A11"/>
    <mergeCell ref="B8:B11"/>
    <mergeCell ref="C8:C11"/>
    <mergeCell ref="D8:D11"/>
    <mergeCell ref="E8:E11"/>
    <mergeCell ref="T2:X2"/>
    <mergeCell ref="T3:X3"/>
    <mergeCell ref="A4:X4"/>
    <mergeCell ref="A5:X5"/>
    <mergeCell ref="A6:X6"/>
  </mergeCells>
  <pageMargins left="0" right="0" top="0.25" bottom="0.25" header="0" footer="0"/>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13"/>
  <sheetViews>
    <sheetView zoomScaleNormal="100" workbookViewId="0">
      <selection activeCell="F18" sqref="F18"/>
    </sheetView>
  </sheetViews>
  <sheetFormatPr defaultRowHeight="16.5"/>
  <cols>
    <col min="1" max="1" width="7" style="454" customWidth="1"/>
    <col min="2" max="2" width="49.42578125" style="454" customWidth="1"/>
    <col min="3" max="3" width="28.5703125" style="454" bestFit="1" customWidth="1"/>
    <col min="4" max="4" width="14.42578125" style="454" customWidth="1"/>
    <col min="5" max="5" width="16" style="454" bestFit="1" customWidth="1"/>
    <col min="6" max="6" width="26.5703125" style="454" customWidth="1"/>
    <col min="7" max="16384" width="9.140625" style="454"/>
  </cols>
  <sheetData>
    <row r="1" spans="1:6" ht="45.75" customHeight="1">
      <c r="A1" s="1882" t="s">
        <v>857</v>
      </c>
      <c r="B1" s="1883"/>
      <c r="C1" s="1883"/>
      <c r="D1" s="1883"/>
      <c r="E1" s="1884" t="s">
        <v>736</v>
      </c>
      <c r="F1" s="1884"/>
    </row>
    <row r="2" spans="1:6" ht="59.25" customHeight="1">
      <c r="A2" s="1885" t="s">
        <v>1380</v>
      </c>
      <c r="B2" s="1881"/>
      <c r="C2" s="1881"/>
      <c r="D2" s="1881"/>
      <c r="E2" s="1881"/>
      <c r="F2" s="1881"/>
    </row>
    <row r="3" spans="1:6" ht="33" customHeight="1">
      <c r="D3" s="1886" t="s">
        <v>737</v>
      </c>
      <c r="E3" s="1886"/>
      <c r="F3" s="1886"/>
    </row>
    <row r="4" spans="1:6" ht="38.25" customHeight="1">
      <c r="A4" s="455" t="s">
        <v>45</v>
      </c>
      <c r="B4" s="455" t="s">
        <v>355</v>
      </c>
      <c r="C4" s="455" t="s">
        <v>738</v>
      </c>
      <c r="D4" s="455" t="s">
        <v>739</v>
      </c>
      <c r="E4" s="455" t="s">
        <v>740</v>
      </c>
      <c r="F4" s="455" t="s">
        <v>741</v>
      </c>
    </row>
    <row r="5" spans="1:6">
      <c r="A5" s="456" t="s">
        <v>57</v>
      </c>
      <c r="B5" s="456" t="s">
        <v>80</v>
      </c>
      <c r="C5" s="456">
        <v>1</v>
      </c>
      <c r="D5" s="456">
        <v>2</v>
      </c>
      <c r="E5" s="456">
        <v>3</v>
      </c>
      <c r="F5" s="456">
        <v>4</v>
      </c>
    </row>
    <row r="6" spans="1:6">
      <c r="A6" s="456">
        <v>1</v>
      </c>
      <c r="B6" s="457" t="s">
        <v>742</v>
      </c>
      <c r="C6" s="457"/>
      <c r="D6" s="457"/>
      <c r="E6" s="457"/>
      <c r="F6" s="460">
        <f>+F7+F8+F9</f>
        <v>12153100735</v>
      </c>
    </row>
    <row r="7" spans="1:6">
      <c r="A7" s="456" t="s">
        <v>743</v>
      </c>
      <c r="B7" s="458" t="s">
        <v>744</v>
      </c>
      <c r="C7" s="456">
        <v>13</v>
      </c>
      <c r="D7" s="457"/>
      <c r="E7" s="457">
        <v>7799</v>
      </c>
      <c r="F7" s="460">
        <v>2121111561</v>
      </c>
    </row>
    <row r="8" spans="1:6">
      <c r="A8" s="456" t="s">
        <v>745</v>
      </c>
      <c r="B8" s="458" t="s">
        <v>1379</v>
      </c>
      <c r="C8" s="457"/>
      <c r="D8" s="457"/>
      <c r="E8" s="457"/>
      <c r="F8" s="460"/>
    </row>
    <row r="9" spans="1:6">
      <c r="A9" s="456" t="s">
        <v>746</v>
      </c>
      <c r="B9" s="458" t="s">
        <v>747</v>
      </c>
      <c r="C9" s="456">
        <v>12</v>
      </c>
      <c r="D9" s="457"/>
      <c r="E9" s="457">
        <v>7799</v>
      </c>
      <c r="F9" s="460">
        <v>10031989174</v>
      </c>
    </row>
    <row r="10" spans="1:6" ht="49.5">
      <c r="A10" s="455">
        <v>2</v>
      </c>
      <c r="B10" s="461" t="s">
        <v>748</v>
      </c>
      <c r="C10" s="457"/>
      <c r="D10" s="457"/>
      <c r="E10" s="457"/>
      <c r="F10" s="460"/>
    </row>
    <row r="12" spans="1:6">
      <c r="E12" s="1887" t="s">
        <v>1046</v>
      </c>
      <c r="F12" s="1887"/>
    </row>
    <row r="13" spans="1:6">
      <c r="B13" s="459" t="s">
        <v>749</v>
      </c>
      <c r="E13" s="1881" t="s">
        <v>750</v>
      </c>
      <c r="F13" s="1881"/>
    </row>
  </sheetData>
  <mergeCells count="6">
    <mergeCell ref="E13:F13"/>
    <mergeCell ref="A1:D1"/>
    <mergeCell ref="E1:F1"/>
    <mergeCell ref="A2:F2"/>
    <mergeCell ref="D3:F3"/>
    <mergeCell ref="E12:F12"/>
  </mergeCells>
  <pageMargins left="0.5" right="0.25" top="0.25" bottom="0.5" header="0" footer="0"/>
  <pageSetup paperSize="9"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1"/>
  <sheetViews>
    <sheetView topLeftCell="A11" workbookViewId="0">
      <selection activeCell="D56" sqref="D56"/>
    </sheetView>
  </sheetViews>
  <sheetFormatPr defaultRowHeight="15.75"/>
  <cols>
    <col min="1" max="1" width="5.85546875" style="102" customWidth="1"/>
    <col min="2" max="2" width="55.7109375" style="102" customWidth="1"/>
    <col min="3" max="3" width="12.85546875" style="102" customWidth="1"/>
    <col min="4" max="4" width="14.28515625" style="102" customWidth="1"/>
    <col min="5" max="5" width="11.140625" style="102" customWidth="1"/>
    <col min="6" max="6" width="21.5703125" style="102" customWidth="1"/>
    <col min="7" max="7" width="19.7109375" style="102" customWidth="1"/>
    <col min="8" max="8" width="21.5703125" style="102" customWidth="1"/>
    <col min="9" max="9" width="19" style="102" customWidth="1"/>
    <col min="10" max="16384" width="9.140625" style="102"/>
  </cols>
  <sheetData>
    <row r="1" spans="1:8" ht="18" customHeight="1">
      <c r="A1" s="102" t="s">
        <v>95</v>
      </c>
      <c r="D1" s="1666" t="s">
        <v>854</v>
      </c>
      <c r="E1" s="1666"/>
    </row>
    <row r="2" spans="1:8" ht="14.25" customHeight="1"/>
    <row r="3" spans="1:8" ht="16.5">
      <c r="A3" s="1667" t="s">
        <v>1016</v>
      </c>
      <c r="B3" s="1667"/>
      <c r="C3" s="1667"/>
      <c r="D3" s="1667"/>
      <c r="E3" s="1667"/>
    </row>
    <row r="4" spans="1:8" ht="21" customHeight="1">
      <c r="B4" s="105"/>
      <c r="C4" s="106"/>
      <c r="D4" s="1668" t="s">
        <v>44</v>
      </c>
      <c r="E4" s="1668"/>
    </row>
    <row r="5" spans="1:8">
      <c r="A5" s="1664" t="s">
        <v>45</v>
      </c>
      <c r="B5" s="1665" t="s">
        <v>122</v>
      </c>
      <c r="C5" s="1000" t="s">
        <v>123</v>
      </c>
      <c r="D5" s="133" t="s">
        <v>96</v>
      </c>
      <c r="E5" s="133" t="s">
        <v>124</v>
      </c>
      <c r="F5" s="134"/>
    </row>
    <row r="6" spans="1:8">
      <c r="A6" s="1664"/>
      <c r="B6" s="1665"/>
      <c r="C6" s="135" t="s">
        <v>947</v>
      </c>
      <c r="D6" s="135" t="s">
        <v>947</v>
      </c>
      <c r="E6" s="136" t="s">
        <v>126</v>
      </c>
    </row>
    <row r="7" spans="1:8" hidden="1">
      <c r="A7" s="108"/>
      <c r="B7" s="137"/>
      <c r="C7" s="138" t="str">
        <f>+"#REF!+#REF!+#REF!"</f>
        <v>#REF!+#REF!+#REF!</v>
      </c>
      <c r="D7" s="138"/>
      <c r="E7" s="137"/>
    </row>
    <row r="8" spans="1:8">
      <c r="A8" s="139" t="s">
        <v>57</v>
      </c>
      <c r="B8" s="139" t="s">
        <v>80</v>
      </c>
      <c r="C8" s="140" t="s">
        <v>104</v>
      </c>
      <c r="D8" s="140" t="s">
        <v>105</v>
      </c>
      <c r="E8" s="140" t="s">
        <v>127</v>
      </c>
    </row>
    <row r="9" spans="1:8" ht="18.95" customHeight="1">
      <c r="A9" s="112" t="s">
        <v>57</v>
      </c>
      <c r="B9" s="113" t="s">
        <v>129</v>
      </c>
      <c r="C9" s="114"/>
      <c r="D9" s="114"/>
      <c r="E9" s="114"/>
    </row>
    <row r="10" spans="1:8" ht="18.95" customHeight="1">
      <c r="A10" s="141" t="s">
        <v>108</v>
      </c>
      <c r="B10" s="142" t="s">
        <v>1071</v>
      </c>
      <c r="C10" s="1001">
        <f>C11+C14+C17+C18+C19+C20+C21+C22</f>
        <v>8845236</v>
      </c>
      <c r="D10" s="1002">
        <f>D11+D14+D17+D18+D19+D20+D21+D22</f>
        <v>10511816.447146002</v>
      </c>
      <c r="E10" s="607">
        <f>D10/C10*100</f>
        <v>118.84155998942259</v>
      </c>
      <c r="F10" s="116"/>
      <c r="G10" s="115"/>
      <c r="H10" s="115"/>
    </row>
    <row r="11" spans="1:8" ht="18.95" customHeight="1">
      <c r="A11" s="120">
        <v>1</v>
      </c>
      <c r="B11" s="1003" t="s">
        <v>130</v>
      </c>
      <c r="C11" s="143">
        <f>C12+C13</f>
        <v>3262240</v>
      </c>
      <c r="D11" s="123">
        <f>+D12+D13</f>
        <v>3630953.3862910001</v>
      </c>
      <c r="E11" s="608">
        <f t="shared" ref="E11:E30" si="0">D11/C11*100</f>
        <v>111.30246046553903</v>
      </c>
      <c r="F11" s="116"/>
      <c r="G11" s="144"/>
    </row>
    <row r="12" spans="1:8" s="568" customFormat="1" ht="18.95" customHeight="1">
      <c r="A12" s="597"/>
      <c r="B12" s="1004" t="s">
        <v>1072</v>
      </c>
      <c r="C12" s="1005">
        <v>3262240</v>
      </c>
      <c r="D12" s="599">
        <f>'TH THU_61_342_50_31'!O12</f>
        <v>3630953.3862910001</v>
      </c>
      <c r="E12" s="608">
        <f t="shared" si="0"/>
        <v>111.30246046553903</v>
      </c>
      <c r="F12" s="598"/>
    </row>
    <row r="13" spans="1:8" s="568" customFormat="1" ht="18.95" customHeight="1">
      <c r="A13" s="597"/>
      <c r="B13" s="1004" t="s">
        <v>1073</v>
      </c>
      <c r="C13" s="122">
        <v>0</v>
      </c>
      <c r="D13" s="122">
        <v>0</v>
      </c>
      <c r="E13" s="602">
        <v>0</v>
      </c>
      <c r="F13" s="598"/>
      <c r="G13" s="571"/>
    </row>
    <row r="14" spans="1:8" ht="18.95" customHeight="1">
      <c r="A14" s="120">
        <v>2</v>
      </c>
      <c r="B14" s="121" t="s">
        <v>71</v>
      </c>
      <c r="C14" s="143">
        <f>C15+C16</f>
        <v>5445496</v>
      </c>
      <c r="D14" s="123">
        <f>+D15+D16</f>
        <v>5829813</v>
      </c>
      <c r="E14" s="608">
        <f t="shared" si="0"/>
        <v>107.05752056378334</v>
      </c>
      <c r="F14" s="115"/>
      <c r="G14" s="103"/>
    </row>
    <row r="15" spans="1:8" s="568" customFormat="1" ht="18.95" customHeight="1">
      <c r="A15" s="597"/>
      <c r="B15" s="1006" t="s">
        <v>1074</v>
      </c>
      <c r="C15" s="1005">
        <f>3196428+201849</f>
        <v>3398277</v>
      </c>
      <c r="D15" s="599">
        <f>'TH THU_61_342_50_31'!F100</f>
        <v>3398277</v>
      </c>
      <c r="E15" s="608">
        <f t="shared" si="0"/>
        <v>100</v>
      </c>
    </row>
    <row r="16" spans="1:8" s="568" customFormat="1" ht="18.95" customHeight="1">
      <c r="A16" s="597"/>
      <c r="B16" s="1006" t="s">
        <v>115</v>
      </c>
      <c r="C16" s="1005">
        <f>1949551+97668</f>
        <v>2047219</v>
      </c>
      <c r="D16" s="599">
        <f>'TH THU_61_342_50_31'!F101</f>
        <v>2431536</v>
      </c>
      <c r="E16" s="608">
        <f t="shared" si="0"/>
        <v>118.77263741690555</v>
      </c>
      <c r="F16" s="598"/>
    </row>
    <row r="17" spans="1:8" ht="18.95" customHeight="1">
      <c r="A17" s="120">
        <v>3</v>
      </c>
      <c r="B17" s="121" t="s">
        <v>1075</v>
      </c>
      <c r="C17" s="122">
        <v>0</v>
      </c>
      <c r="D17" s="123">
        <f>'TH THU_61_342_50_31'!D88</f>
        <v>19472</v>
      </c>
      <c r="E17" s="602">
        <v>0</v>
      </c>
      <c r="F17" s="116"/>
    </row>
    <row r="18" spans="1:8" ht="18.95" customHeight="1">
      <c r="A18" s="120">
        <v>4</v>
      </c>
      <c r="B18" s="121" t="s">
        <v>993</v>
      </c>
      <c r="C18" s="122">
        <v>0</v>
      </c>
      <c r="D18" s="123">
        <f>'TH THU_61_342_50_31'!F106</f>
        <v>161330.90822799999</v>
      </c>
      <c r="E18" s="602">
        <v>0</v>
      </c>
      <c r="F18" s="116"/>
    </row>
    <row r="19" spans="1:8" ht="18.95" customHeight="1">
      <c r="A19" s="120">
        <v>5</v>
      </c>
      <c r="B19" s="121" t="s">
        <v>1076</v>
      </c>
      <c r="C19" s="122">
        <v>0</v>
      </c>
      <c r="D19" s="123">
        <f>'TH THU_61_342_50_31'!F105</f>
        <v>868431.32582499995</v>
      </c>
      <c r="E19" s="602">
        <v>0</v>
      </c>
      <c r="F19" s="116"/>
    </row>
    <row r="20" spans="1:8" ht="18.95" customHeight="1">
      <c r="A20" s="120">
        <v>6</v>
      </c>
      <c r="B20" s="121" t="s">
        <v>1010</v>
      </c>
      <c r="C20" s="143">
        <v>137500</v>
      </c>
      <c r="D20" s="122">
        <v>0</v>
      </c>
      <c r="E20" s="602">
        <f t="shared" si="0"/>
        <v>0</v>
      </c>
      <c r="F20" s="116"/>
    </row>
    <row r="21" spans="1:8" ht="18.95" customHeight="1">
      <c r="A21" s="120">
        <v>7</v>
      </c>
      <c r="B21" s="121" t="s">
        <v>77</v>
      </c>
      <c r="C21" s="122">
        <v>0</v>
      </c>
      <c r="D21" s="122">
        <f>'TH THU_61_342_50_31'!F85</f>
        <v>0</v>
      </c>
      <c r="E21" s="602">
        <v>0</v>
      </c>
      <c r="F21" s="116"/>
    </row>
    <row r="22" spans="1:8" ht="18.95" customHeight="1">
      <c r="A22" s="120">
        <v>8</v>
      </c>
      <c r="B22" s="121" t="s">
        <v>69</v>
      </c>
      <c r="C22" s="122">
        <v>0</v>
      </c>
      <c r="D22" s="123">
        <f>'TH THU_61_342_50_31'!F104</f>
        <v>1815.826802</v>
      </c>
      <c r="E22" s="602">
        <v>0</v>
      </c>
      <c r="F22" s="116"/>
    </row>
    <row r="23" spans="1:8" ht="18.95" customHeight="1">
      <c r="A23" s="146" t="s">
        <v>109</v>
      </c>
      <c r="B23" s="147" t="s">
        <v>131</v>
      </c>
      <c r="C23" s="1007">
        <f>+C24+C25</f>
        <v>8845236</v>
      </c>
      <c r="D23" s="1008">
        <f>D24+D25+D28+D29</f>
        <v>10505673.049837999</v>
      </c>
      <c r="E23" s="608">
        <f t="shared" si="0"/>
        <v>118.77210568308183</v>
      </c>
      <c r="F23" s="145"/>
      <c r="H23" s="115"/>
    </row>
    <row r="24" spans="1:8" ht="18.95" customHeight="1">
      <c r="A24" s="120">
        <v>1</v>
      </c>
      <c r="B24" s="121" t="s">
        <v>1077</v>
      </c>
      <c r="C24" s="122">
        <v>5980666</v>
      </c>
      <c r="D24" s="123">
        <f>'TH CHI_62_342_51_52_53_31'!F8-D28</f>
        <v>4568877.7505449997</v>
      </c>
      <c r="E24" s="608">
        <f t="shared" si="0"/>
        <v>76.394129860202852</v>
      </c>
      <c r="G24" s="134"/>
    </row>
    <row r="25" spans="1:8" ht="18.95" customHeight="1">
      <c r="A25" s="120">
        <v>2</v>
      </c>
      <c r="B25" s="121" t="s">
        <v>72</v>
      </c>
      <c r="C25" s="122">
        <f>C26+C27</f>
        <v>2864570</v>
      </c>
      <c r="D25" s="123">
        <f>D26+D27</f>
        <v>4169359.5692720003</v>
      </c>
      <c r="E25" s="608">
        <f t="shared" si="0"/>
        <v>145.54922970190989</v>
      </c>
    </row>
    <row r="26" spans="1:8" s="568" customFormat="1" ht="18.95" customHeight="1">
      <c r="A26" s="597"/>
      <c r="B26" s="1006" t="s">
        <v>1078</v>
      </c>
      <c r="C26" s="1009">
        <v>2463207</v>
      </c>
      <c r="D26" s="599">
        <f>'TH CHI_62_342_51_52_53_31'!F103</f>
        <v>2795442.0380000002</v>
      </c>
      <c r="E26" s="608">
        <f t="shared" si="0"/>
        <v>113.48790572615295</v>
      </c>
      <c r="F26" s="571"/>
    </row>
    <row r="27" spans="1:8" s="568" customFormat="1" ht="18.95" customHeight="1">
      <c r="A27" s="597"/>
      <c r="B27" s="1006" t="s">
        <v>1079</v>
      </c>
      <c r="C27" s="1009">
        <v>401363</v>
      </c>
      <c r="D27" s="599">
        <f>'TH CHI_62_342_51_52_53_31'!F104</f>
        <v>1373917.5312719999</v>
      </c>
      <c r="E27" s="608">
        <f t="shared" si="0"/>
        <v>342.31295143598186</v>
      </c>
      <c r="F27" s="600"/>
    </row>
    <row r="28" spans="1:8" ht="18.95" customHeight="1">
      <c r="A28" s="120">
        <v>3</v>
      </c>
      <c r="B28" s="121" t="s">
        <v>74</v>
      </c>
      <c r="C28" s="122">
        <v>0</v>
      </c>
      <c r="D28" s="123">
        <f>'TH CHI_62_342_51_52_53_31'!F77</f>
        <v>1736404.7300210001</v>
      </c>
      <c r="E28" s="602">
        <v>0</v>
      </c>
      <c r="F28" s="103"/>
      <c r="G28" s="400"/>
    </row>
    <row r="29" spans="1:8" s="604" customFormat="1" ht="18.95" customHeight="1">
      <c r="A29" s="601">
        <v>4</v>
      </c>
      <c r="B29" s="121" t="s">
        <v>76</v>
      </c>
      <c r="C29" s="122">
        <v>0</v>
      </c>
      <c r="D29" s="123">
        <f>'TH CHI_62_342_51_52_53_31'!F107</f>
        <v>31031</v>
      </c>
      <c r="E29" s="602">
        <v>0</v>
      </c>
      <c r="F29" s="603"/>
    </row>
    <row r="30" spans="1:8" s="545" customFormat="1" ht="31.5">
      <c r="A30" s="609" t="s">
        <v>118</v>
      </c>
      <c r="B30" s="1010" t="s">
        <v>1081</v>
      </c>
      <c r="C30" s="1007">
        <v>86500</v>
      </c>
      <c r="D30" s="1008">
        <v>86597.686707000001</v>
      </c>
      <c r="E30" s="607">
        <f t="shared" si="0"/>
        <v>100.11293260924856</v>
      </c>
    </row>
    <row r="31" spans="1:8" s="545" customFormat="1" ht="18.95" customHeight="1">
      <c r="A31" s="606" t="s">
        <v>320</v>
      </c>
      <c r="B31" s="153" t="s">
        <v>1080</v>
      </c>
      <c r="C31" s="1007">
        <v>0</v>
      </c>
      <c r="D31" s="1008">
        <f>D10-D23</f>
        <v>6143.3973080031574</v>
      </c>
      <c r="E31" s="602">
        <v>0</v>
      </c>
      <c r="F31" s="546"/>
    </row>
    <row r="32" spans="1:8" ht="18.95" customHeight="1">
      <c r="A32" s="112" t="s">
        <v>80</v>
      </c>
      <c r="B32" s="113" t="s">
        <v>1082</v>
      </c>
      <c r="C32" s="114"/>
      <c r="D32" s="124"/>
      <c r="E32" s="148"/>
    </row>
    <row r="33" spans="1:9" ht="18.95" customHeight="1">
      <c r="A33" s="141" t="s">
        <v>108</v>
      </c>
      <c r="B33" s="142" t="s">
        <v>133</v>
      </c>
      <c r="C33" s="149">
        <f>C34+C37+C40+C41+C42+C43</f>
        <v>3524330</v>
      </c>
      <c r="D33" s="614">
        <f>D34+D37+D40+D41+D42+D43</f>
        <v>5228790.4778159996</v>
      </c>
      <c r="E33" s="607">
        <f>D33/C33*100</f>
        <v>148.36268107174979</v>
      </c>
      <c r="F33" s="115"/>
      <c r="G33" s="103"/>
      <c r="H33" s="103"/>
    </row>
    <row r="34" spans="1:9" ht="18.95" customHeight="1">
      <c r="A34" s="120">
        <v>1</v>
      </c>
      <c r="B34" s="121" t="s">
        <v>1083</v>
      </c>
      <c r="C34" s="122">
        <f>+C35+C36</f>
        <v>659760</v>
      </c>
      <c r="D34" s="123">
        <f>D35+D36</f>
        <v>726051.64765499998</v>
      </c>
      <c r="E34" s="607">
        <f t="shared" ref="E34:E45" si="1">D34/C34*100</f>
        <v>110.04784279965443</v>
      </c>
      <c r="F34" s="115"/>
    </row>
    <row r="35" spans="1:9" ht="18.95" customHeight="1">
      <c r="A35" s="120"/>
      <c r="B35" s="1004" t="s">
        <v>1072</v>
      </c>
      <c r="C35" s="122">
        <v>659760</v>
      </c>
      <c r="D35" s="123">
        <f>'TH THU_61_342_50_31'!O15</f>
        <v>726051.64765499998</v>
      </c>
      <c r="E35" s="615">
        <f t="shared" si="1"/>
        <v>110.04784279965443</v>
      </c>
    </row>
    <row r="36" spans="1:9" ht="18.95" customHeight="1">
      <c r="A36" s="120"/>
      <c r="B36" s="1004" t="s">
        <v>1073</v>
      </c>
      <c r="C36" s="122">
        <v>0</v>
      </c>
      <c r="D36" s="122">
        <f>'TH THU_61_342_50_31'!M24</f>
        <v>0</v>
      </c>
      <c r="E36" s="122">
        <v>0</v>
      </c>
      <c r="F36" s="150"/>
      <c r="G36" s="103"/>
    </row>
    <row r="37" spans="1:9" ht="18.95" customHeight="1">
      <c r="A37" s="120">
        <v>2</v>
      </c>
      <c r="B37" s="121" t="s">
        <v>71</v>
      </c>
      <c r="C37" s="122">
        <f>C38+C39</f>
        <v>2864570</v>
      </c>
      <c r="D37" s="123">
        <f>D38+D39</f>
        <v>4169359.5692720003</v>
      </c>
      <c r="E37" s="607">
        <f t="shared" si="1"/>
        <v>145.54922970190989</v>
      </c>
      <c r="F37" s="442"/>
      <c r="G37" s="103"/>
    </row>
    <row r="38" spans="1:9" ht="18.95" customHeight="1">
      <c r="A38" s="120"/>
      <c r="B38" s="1006" t="s">
        <v>1074</v>
      </c>
      <c r="C38" s="122">
        <v>2463207</v>
      </c>
      <c r="D38" s="123">
        <f>'TH THU_61_342_50_31'!G100</f>
        <v>2795442.0380000002</v>
      </c>
      <c r="E38" s="615">
        <f t="shared" si="1"/>
        <v>113.48790572615295</v>
      </c>
      <c r="F38" s="151"/>
      <c r="G38" s="103"/>
    </row>
    <row r="39" spans="1:9" ht="18.95" customHeight="1">
      <c r="A39" s="120"/>
      <c r="B39" s="1006" t="s">
        <v>115</v>
      </c>
      <c r="C39" s="122">
        <f>C27</f>
        <v>401363</v>
      </c>
      <c r="D39" s="123">
        <f>'TH THU_61_342_50_31'!G101</f>
        <v>1373917.5312719999</v>
      </c>
      <c r="E39" s="615">
        <f t="shared" si="1"/>
        <v>342.31295143598186</v>
      </c>
    </row>
    <row r="40" spans="1:9" ht="18.95" customHeight="1">
      <c r="A40" s="120">
        <v>3</v>
      </c>
      <c r="B40" s="121" t="s">
        <v>993</v>
      </c>
      <c r="C40" s="122">
        <v>0</v>
      </c>
      <c r="D40" s="123">
        <f>'TH THU_61_342_50_31'!G106+'TH THU_61_342_50_31'!H106</f>
        <v>108399.269512</v>
      </c>
      <c r="E40" s="602">
        <v>0</v>
      </c>
    </row>
    <row r="41" spans="1:9" ht="18.95" customHeight="1">
      <c r="A41" s="120">
        <v>4</v>
      </c>
      <c r="B41" s="121" t="s">
        <v>992</v>
      </c>
      <c r="C41" s="122">
        <v>0</v>
      </c>
      <c r="D41" s="123">
        <f>'TH THU_61_342_50_31'!G105+'TH THU_61_342_50_31'!H105</f>
        <v>207788.92537700001</v>
      </c>
      <c r="E41" s="602">
        <v>0</v>
      </c>
    </row>
    <row r="42" spans="1:9" ht="18.95" customHeight="1">
      <c r="A42" s="120">
        <v>5</v>
      </c>
      <c r="B42" s="121" t="s">
        <v>77</v>
      </c>
      <c r="C42" s="122">
        <v>0</v>
      </c>
      <c r="D42" s="123">
        <f>'TH THU_61_342_50_31'!G85+'TH THU_61_342_50_31'!H85</f>
        <v>17191.065999999999</v>
      </c>
      <c r="E42" s="602">
        <v>0</v>
      </c>
    </row>
    <row r="43" spans="1:9" ht="18.95" customHeight="1">
      <c r="A43" s="120">
        <v>6</v>
      </c>
      <c r="B43" s="121" t="s">
        <v>69</v>
      </c>
      <c r="C43" s="122">
        <v>0</v>
      </c>
      <c r="D43" s="122">
        <f>'TH THU_61_342_50_31'!G104+'TH THU_61_342_50_31'!G104</f>
        <v>0</v>
      </c>
      <c r="E43" s="602">
        <v>0</v>
      </c>
    </row>
    <row r="44" spans="1:9" ht="18.95" customHeight="1">
      <c r="A44" s="152" t="s">
        <v>109</v>
      </c>
      <c r="B44" s="153" t="s">
        <v>1084</v>
      </c>
      <c r="C44" s="1011">
        <f>C45+C46</f>
        <v>3524330</v>
      </c>
      <c r="D44" s="1012">
        <f>D45+D46+D47</f>
        <v>5112209.5071529998</v>
      </c>
      <c r="E44" s="607">
        <f t="shared" si="1"/>
        <v>145.05479075889599</v>
      </c>
      <c r="F44" s="103"/>
      <c r="G44" s="103"/>
      <c r="H44" s="103"/>
    </row>
    <row r="45" spans="1:9" s="604" customFormat="1" ht="18.95" customHeight="1">
      <c r="A45" s="601">
        <v>1</v>
      </c>
      <c r="B45" s="121" t="s">
        <v>1085</v>
      </c>
      <c r="C45" s="122">
        <v>3524330</v>
      </c>
      <c r="D45" s="123">
        <f>'TH CHI_62_342_51_52_53_31'!I8+'TH CHI_62_342_51_52_53_31'!L8-D46</f>
        <v>4909626.5644889995</v>
      </c>
      <c r="E45" s="608">
        <f t="shared" si="1"/>
        <v>139.30666437277438</v>
      </c>
      <c r="F45" s="611"/>
      <c r="G45" s="611"/>
      <c r="H45" s="603"/>
      <c r="I45" s="603"/>
    </row>
    <row r="46" spans="1:9" s="604" customFormat="1" ht="18.95" customHeight="1">
      <c r="A46" s="610">
        <v>2</v>
      </c>
      <c r="B46" s="1013" t="s">
        <v>74</v>
      </c>
      <c r="C46" s="1014">
        <v>0</v>
      </c>
      <c r="D46" s="1015">
        <f>'TH CHI_62_342_51_52_53_31'!I77+'TH CHI_62_342_51_52_53_31'!L77</f>
        <v>200767.11586200001</v>
      </c>
      <c r="E46" s="602">
        <v>0</v>
      </c>
      <c r="G46" s="611"/>
    </row>
    <row r="47" spans="1:9" s="604" customFormat="1" ht="18.95" customHeight="1">
      <c r="A47" s="610">
        <v>3</v>
      </c>
      <c r="B47" s="121" t="s">
        <v>76</v>
      </c>
      <c r="C47" s="1014">
        <v>0</v>
      </c>
      <c r="D47" s="1015">
        <f>'TH CHI_62_342_51_52_53_31'!I107+'TH CHI_62_342_51_52_53_31'!L107</f>
        <v>1815.826802</v>
      </c>
      <c r="E47" s="602">
        <v>0</v>
      </c>
      <c r="G47" s="611"/>
    </row>
    <row r="48" spans="1:9" s="545" customFormat="1">
      <c r="A48" s="612" t="s">
        <v>118</v>
      </c>
      <c r="B48" s="1016" t="s">
        <v>1086</v>
      </c>
      <c r="C48" s="1017">
        <v>0</v>
      </c>
      <c r="D48" s="1018">
        <f>D33-D44</f>
        <v>116580.9706629999</v>
      </c>
      <c r="E48" s="616">
        <v>0</v>
      </c>
      <c r="F48" s="546">
        <f>+'CAN DOI_60_342 BTC'!E23+'CAN DOI_60_342 BTC'!F23</f>
        <v>116580.9706630006</v>
      </c>
      <c r="G48" s="546"/>
    </row>
    <row r="49" spans="2:7" s="126" customFormat="1" ht="21" customHeight="1">
      <c r="B49" s="127"/>
      <c r="C49" s="1669" t="s">
        <v>1046</v>
      </c>
      <c r="D49" s="1669"/>
      <c r="E49" s="1669"/>
      <c r="F49" s="151">
        <f>+D48-F48</f>
        <v>-6.9849193096160889E-10</v>
      </c>
      <c r="G49" s="309"/>
    </row>
    <row r="50" spans="2:7">
      <c r="B50" s="129"/>
      <c r="C50" s="1670" t="s">
        <v>85</v>
      </c>
      <c r="D50" s="1670"/>
      <c r="E50" s="1670"/>
      <c r="F50" s="151"/>
    </row>
    <row r="51" spans="2:7">
      <c r="B51" s="103"/>
      <c r="C51" s="1663" t="s">
        <v>86</v>
      </c>
      <c r="D51" s="1663"/>
      <c r="E51" s="1663"/>
    </row>
  </sheetData>
  <sheetProtection selectLockedCells="1" selectUnlockedCells="1"/>
  <mergeCells count="8">
    <mergeCell ref="C51:E51"/>
    <mergeCell ref="A5:A6"/>
    <mergeCell ref="B5:B6"/>
    <mergeCell ref="D1:E1"/>
    <mergeCell ref="A3:E3"/>
    <mergeCell ref="D4:E4"/>
    <mergeCell ref="C49:E49"/>
    <mergeCell ref="C50:E50"/>
  </mergeCells>
  <phoneticPr fontId="160" type="noConversion"/>
  <pageMargins left="0.25" right="0" top="0.25" bottom="0.25" header="0" footer="0"/>
  <pageSetup paperSize="9" firstPageNumber="0"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46"/>
  <sheetViews>
    <sheetView topLeftCell="A41" zoomScale="90" zoomScaleNormal="90" workbookViewId="0">
      <selection activeCell="M22" sqref="M22"/>
    </sheetView>
  </sheetViews>
  <sheetFormatPr defaultRowHeight="15.75"/>
  <cols>
    <col min="1" max="1" width="40.7109375" style="154" customWidth="1"/>
    <col min="2" max="3" width="13.28515625" style="154" customWidth="1"/>
    <col min="4" max="4" width="14.42578125" style="154" customWidth="1"/>
    <col min="5" max="5" width="12" style="154" customWidth="1"/>
    <col min="6" max="6" width="14" style="154" customWidth="1"/>
    <col min="7" max="7" width="13" style="154" customWidth="1"/>
    <col min="8" max="8" width="13.42578125" style="154" customWidth="1"/>
    <col min="9" max="9" width="8.7109375" style="154" customWidth="1"/>
    <col min="10" max="10" width="9.7109375" style="155" customWidth="1"/>
    <col min="11" max="11" width="0" style="155" hidden="1" customWidth="1"/>
    <col min="12" max="12" width="16" style="155" customWidth="1"/>
    <col min="13" max="13" width="17" style="155" customWidth="1"/>
    <col min="14" max="14" width="17.5703125" style="155" customWidth="1"/>
    <col min="15" max="15" width="16" style="155" customWidth="1"/>
    <col min="16" max="17" width="13.7109375" style="155" bestFit="1" customWidth="1"/>
    <col min="18" max="16384" width="9.140625" style="155"/>
  </cols>
  <sheetData>
    <row r="1" spans="1:17" ht="21" customHeight="1">
      <c r="A1" s="154" t="s">
        <v>43</v>
      </c>
      <c r="J1" s="473" t="s">
        <v>540</v>
      </c>
      <c r="K1" s="156"/>
      <c r="L1" s="158">
        <v>14244945.773980999</v>
      </c>
      <c r="M1" s="158">
        <v>8530937.6147980001</v>
      </c>
      <c r="N1" s="158">
        <f>+M2-M1</f>
        <v>21016.874656999484</v>
      </c>
      <c r="O1" s="158">
        <f>+F8-M1</f>
        <v>1980878.8323480021</v>
      </c>
    </row>
    <row r="2" spans="1:17" ht="24" customHeight="1">
      <c r="A2" s="1673" t="s">
        <v>1042</v>
      </c>
      <c r="B2" s="1673"/>
      <c r="C2" s="1673"/>
      <c r="D2" s="1673"/>
      <c r="E2" s="1673"/>
      <c r="F2" s="1673"/>
      <c r="G2" s="1673"/>
      <c r="H2" s="1673"/>
      <c r="I2" s="1673"/>
      <c r="J2" s="1673"/>
      <c r="K2" s="157"/>
      <c r="L2" s="446">
        <f>D8-L1</f>
        <v>2892390.8488249984</v>
      </c>
      <c r="M2" s="155">
        <v>8551954.4894549996</v>
      </c>
      <c r="N2" s="155">
        <v>3214</v>
      </c>
    </row>
    <row r="3" spans="1:17" ht="22.5" customHeight="1">
      <c r="I3" s="154" t="s">
        <v>134</v>
      </c>
      <c r="J3" s="156"/>
      <c r="K3" s="156"/>
      <c r="M3" s="158">
        <f>+F8-M1</f>
        <v>1980878.8323480021</v>
      </c>
      <c r="N3" s="158">
        <f>+N1+N2</f>
        <v>24230.874656999484</v>
      </c>
    </row>
    <row r="4" spans="1:17">
      <c r="A4" s="159"/>
      <c r="B4" s="1674" t="s">
        <v>939</v>
      </c>
      <c r="C4" s="1674"/>
      <c r="D4" s="160" t="s">
        <v>96</v>
      </c>
      <c r="E4" s="1674" t="s">
        <v>135</v>
      </c>
      <c r="F4" s="1674"/>
      <c r="G4" s="1674"/>
      <c r="H4" s="1674"/>
      <c r="I4" s="1674" t="s">
        <v>97</v>
      </c>
      <c r="J4" s="1674"/>
      <c r="K4" s="161"/>
      <c r="L4" s="155">
        <v>1695</v>
      </c>
      <c r="M4" s="155">
        <f>+N4+O4+P4+Q4</f>
        <v>17122262.622806001</v>
      </c>
      <c r="N4" s="155">
        <v>363259.21860899997</v>
      </c>
      <c r="O4" s="155">
        <v>10496742.447146</v>
      </c>
      <c r="P4" s="155">
        <v>5077232.2499320004</v>
      </c>
      <c r="Q4" s="155">
        <v>1185028.7071189999</v>
      </c>
    </row>
    <row r="5" spans="1:17">
      <c r="A5" s="162" t="s">
        <v>122</v>
      </c>
      <c r="B5" s="163" t="s">
        <v>101</v>
      </c>
      <c r="C5" s="163" t="s">
        <v>99</v>
      </c>
      <c r="D5" s="163" t="s">
        <v>136</v>
      </c>
      <c r="E5" s="163" t="s">
        <v>137</v>
      </c>
      <c r="F5" s="163" t="s">
        <v>137</v>
      </c>
      <c r="G5" s="163" t="s">
        <v>137</v>
      </c>
      <c r="H5" s="163" t="s">
        <v>137</v>
      </c>
      <c r="I5" s="163" t="s">
        <v>101</v>
      </c>
      <c r="J5" s="163" t="s">
        <v>99</v>
      </c>
      <c r="K5" s="163" t="s">
        <v>138</v>
      </c>
      <c r="L5" s="158">
        <f>+D10-L4</f>
        <v>4684272.9937059991</v>
      </c>
      <c r="M5" s="158">
        <f>+C8+50000</f>
        <v>4252000</v>
      </c>
      <c r="N5" s="158">
        <f>+N4-E8</f>
        <v>0</v>
      </c>
      <c r="O5" s="158">
        <f>+O4-F8</f>
        <v>-15074.000000001863</v>
      </c>
      <c r="P5" s="158">
        <f>+P4-G8</f>
        <v>0</v>
      </c>
      <c r="Q5" s="158">
        <f>+Q4-H8</f>
        <v>0</v>
      </c>
    </row>
    <row r="6" spans="1:17">
      <c r="A6" s="164"/>
      <c r="B6" s="163" t="s">
        <v>102</v>
      </c>
      <c r="C6" s="163" t="s">
        <v>103</v>
      </c>
      <c r="D6" s="163">
        <v>2018</v>
      </c>
      <c r="E6" s="163" t="s">
        <v>101</v>
      </c>
      <c r="F6" s="163" t="s">
        <v>139</v>
      </c>
      <c r="G6" s="163" t="s">
        <v>140</v>
      </c>
      <c r="H6" s="163" t="s">
        <v>141</v>
      </c>
      <c r="I6" s="163" t="s">
        <v>102</v>
      </c>
      <c r="J6" s="163" t="s">
        <v>103</v>
      </c>
      <c r="K6" s="157">
        <v>2009</v>
      </c>
      <c r="L6" s="155">
        <v>4387998.603162</v>
      </c>
      <c r="M6" s="158">
        <f>G8-L6</f>
        <v>689233.64677000046</v>
      </c>
      <c r="P6" s="158"/>
    </row>
    <row r="7" spans="1:17">
      <c r="A7" s="165" t="s">
        <v>142</v>
      </c>
      <c r="B7" s="165">
        <v>1</v>
      </c>
      <c r="C7" s="165">
        <v>2</v>
      </c>
      <c r="D7" s="166" t="s">
        <v>143</v>
      </c>
      <c r="E7" s="165">
        <v>4</v>
      </c>
      <c r="F7" s="165">
        <v>5</v>
      </c>
      <c r="G7" s="165">
        <v>6</v>
      </c>
      <c r="H7" s="165">
        <v>7</v>
      </c>
      <c r="I7" s="167" t="s">
        <v>144</v>
      </c>
      <c r="J7" s="168" t="s">
        <v>145</v>
      </c>
      <c r="K7" s="169"/>
      <c r="M7" s="158"/>
      <c r="O7" s="158"/>
      <c r="P7" s="158"/>
    </row>
    <row r="8" spans="1:17" ht="18" customHeight="1">
      <c r="A8" s="170" t="s">
        <v>146</v>
      </c>
      <c r="B8" s="171">
        <f>B9+B91+B98+B105+B106+B129</f>
        <v>4042000</v>
      </c>
      <c r="C8" s="171">
        <f>C9+C91+C98+C105+C106</f>
        <v>4202000</v>
      </c>
      <c r="D8" s="171">
        <f>D9+D91+D98+D105+D106+D129</f>
        <v>17137336.622805998</v>
      </c>
      <c r="E8" s="171">
        <f>E9+E91+E98+E105+E106+E129</f>
        <v>363259.21860900003</v>
      </c>
      <c r="F8" s="171">
        <f>F9+F91+F98+F105+F106+F129</f>
        <v>10511816.447146002</v>
      </c>
      <c r="G8" s="171">
        <f>G9+G91+G98+G105+G106+G129</f>
        <v>5077232.2499320004</v>
      </c>
      <c r="H8" s="171">
        <f>H9+H91+H98+H105+H106+H129</f>
        <v>1185028.7071189999</v>
      </c>
      <c r="I8" s="172">
        <f t="shared" ref="I8:I13" si="0">+D8/B8*100</f>
        <v>423.98160867902021</v>
      </c>
      <c r="J8" s="172">
        <f t="shared" ref="J8:J13" si="1">+D8/C8*100</f>
        <v>407.83761596396948</v>
      </c>
      <c r="K8" s="173"/>
      <c r="M8" s="158" t="s">
        <v>953</v>
      </c>
      <c r="N8" s="158"/>
      <c r="O8" s="158">
        <f>D10-E10</f>
        <v>4357005.0339459991</v>
      </c>
    </row>
    <row r="9" spans="1:17" ht="18" customHeight="1">
      <c r="A9" s="174" t="s">
        <v>147</v>
      </c>
      <c r="B9" s="172">
        <f>B10+B77+B84+B85+B88</f>
        <v>4042000</v>
      </c>
      <c r="C9" s="172">
        <f>+C10+C77</f>
        <v>4202000</v>
      </c>
      <c r="D9" s="172">
        <f>D10+D77+D84+D85+D88</f>
        <v>4751713.3185549984</v>
      </c>
      <c r="E9" s="172">
        <f>E10+E77+E84+E85+E88</f>
        <v>358045.21860900003</v>
      </c>
      <c r="F9" s="172">
        <f>F10+F77+F84+F85+F88</f>
        <v>3650425.3862910001</v>
      </c>
      <c r="G9" s="172">
        <f>G10+G77+G84+G85+G88</f>
        <v>659396.85408099997</v>
      </c>
      <c r="H9" s="172">
        <f>H10+H77+H84+H85+H88</f>
        <v>83845.859574000002</v>
      </c>
      <c r="I9" s="172">
        <f t="shared" si="0"/>
        <v>117.55846903896582</v>
      </c>
      <c r="J9" s="172">
        <f t="shared" si="1"/>
        <v>113.08218273572103</v>
      </c>
      <c r="K9" s="175">
        <f>+(D10+D77)/(C10+C77)*100</f>
        <v>112.20966807603519</v>
      </c>
      <c r="L9" s="176"/>
      <c r="M9" s="176" t="s">
        <v>950</v>
      </c>
      <c r="N9" s="158"/>
      <c r="O9" s="158">
        <f>+O8-O10</f>
        <v>1653659.9229969992</v>
      </c>
      <c r="P9" s="158"/>
    </row>
    <row r="10" spans="1:17" s="177" customFormat="1" ht="18" customHeight="1">
      <c r="A10" s="174" t="s">
        <v>148</v>
      </c>
      <c r="B10" s="172">
        <f>B11+B20+B29+B37+B45+B46+B47+B48+B49+B52+B53+B57+B58+B60+B62+B63+B44+B69+B61</f>
        <v>4031000</v>
      </c>
      <c r="C10" s="172">
        <f>+C11+C20+C29+C37+C44+C45+C46+C47+C48+C49+C52+C53+C58+C60+C62+C63+C61+C76</f>
        <v>4191000</v>
      </c>
      <c r="D10" s="172">
        <f>D11+D20+D29+D37+D45+D46+D47+D48+D49+D52+D53+D57+D58+D60+D62+D63+D44+D69+D54+D55+D56+D59+D61</f>
        <v>4685967.9937059991</v>
      </c>
      <c r="E10" s="172">
        <f>E11+E20+E29+E37+E45+E46+E47+E48+E49+E52+E53+E57+E58+E60+E62+E63+E44+E69+E54+E55+E56+E59+E61</f>
        <v>328962.95976000006</v>
      </c>
      <c r="F10" s="172">
        <f>F11+F20+F29+F37+F45+F46+F47+F48+F49+F52+F53+F57+F58+F60+F62+F63+F44+F69+F54+F55+F56+F59+F61</f>
        <v>3630953.3862910001</v>
      </c>
      <c r="G10" s="172">
        <f>G11+G20+G29+G37+G45+G46+G47+G48+G49+G52+G53+G57+G58+G60+G62+G63+G44+G69+G54+G55+G56+G59+G61</f>
        <v>653749.42008099996</v>
      </c>
      <c r="H10" s="172">
        <f>H11+H20+H29+H37+H45+H46+H47+H48+H49+H52+H53+H57+H58+H60+H62+H63+H44+H69+H54+H55+H56+H59+H61</f>
        <v>72302.227574000004</v>
      </c>
      <c r="I10" s="172">
        <f t="shared" si="0"/>
        <v>116.24827570592903</v>
      </c>
      <c r="J10" s="172">
        <f t="shared" si="1"/>
        <v>111.81025993094724</v>
      </c>
      <c r="K10" s="175" t="e">
        <f>D10/"#REF!*100"</f>
        <v>#VALUE!</v>
      </c>
      <c r="L10" s="528"/>
      <c r="M10" s="529" t="s">
        <v>954</v>
      </c>
      <c r="N10" s="180"/>
      <c r="O10" s="930">
        <f>F12+F13+F14+F21+F22+F23+G21+G22+F30+F31+F38+G38+F39+F40+G39+F47+F48</f>
        <v>2703345.1109489999</v>
      </c>
      <c r="P10" s="180"/>
    </row>
    <row r="11" spans="1:17" s="177" customFormat="1" ht="18" customHeight="1">
      <c r="A11" s="174" t="s">
        <v>913</v>
      </c>
      <c r="B11" s="172">
        <f>SUM(B12:B19)</f>
        <v>1191000</v>
      </c>
      <c r="C11" s="172">
        <f>SUM(C12:C19)</f>
        <v>1191000</v>
      </c>
      <c r="D11" s="172">
        <f>+E11+F11+G11+H11</f>
        <v>1546024.2765840001</v>
      </c>
      <c r="E11" s="172">
        <f>SUM(E12:E19)</f>
        <v>0</v>
      </c>
      <c r="F11" s="178">
        <f>SUM(F12:F19)</f>
        <v>1546024.2765840001</v>
      </c>
      <c r="G11" s="183">
        <f>SUM(G12:G19)</f>
        <v>0</v>
      </c>
      <c r="H11" s="183">
        <f>SUM(H12:H19)</f>
        <v>0</v>
      </c>
      <c r="I11" s="172">
        <f t="shared" si="0"/>
        <v>129.80892330680101</v>
      </c>
      <c r="J11" s="172">
        <f t="shared" si="1"/>
        <v>129.80892330680101</v>
      </c>
      <c r="K11" s="175" t="e">
        <f>D11/"#REF!*100"</f>
        <v>#VALUE!</v>
      </c>
      <c r="L11" s="179"/>
      <c r="N11" s="180"/>
    </row>
    <row r="12" spans="1:17">
      <c r="A12" s="181" t="s">
        <v>916</v>
      </c>
      <c r="B12" s="182">
        <v>963150</v>
      </c>
      <c r="C12" s="182">
        <v>963150</v>
      </c>
      <c r="D12" s="182">
        <f>+E12+F12+G12+H12</f>
        <v>1228346.5174159999</v>
      </c>
      <c r="E12" s="183">
        <v>0</v>
      </c>
      <c r="F12" s="182">
        <v>1228346.5174159999</v>
      </c>
      <c r="G12" s="183">
        <v>0</v>
      </c>
      <c r="H12" s="183">
        <v>0</v>
      </c>
      <c r="I12" s="182">
        <f t="shared" si="0"/>
        <v>127.53429034065304</v>
      </c>
      <c r="J12" s="182">
        <f t="shared" si="1"/>
        <v>127.53429034065304</v>
      </c>
      <c r="K12" s="184" t="e">
        <f>D12/"#REF!*100"</f>
        <v>#VALUE!</v>
      </c>
      <c r="L12" s="185"/>
      <c r="M12" s="441" t="s">
        <v>958</v>
      </c>
      <c r="O12" s="158">
        <f>+F10</f>
        <v>3630953.3862910001</v>
      </c>
      <c r="P12" s="158"/>
    </row>
    <row r="13" spans="1:17" ht="18" customHeight="1">
      <c r="A13" s="186" t="s">
        <v>914</v>
      </c>
      <c r="B13" s="501">
        <v>227000</v>
      </c>
      <c r="C13" s="501">
        <v>227000</v>
      </c>
      <c r="D13" s="182">
        <f>+E13+F13+G13+H13</f>
        <v>314104.28264500003</v>
      </c>
      <c r="E13" s="183">
        <v>0</v>
      </c>
      <c r="F13" s="182">
        <v>314104.28264500003</v>
      </c>
      <c r="G13" s="183">
        <v>0</v>
      </c>
      <c r="H13" s="183">
        <v>0</v>
      </c>
      <c r="I13" s="182">
        <f t="shared" si="0"/>
        <v>138.37193068061674</v>
      </c>
      <c r="J13" s="182">
        <f t="shared" si="1"/>
        <v>138.37193068061674</v>
      </c>
      <c r="K13" s="184"/>
      <c r="L13" s="526"/>
      <c r="M13" s="446" t="s">
        <v>951</v>
      </c>
      <c r="N13" s="158"/>
      <c r="O13" s="158">
        <f>+O9-O16</f>
        <v>1223411.8926109993</v>
      </c>
      <c r="P13" s="158"/>
    </row>
    <row r="14" spans="1:17" ht="18" customHeight="1">
      <c r="A14" s="186" t="s">
        <v>915</v>
      </c>
      <c r="B14" s="183">
        <v>0</v>
      </c>
      <c r="C14" s="183">
        <v>0</v>
      </c>
      <c r="D14" s="183">
        <f t="shared" ref="D14:D68" si="2">+E14+F14+G14+H14</f>
        <v>0</v>
      </c>
      <c r="E14" s="183">
        <v>0</v>
      </c>
      <c r="F14" s="183">
        <v>0</v>
      </c>
      <c r="G14" s="183">
        <v>0</v>
      </c>
      <c r="H14" s="183">
        <v>0</v>
      </c>
      <c r="I14" s="183">
        <v>0</v>
      </c>
      <c r="J14" s="183">
        <v>0</v>
      </c>
      <c r="K14" s="184" t="e">
        <f>D14/"#REF!*100"</f>
        <v>#VALUE!</v>
      </c>
      <c r="L14" s="185"/>
      <c r="M14" s="530" t="s">
        <v>952</v>
      </c>
      <c r="O14" s="158">
        <f>+O10-O17</f>
        <v>2407541.4936799998</v>
      </c>
      <c r="P14" s="158">
        <f>+F12+F13+F14+F21+F22+F23+F30+F31+F38+F39+F40+F47+F48</f>
        <v>2407541.4936800003</v>
      </c>
    </row>
    <row r="15" spans="1:17" ht="18" customHeight="1">
      <c r="A15" s="186" t="s">
        <v>149</v>
      </c>
      <c r="B15" s="183">
        <v>0</v>
      </c>
      <c r="C15" s="183">
        <v>0</v>
      </c>
      <c r="D15" s="183">
        <f t="shared" si="2"/>
        <v>0</v>
      </c>
      <c r="E15" s="183">
        <v>0</v>
      </c>
      <c r="F15" s="183">
        <v>0</v>
      </c>
      <c r="G15" s="183">
        <v>0</v>
      </c>
      <c r="H15" s="183">
        <v>0</v>
      </c>
      <c r="I15" s="183">
        <v>0</v>
      </c>
      <c r="J15" s="183">
        <v>0</v>
      </c>
      <c r="K15" s="184"/>
      <c r="L15" s="527"/>
      <c r="M15" s="158" t="s">
        <v>957</v>
      </c>
      <c r="N15" s="158"/>
      <c r="O15" s="158">
        <f>+G10+H10</f>
        <v>726051.64765499998</v>
      </c>
    </row>
    <row r="16" spans="1:17" ht="18" customHeight="1">
      <c r="A16" s="186" t="s">
        <v>150</v>
      </c>
      <c r="B16" s="182">
        <v>850</v>
      </c>
      <c r="C16" s="182">
        <v>850</v>
      </c>
      <c r="D16" s="182">
        <f t="shared" si="2"/>
        <v>3573.4765229999998</v>
      </c>
      <c r="E16" s="183">
        <v>0</v>
      </c>
      <c r="F16" s="182">
        <v>3573.4765229999998</v>
      </c>
      <c r="G16" s="183">
        <v>0</v>
      </c>
      <c r="H16" s="183">
        <v>0</v>
      </c>
      <c r="I16" s="182">
        <f t="shared" ref="I16:I82" si="3">+D16/B16*100</f>
        <v>420.40900270588236</v>
      </c>
      <c r="J16" s="182">
        <f>+D16/C16*100</f>
        <v>420.40900270588236</v>
      </c>
      <c r="K16" s="184"/>
      <c r="M16" s="155" t="s">
        <v>955</v>
      </c>
      <c r="N16" s="158"/>
      <c r="O16" s="158">
        <f>+O15-O17</f>
        <v>430248.030386</v>
      </c>
    </row>
    <row r="17" spans="1:16" ht="18" customHeight="1">
      <c r="A17" s="186" t="s">
        <v>151</v>
      </c>
      <c r="B17" s="183">
        <v>0</v>
      </c>
      <c r="C17" s="183">
        <v>0</v>
      </c>
      <c r="D17" s="183">
        <f t="shared" si="2"/>
        <v>0</v>
      </c>
      <c r="E17" s="183">
        <v>0</v>
      </c>
      <c r="F17" s="183">
        <v>0</v>
      </c>
      <c r="G17" s="183">
        <v>0</v>
      </c>
      <c r="H17" s="183">
        <v>0</v>
      </c>
      <c r="I17" s="183">
        <v>0</v>
      </c>
      <c r="J17" s="183">
        <v>0</v>
      </c>
      <c r="K17" s="184" t="e">
        <f>D17/"#REF!*100"</f>
        <v>#VALUE!</v>
      </c>
      <c r="M17" s="158" t="s">
        <v>956</v>
      </c>
      <c r="N17" s="158"/>
      <c r="O17" s="158">
        <f>+G21+G22+G38+G39</f>
        <v>295803.61726899998</v>
      </c>
      <c r="P17" s="158"/>
    </row>
    <row r="18" spans="1:16" ht="18" customHeight="1">
      <c r="A18" s="186" t="s">
        <v>152</v>
      </c>
      <c r="B18" s="183">
        <v>0</v>
      </c>
      <c r="C18" s="183">
        <v>0</v>
      </c>
      <c r="D18" s="183">
        <f t="shared" si="2"/>
        <v>0</v>
      </c>
      <c r="E18" s="183">
        <v>0</v>
      </c>
      <c r="F18" s="183">
        <v>0</v>
      </c>
      <c r="G18" s="183">
        <v>0</v>
      </c>
      <c r="H18" s="183">
        <v>0</v>
      </c>
      <c r="I18" s="183">
        <v>0</v>
      </c>
      <c r="J18" s="183">
        <v>0</v>
      </c>
      <c r="K18" s="184"/>
    </row>
    <row r="19" spans="1:16" ht="18" customHeight="1">
      <c r="A19" s="186" t="s">
        <v>153</v>
      </c>
      <c r="B19" s="183">
        <v>0</v>
      </c>
      <c r="C19" s="183">
        <v>0</v>
      </c>
      <c r="D19" s="183">
        <f>+E19+F19+G19+H19</f>
        <v>0</v>
      </c>
      <c r="E19" s="183">
        <v>0</v>
      </c>
      <c r="F19" s="183">
        <v>0</v>
      </c>
      <c r="G19" s="183">
        <v>0</v>
      </c>
      <c r="H19" s="183">
        <v>0</v>
      </c>
      <c r="I19" s="183">
        <v>0</v>
      </c>
      <c r="J19" s="183">
        <v>0</v>
      </c>
      <c r="K19" s="184" t="e">
        <f>D19/"#REF!*100"</f>
        <v>#VALUE!</v>
      </c>
      <c r="L19" s="158"/>
      <c r="M19" s="158"/>
      <c r="N19" s="158"/>
    </row>
    <row r="20" spans="1:16" s="177" customFormat="1" ht="18" customHeight="1">
      <c r="A20" s="174" t="s">
        <v>917</v>
      </c>
      <c r="B20" s="172">
        <f>SUM(B21:B28)</f>
        <v>155000</v>
      </c>
      <c r="C20" s="172">
        <f>SUM(C21:C28)</f>
        <v>155000</v>
      </c>
      <c r="D20" s="172">
        <f>+E20+F20+G20+H20</f>
        <v>84102.993558999995</v>
      </c>
      <c r="E20" s="183">
        <f>SUM(E21:E28)</f>
        <v>0</v>
      </c>
      <c r="F20" s="178">
        <f>SUM(F21:F28)</f>
        <v>82776.833870000002</v>
      </c>
      <c r="G20" s="172">
        <f>SUM(G21:G28)</f>
        <v>1326.1596890000001</v>
      </c>
      <c r="H20" s="183">
        <f>SUM(H21:H28)</f>
        <v>0</v>
      </c>
      <c r="I20" s="918">
        <f t="shared" si="3"/>
        <v>54.259995844516126</v>
      </c>
      <c r="J20" s="172">
        <f>+D20/C20*100</f>
        <v>54.259995844516126</v>
      </c>
      <c r="K20" s="175" t="e">
        <f>D20/"#REF!*100"</f>
        <v>#VALUE!</v>
      </c>
      <c r="N20" s="180"/>
    </row>
    <row r="21" spans="1:16" ht="18" customHeight="1">
      <c r="A21" s="186" t="s">
        <v>918</v>
      </c>
      <c r="B21" s="182">
        <v>72200</v>
      </c>
      <c r="C21" s="182">
        <v>72200</v>
      </c>
      <c r="D21" s="182">
        <f>+E21+F21+G21+H21</f>
        <v>45091.352215999999</v>
      </c>
      <c r="E21" s="183">
        <v>0</v>
      </c>
      <c r="F21" s="182">
        <v>44770.108957999997</v>
      </c>
      <c r="G21" s="182">
        <v>321.24325800000003</v>
      </c>
      <c r="H21" s="183">
        <v>0</v>
      </c>
      <c r="I21" s="182">
        <f t="shared" si="3"/>
        <v>62.453396421052631</v>
      </c>
      <c r="J21" s="182">
        <f>+D21/C21*100</f>
        <v>62.453396421052631</v>
      </c>
      <c r="K21" s="184" t="e">
        <f>D21/"#REF!*100"</f>
        <v>#VALUE!</v>
      </c>
      <c r="M21" s="158"/>
    </row>
    <row r="22" spans="1:16" ht="18" customHeight="1">
      <c r="A22" s="186" t="s">
        <v>919</v>
      </c>
      <c r="B22" s="182">
        <v>75000</v>
      </c>
      <c r="C22" s="182">
        <v>75000</v>
      </c>
      <c r="D22" s="182">
        <f t="shared" si="2"/>
        <v>35288.194295000001</v>
      </c>
      <c r="E22" s="183">
        <v>0</v>
      </c>
      <c r="F22" s="182">
        <v>34283.277864000003</v>
      </c>
      <c r="G22" s="182">
        <v>1004.916431</v>
      </c>
      <c r="H22" s="183">
        <v>0</v>
      </c>
      <c r="I22" s="182">
        <f t="shared" si="3"/>
        <v>47.050925726666669</v>
      </c>
      <c r="J22" s="182">
        <f>+D22/C22*100</f>
        <v>47.050925726666669</v>
      </c>
      <c r="K22" s="184" t="e">
        <f>D22/"#REF!*100"</f>
        <v>#VALUE!</v>
      </c>
      <c r="L22" s="158"/>
      <c r="M22" s="158"/>
      <c r="N22" s="158"/>
    </row>
    <row r="23" spans="1:16" ht="18" customHeight="1">
      <c r="A23" s="186" t="s">
        <v>920</v>
      </c>
      <c r="B23" s="182">
        <v>300</v>
      </c>
      <c r="C23" s="182">
        <v>300</v>
      </c>
      <c r="D23" s="182">
        <f t="shared" si="2"/>
        <v>526.56280900000002</v>
      </c>
      <c r="E23" s="183">
        <v>0</v>
      </c>
      <c r="F23" s="182">
        <v>526.56280900000002</v>
      </c>
      <c r="G23" s="183">
        <v>0</v>
      </c>
      <c r="H23" s="183">
        <v>0</v>
      </c>
      <c r="I23" s="182">
        <f t="shared" si="3"/>
        <v>175.52093633333334</v>
      </c>
      <c r="J23" s="182">
        <f>+D23/C23*100</f>
        <v>175.52093633333334</v>
      </c>
      <c r="K23" s="184" t="e">
        <f>D23/"#REF!*100"</f>
        <v>#VALUE!</v>
      </c>
      <c r="M23" s="158"/>
    </row>
    <row r="24" spans="1:16" ht="18" customHeight="1">
      <c r="A24" s="186" t="s">
        <v>154</v>
      </c>
      <c r="B24" s="183">
        <v>0</v>
      </c>
      <c r="C24" s="183">
        <v>0</v>
      </c>
      <c r="D24" s="183">
        <f t="shared" si="2"/>
        <v>0</v>
      </c>
      <c r="E24" s="183">
        <v>0</v>
      </c>
      <c r="F24" s="183">
        <v>0</v>
      </c>
      <c r="G24" s="183">
        <v>0</v>
      </c>
      <c r="H24" s="183">
        <v>0</v>
      </c>
      <c r="I24" s="183">
        <v>0</v>
      </c>
      <c r="J24" s="183">
        <v>0</v>
      </c>
      <c r="K24" s="184"/>
      <c r="M24" s="188"/>
      <c r="N24" s="158"/>
    </row>
    <row r="25" spans="1:16" ht="18" customHeight="1">
      <c r="A25" s="186" t="s">
        <v>155</v>
      </c>
      <c r="B25" s="182">
        <v>7500</v>
      </c>
      <c r="C25" s="182">
        <v>7500</v>
      </c>
      <c r="D25" s="182">
        <f t="shared" si="2"/>
        <v>3196.884239</v>
      </c>
      <c r="E25" s="183">
        <v>0</v>
      </c>
      <c r="F25" s="187">
        <v>3196.884239</v>
      </c>
      <c r="G25" s="183">
        <v>0</v>
      </c>
      <c r="H25" s="183">
        <v>0</v>
      </c>
      <c r="I25" s="182">
        <f t="shared" si="3"/>
        <v>42.62512318666667</v>
      </c>
      <c r="J25" s="182">
        <f>+D25/C25*100</f>
        <v>42.62512318666667</v>
      </c>
      <c r="K25" s="184" t="e">
        <f t="shared" ref="K25:K34" si="4">D25/"#REF!*100"</f>
        <v>#VALUE!</v>
      </c>
      <c r="M25" s="188"/>
      <c r="N25" s="158"/>
    </row>
    <row r="26" spans="1:16" ht="18" customHeight="1">
      <c r="A26" s="186" t="s">
        <v>156</v>
      </c>
      <c r="B26" s="183">
        <v>0</v>
      </c>
      <c r="C26" s="183">
        <v>0</v>
      </c>
      <c r="D26" s="183">
        <f t="shared" si="2"/>
        <v>0</v>
      </c>
      <c r="E26" s="183">
        <v>0</v>
      </c>
      <c r="F26" s="183">
        <v>0</v>
      </c>
      <c r="G26" s="183">
        <v>0</v>
      </c>
      <c r="H26" s="183">
        <v>0</v>
      </c>
      <c r="I26" s="183">
        <v>0</v>
      </c>
      <c r="J26" s="183">
        <v>0</v>
      </c>
      <c r="K26" s="184" t="e">
        <f t="shared" si="4"/>
        <v>#VALUE!</v>
      </c>
      <c r="M26" s="158"/>
    </row>
    <row r="27" spans="1:16" ht="18" customHeight="1">
      <c r="A27" s="186" t="s">
        <v>157</v>
      </c>
      <c r="B27" s="183">
        <v>0</v>
      </c>
      <c r="C27" s="183">
        <v>0</v>
      </c>
      <c r="D27" s="183">
        <f t="shared" si="2"/>
        <v>0</v>
      </c>
      <c r="E27" s="183">
        <v>0</v>
      </c>
      <c r="F27" s="183">
        <v>0</v>
      </c>
      <c r="G27" s="183">
        <v>0</v>
      </c>
      <c r="H27" s="183">
        <v>0</v>
      </c>
      <c r="I27" s="183">
        <v>0</v>
      </c>
      <c r="J27" s="183">
        <v>0</v>
      </c>
      <c r="K27" s="184" t="e">
        <f t="shared" si="4"/>
        <v>#VALUE!</v>
      </c>
    </row>
    <row r="28" spans="1:16" ht="18" customHeight="1">
      <c r="A28" s="186" t="s">
        <v>158</v>
      </c>
      <c r="B28" s="183">
        <v>0</v>
      </c>
      <c r="C28" s="183">
        <v>0</v>
      </c>
      <c r="D28" s="183">
        <f t="shared" si="2"/>
        <v>0</v>
      </c>
      <c r="E28" s="183">
        <v>0</v>
      </c>
      <c r="F28" s="183">
        <v>0</v>
      </c>
      <c r="G28" s="183">
        <v>0</v>
      </c>
      <c r="H28" s="183">
        <v>0</v>
      </c>
      <c r="I28" s="183">
        <v>0</v>
      </c>
      <c r="J28" s="183">
        <v>0</v>
      </c>
      <c r="K28" s="184" t="e">
        <f t="shared" si="4"/>
        <v>#VALUE!</v>
      </c>
    </row>
    <row r="29" spans="1:16" s="177" customFormat="1" ht="18" customHeight="1">
      <c r="A29" s="174" t="s">
        <v>159</v>
      </c>
      <c r="B29" s="172">
        <f>SUM(B30:B36)</f>
        <v>10000</v>
      </c>
      <c r="C29" s="172">
        <f>SUM(C30:C36)</f>
        <v>10000</v>
      </c>
      <c r="D29" s="172">
        <f>+E29+F29+G29+H29</f>
        <v>71510.326986</v>
      </c>
      <c r="E29" s="172">
        <f>SUM(E30:E36)</f>
        <v>0</v>
      </c>
      <c r="F29" s="178">
        <f>SUM(F30:F36)</f>
        <v>71510.326986</v>
      </c>
      <c r="G29" s="183">
        <f>SUM(G30:G36)</f>
        <v>0</v>
      </c>
      <c r="H29" s="183">
        <f>SUM(H30:H36)</f>
        <v>0</v>
      </c>
      <c r="I29" s="182">
        <f t="shared" si="3"/>
        <v>715.10326985999995</v>
      </c>
      <c r="J29" s="47">
        <f t="shared" ref="J29:J34" si="5">+D29/C29*100</f>
        <v>715.10326985999995</v>
      </c>
      <c r="K29" s="189" t="e">
        <f t="shared" si="4"/>
        <v>#VALUE!</v>
      </c>
      <c r="L29" s="190"/>
      <c r="N29" s="180"/>
    </row>
    <row r="30" spans="1:16" ht="18" customHeight="1">
      <c r="A30" s="186" t="s">
        <v>225</v>
      </c>
      <c r="B30" s="182">
        <v>5450</v>
      </c>
      <c r="C30" s="182">
        <v>5450</v>
      </c>
      <c r="D30" s="182">
        <f t="shared" si="2"/>
        <v>26602.593685</v>
      </c>
      <c r="E30" s="183">
        <v>0</v>
      </c>
      <c r="F30" s="187">
        <v>26602.593685</v>
      </c>
      <c r="G30" s="183">
        <v>0</v>
      </c>
      <c r="H30" s="183">
        <v>0</v>
      </c>
      <c r="I30" s="182">
        <f t="shared" si="3"/>
        <v>488.12098504587152</v>
      </c>
      <c r="J30" s="182">
        <f t="shared" si="5"/>
        <v>488.12098504587152</v>
      </c>
      <c r="K30" s="184" t="e">
        <f t="shared" si="4"/>
        <v>#VALUE!</v>
      </c>
      <c r="N30" s="158"/>
    </row>
    <row r="31" spans="1:16" ht="18" customHeight="1">
      <c r="A31" s="186" t="s">
        <v>160</v>
      </c>
      <c r="B31" s="182">
        <v>4500</v>
      </c>
      <c r="C31" s="182">
        <v>4500</v>
      </c>
      <c r="D31" s="182">
        <f t="shared" si="2"/>
        <v>44900.533301000003</v>
      </c>
      <c r="E31" s="183">
        <v>0</v>
      </c>
      <c r="F31" s="187">
        <v>44900.533301000003</v>
      </c>
      <c r="G31" s="183">
        <v>0</v>
      </c>
      <c r="H31" s="183">
        <v>0</v>
      </c>
      <c r="I31" s="182">
        <f t="shared" si="3"/>
        <v>997.78962891111109</v>
      </c>
      <c r="J31" s="51">
        <f t="shared" si="5"/>
        <v>997.78962891111109</v>
      </c>
      <c r="K31" s="191" t="e">
        <f t="shared" si="4"/>
        <v>#VALUE!</v>
      </c>
    </row>
    <row r="32" spans="1:16" ht="18" customHeight="1">
      <c r="A32" s="186" t="s">
        <v>924</v>
      </c>
      <c r="B32" s="183">
        <v>0</v>
      </c>
      <c r="C32" s="183">
        <v>0</v>
      </c>
      <c r="D32" s="183">
        <v>0</v>
      </c>
      <c r="E32" s="183">
        <v>0</v>
      </c>
      <c r="F32" s="183">
        <v>0</v>
      </c>
      <c r="G32" s="183">
        <v>0</v>
      </c>
      <c r="H32" s="183">
        <v>0</v>
      </c>
      <c r="I32" s="183">
        <v>0</v>
      </c>
      <c r="J32" s="183">
        <v>0</v>
      </c>
      <c r="K32" s="191"/>
    </row>
    <row r="33" spans="1:13" ht="18" customHeight="1">
      <c r="A33" s="186" t="s">
        <v>925</v>
      </c>
      <c r="B33" s="183">
        <v>0</v>
      </c>
      <c r="C33" s="183">
        <v>0</v>
      </c>
      <c r="D33" s="183">
        <f t="shared" si="2"/>
        <v>0</v>
      </c>
      <c r="E33" s="183">
        <v>0</v>
      </c>
      <c r="F33" s="183">
        <v>0</v>
      </c>
      <c r="G33" s="183">
        <v>0</v>
      </c>
      <c r="H33" s="183">
        <v>0</v>
      </c>
      <c r="I33" s="183">
        <v>0</v>
      </c>
      <c r="J33" s="183">
        <v>0</v>
      </c>
      <c r="K33" s="184" t="e">
        <f t="shared" si="4"/>
        <v>#VALUE!</v>
      </c>
    </row>
    <row r="34" spans="1:13" ht="18" customHeight="1">
      <c r="A34" s="186" t="s">
        <v>926</v>
      </c>
      <c r="B34" s="182">
        <v>50</v>
      </c>
      <c r="C34" s="182">
        <v>50</v>
      </c>
      <c r="D34" s="183">
        <f t="shared" si="2"/>
        <v>0</v>
      </c>
      <c r="E34" s="183">
        <v>0</v>
      </c>
      <c r="F34" s="183">
        <v>0</v>
      </c>
      <c r="G34" s="183">
        <v>0</v>
      </c>
      <c r="H34" s="183">
        <v>0</v>
      </c>
      <c r="I34" s="183">
        <f t="shared" si="3"/>
        <v>0</v>
      </c>
      <c r="J34" s="183">
        <f t="shared" si="5"/>
        <v>0</v>
      </c>
      <c r="K34" s="184" t="e">
        <f t="shared" si="4"/>
        <v>#VALUE!</v>
      </c>
    </row>
    <row r="35" spans="1:13" ht="18" customHeight="1">
      <c r="A35" s="186" t="s">
        <v>927</v>
      </c>
      <c r="B35" s="183">
        <v>0</v>
      </c>
      <c r="C35" s="183">
        <v>0</v>
      </c>
      <c r="D35" s="182">
        <f t="shared" si="2"/>
        <v>7.2</v>
      </c>
      <c r="E35" s="183">
        <v>0</v>
      </c>
      <c r="F35" s="187">
        <v>7.2</v>
      </c>
      <c r="G35" s="183">
        <v>0</v>
      </c>
      <c r="H35" s="183">
        <v>0</v>
      </c>
      <c r="I35" s="183">
        <v>0</v>
      </c>
      <c r="J35" s="183">
        <v>0</v>
      </c>
      <c r="K35" s="184"/>
      <c r="M35" s="158"/>
    </row>
    <row r="36" spans="1:13" ht="18" customHeight="1">
      <c r="A36" s="186" t="s">
        <v>928</v>
      </c>
      <c r="B36" s="183">
        <v>0</v>
      </c>
      <c r="C36" s="183">
        <v>0</v>
      </c>
      <c r="D36" s="183">
        <f t="shared" si="2"/>
        <v>0</v>
      </c>
      <c r="E36" s="183">
        <v>0</v>
      </c>
      <c r="F36" s="183">
        <v>0</v>
      </c>
      <c r="G36" s="183">
        <v>0</v>
      </c>
      <c r="H36" s="183">
        <v>0</v>
      </c>
      <c r="I36" s="183">
        <v>0</v>
      </c>
      <c r="J36" s="183">
        <v>0</v>
      </c>
      <c r="K36" s="184" t="e">
        <f>D36/"#REF!*100"</f>
        <v>#VALUE!</v>
      </c>
    </row>
    <row r="37" spans="1:13" s="177" customFormat="1" ht="18" customHeight="1">
      <c r="A37" s="174" t="s">
        <v>161</v>
      </c>
      <c r="B37" s="172">
        <f>SUM(B38:B43)</f>
        <v>601000</v>
      </c>
      <c r="C37" s="172">
        <f>SUM(C38:C43)</f>
        <v>601000</v>
      </c>
      <c r="D37" s="172">
        <f t="shared" si="2"/>
        <v>556933.40420400002</v>
      </c>
      <c r="E37" s="172">
        <f>SUM(E38:E43)</f>
        <v>458.74193200000002</v>
      </c>
      <c r="F37" s="178">
        <f>SUM(F38:F43)</f>
        <v>261997.204692</v>
      </c>
      <c r="G37" s="172">
        <f>SUM(G38:G43)</f>
        <v>294477.45757999999</v>
      </c>
      <c r="H37" s="183">
        <f>SUM(H38:H43)</f>
        <v>0</v>
      </c>
      <c r="I37" s="182">
        <f t="shared" si="3"/>
        <v>92.667787721131461</v>
      </c>
      <c r="J37" s="172">
        <f>+D37/C37*100</f>
        <v>92.667787721131461</v>
      </c>
      <c r="K37" s="175" t="e">
        <f>D37/"#REF!*100"</f>
        <v>#VALUE!</v>
      </c>
      <c r="L37" s="177">
        <v>543050.16736399999</v>
      </c>
      <c r="M37" s="177" t="s">
        <v>162</v>
      </c>
    </row>
    <row r="38" spans="1:13" ht="18" customHeight="1">
      <c r="A38" s="186" t="s">
        <v>921</v>
      </c>
      <c r="B38" s="182">
        <v>471700</v>
      </c>
      <c r="C38" s="182">
        <v>482410</v>
      </c>
      <c r="D38" s="182">
        <f>+E38+F38+G38+H38</f>
        <v>362517.98718499998</v>
      </c>
      <c r="E38" s="182">
        <v>0</v>
      </c>
      <c r="F38" s="187">
        <v>118928.622932</v>
      </c>
      <c r="G38" s="182">
        <v>243589.36425300001</v>
      </c>
      <c r="H38" s="183">
        <v>0</v>
      </c>
      <c r="I38" s="182">
        <f t="shared" si="3"/>
        <v>76.853505869196511</v>
      </c>
      <c r="J38" s="182">
        <f>+D38/C38*100</f>
        <v>75.147278701726734</v>
      </c>
      <c r="K38" s="184" t="e">
        <f>D38/"#REF!*100"</f>
        <v>#VALUE!</v>
      </c>
      <c r="L38" s="158">
        <f>+D37-L37</f>
        <v>13883.236840000027</v>
      </c>
    </row>
    <row r="39" spans="1:13" ht="18" customHeight="1">
      <c r="A39" s="186" t="s">
        <v>922</v>
      </c>
      <c r="B39" s="182">
        <v>123000</v>
      </c>
      <c r="C39" s="182">
        <v>109150</v>
      </c>
      <c r="D39" s="182">
        <f t="shared" si="2"/>
        <v>184195.147069</v>
      </c>
      <c r="E39" s="182">
        <v>0</v>
      </c>
      <c r="F39" s="187">
        <v>133307.05374199999</v>
      </c>
      <c r="G39" s="182">
        <v>50888.093327000002</v>
      </c>
      <c r="H39" s="183">
        <v>0</v>
      </c>
      <c r="I39" s="182">
        <f t="shared" si="3"/>
        <v>149.75215208861789</v>
      </c>
      <c r="J39" s="182">
        <f>+D39/C39*100</f>
        <v>168.75414298579935</v>
      </c>
      <c r="K39" s="184" t="e">
        <f>D39/"#REF!*100"</f>
        <v>#VALUE!</v>
      </c>
    </row>
    <row r="40" spans="1:13" ht="18" customHeight="1">
      <c r="A40" s="186" t="s">
        <v>923</v>
      </c>
      <c r="B40" s="182">
        <v>1800</v>
      </c>
      <c r="C40" s="182">
        <v>1625</v>
      </c>
      <c r="D40" s="182">
        <f t="shared" si="2"/>
        <v>1709.2983829999998</v>
      </c>
      <c r="E40" s="183">
        <v>458.74193200000002</v>
      </c>
      <c r="F40" s="187">
        <v>1250.5564509999999</v>
      </c>
      <c r="G40" s="183">
        <v>0</v>
      </c>
      <c r="H40" s="183">
        <v>0</v>
      </c>
      <c r="I40" s="182">
        <f t="shared" si="3"/>
        <v>94.961021277777775</v>
      </c>
      <c r="J40" s="182">
        <f>+D40/C40*100</f>
        <v>105.18759279999999</v>
      </c>
      <c r="K40" s="184" t="e">
        <f>D40/"#REF!*100"</f>
        <v>#VALUE!</v>
      </c>
    </row>
    <row r="41" spans="1:13" ht="18" customHeight="1">
      <c r="A41" s="186" t="s">
        <v>163</v>
      </c>
      <c r="B41" s="182">
        <v>4500</v>
      </c>
      <c r="C41" s="182">
        <v>4455</v>
      </c>
      <c r="D41" s="182">
        <f t="shared" si="2"/>
        <v>8510.9715670000005</v>
      </c>
      <c r="E41" s="183">
        <v>0</v>
      </c>
      <c r="F41" s="187">
        <v>8510.9715670000005</v>
      </c>
      <c r="G41" s="183">
        <v>0</v>
      </c>
      <c r="H41" s="183">
        <v>0</v>
      </c>
      <c r="I41" s="182">
        <f t="shared" si="3"/>
        <v>189.1327014888889</v>
      </c>
      <c r="J41" s="182">
        <f>+D41/C41*100</f>
        <v>191.0431328170595</v>
      </c>
      <c r="K41" s="184"/>
    </row>
    <row r="42" spans="1:13" ht="18" customHeight="1">
      <c r="A42" s="186" t="s">
        <v>164</v>
      </c>
      <c r="B42" s="183">
        <v>0</v>
      </c>
      <c r="C42" s="183">
        <v>0</v>
      </c>
      <c r="D42" s="183">
        <f t="shared" si="2"/>
        <v>0</v>
      </c>
      <c r="E42" s="183">
        <v>0</v>
      </c>
      <c r="F42" s="183">
        <v>0</v>
      </c>
      <c r="G42" s="183">
        <v>0</v>
      </c>
      <c r="H42" s="183">
        <v>0</v>
      </c>
      <c r="I42" s="183">
        <v>0</v>
      </c>
      <c r="J42" s="183">
        <v>0</v>
      </c>
      <c r="K42" s="184" t="e">
        <f>D42/"#REF!*100"</f>
        <v>#VALUE!</v>
      </c>
    </row>
    <row r="43" spans="1:13" ht="18" customHeight="1">
      <c r="A43" s="186" t="s">
        <v>165</v>
      </c>
      <c r="B43" s="183">
        <v>0</v>
      </c>
      <c r="C43" s="182">
        <v>3360</v>
      </c>
      <c r="D43" s="183">
        <f t="shared" si="2"/>
        <v>0</v>
      </c>
      <c r="E43" s="183">
        <v>0</v>
      </c>
      <c r="F43" s="183">
        <v>0</v>
      </c>
      <c r="G43" s="183">
        <v>0</v>
      </c>
      <c r="H43" s="183">
        <v>0</v>
      </c>
      <c r="I43" s="183">
        <v>0</v>
      </c>
      <c r="J43" s="183">
        <f t="shared" ref="J43:J48" si="6">+D43/C43*100</f>
        <v>0</v>
      </c>
      <c r="K43" s="184" t="e">
        <f>D43/"#REF!*100"</f>
        <v>#VALUE!</v>
      </c>
    </row>
    <row r="44" spans="1:13" s="177" customFormat="1" ht="18" customHeight="1">
      <c r="A44" s="174" t="s">
        <v>166</v>
      </c>
      <c r="B44" s="172">
        <v>160000</v>
      </c>
      <c r="C44" s="172">
        <v>150000</v>
      </c>
      <c r="D44" s="172">
        <f t="shared" ref="D44:D53" si="7">+E44+F44+G44+H44</f>
        <v>150901.529974</v>
      </c>
      <c r="E44" s="183">
        <v>0</v>
      </c>
      <c r="F44" s="183">
        <v>0</v>
      </c>
      <c r="G44" s="172">
        <v>132842.06804700001</v>
      </c>
      <c r="H44" s="172">
        <v>18059.461927</v>
      </c>
      <c r="I44" s="182">
        <f t="shared" si="3"/>
        <v>94.313456233750003</v>
      </c>
      <c r="J44" s="172">
        <f t="shared" si="6"/>
        <v>100.60101998266666</v>
      </c>
      <c r="K44" s="175"/>
      <c r="M44" s="180"/>
    </row>
    <row r="45" spans="1:13" s="177" customFormat="1" ht="18" customHeight="1">
      <c r="A45" s="174" t="s">
        <v>167</v>
      </c>
      <c r="B45" s="172">
        <v>7000</v>
      </c>
      <c r="C45" s="172">
        <v>7000</v>
      </c>
      <c r="D45" s="172">
        <f t="shared" si="7"/>
        <v>1730.911349</v>
      </c>
      <c r="E45" s="183">
        <v>0</v>
      </c>
      <c r="F45" s="178">
        <v>105.08002500000001</v>
      </c>
      <c r="G45" s="172">
        <v>1195.704158</v>
      </c>
      <c r="H45" s="172">
        <v>430.12716599999999</v>
      </c>
      <c r="I45" s="182">
        <f t="shared" si="3"/>
        <v>24.727304985714284</v>
      </c>
      <c r="J45" s="172">
        <f t="shared" si="6"/>
        <v>24.727304985714284</v>
      </c>
      <c r="K45" s="175" t="e">
        <f>D45/"#REF!*100"</f>
        <v>#VALUE!</v>
      </c>
      <c r="L45" s="190">
        <v>10220.554547</v>
      </c>
      <c r="M45" s="180">
        <f>+L45-D45</f>
        <v>8489.6431979999998</v>
      </c>
    </row>
    <row r="46" spans="1:13" s="177" customFormat="1" ht="18" customHeight="1">
      <c r="A46" s="174" t="s">
        <v>168</v>
      </c>
      <c r="B46" s="172">
        <v>3000</v>
      </c>
      <c r="C46" s="172">
        <v>3000</v>
      </c>
      <c r="D46" s="172">
        <f t="shared" si="7"/>
        <v>5392.989818</v>
      </c>
      <c r="E46" s="183">
        <v>0</v>
      </c>
      <c r="F46" s="183">
        <v>0</v>
      </c>
      <c r="G46" s="172">
        <v>8.9236909999999998</v>
      </c>
      <c r="H46" s="172">
        <v>5384.0661270000001</v>
      </c>
      <c r="I46" s="182">
        <f t="shared" si="3"/>
        <v>179.76632726666665</v>
      </c>
      <c r="J46" s="172">
        <f t="shared" si="6"/>
        <v>179.76632726666665</v>
      </c>
      <c r="K46" s="175"/>
      <c r="L46" s="190"/>
    </row>
    <row r="47" spans="1:13" s="177" customFormat="1" ht="18" customHeight="1">
      <c r="A47" s="174" t="s">
        <v>169</v>
      </c>
      <c r="B47" s="172">
        <v>310000</v>
      </c>
      <c r="C47" s="172">
        <v>310000</v>
      </c>
      <c r="D47" s="172">
        <f t="shared" si="7"/>
        <v>311532.13652399997</v>
      </c>
      <c r="E47" s="183">
        <v>0</v>
      </c>
      <c r="F47" s="172">
        <v>311532.13652399997</v>
      </c>
      <c r="G47" s="183">
        <v>0</v>
      </c>
      <c r="H47" s="183">
        <v>0</v>
      </c>
      <c r="I47" s="182">
        <f t="shared" si="3"/>
        <v>100.49423758838709</v>
      </c>
      <c r="J47" s="172">
        <f t="shared" si="6"/>
        <v>100.49423758838709</v>
      </c>
      <c r="K47" s="175" t="e">
        <f>D47/"#REF!*100"</f>
        <v>#VALUE!</v>
      </c>
    </row>
    <row r="48" spans="1:13" s="177" customFormat="1" ht="18" customHeight="1">
      <c r="A48" s="192" t="s">
        <v>170</v>
      </c>
      <c r="B48" s="172">
        <v>320000</v>
      </c>
      <c r="C48" s="172">
        <v>320000</v>
      </c>
      <c r="D48" s="172">
        <f t="shared" si="7"/>
        <v>400508.77685800003</v>
      </c>
      <c r="E48" s="172">
        <v>251519.52950500001</v>
      </c>
      <c r="F48" s="178">
        <v>148989.24735300001</v>
      </c>
      <c r="G48" s="183">
        <v>0</v>
      </c>
      <c r="H48" s="183">
        <v>0</v>
      </c>
      <c r="I48" s="182">
        <f t="shared" si="3"/>
        <v>125.15899276812502</v>
      </c>
      <c r="J48" s="172">
        <f t="shared" si="6"/>
        <v>125.15899276812502</v>
      </c>
      <c r="K48" s="175"/>
    </row>
    <row r="49" spans="1:12" s="177" customFormat="1" ht="18" customHeight="1">
      <c r="A49" s="174" t="s">
        <v>171</v>
      </c>
      <c r="B49" s="172">
        <f>+B50+B51</f>
        <v>65000</v>
      </c>
      <c r="C49" s="172">
        <v>75000</v>
      </c>
      <c r="D49" s="172">
        <f t="shared" si="7"/>
        <v>84442.454005999985</v>
      </c>
      <c r="E49" s="172">
        <f>+E50+E51</f>
        <v>21662.820513999999</v>
      </c>
      <c r="F49" s="178">
        <f>+F50+F51</f>
        <v>31158.494369999997</v>
      </c>
      <c r="G49" s="172">
        <f>+G50+G51</f>
        <v>12022.111008</v>
      </c>
      <c r="H49" s="172">
        <f>+H50+H51</f>
        <v>19599.028114000001</v>
      </c>
      <c r="I49" s="182">
        <f t="shared" si="3"/>
        <v>129.91146770153844</v>
      </c>
      <c r="J49" s="172">
        <f>+D49/C49*100</f>
        <v>112.58993867466664</v>
      </c>
      <c r="K49" s="175" t="e">
        <f>D49/"#REF!*100"</f>
        <v>#VALUE!</v>
      </c>
      <c r="L49" s="180">
        <v>84442.454006</v>
      </c>
    </row>
    <row r="50" spans="1:12" ht="18" customHeight="1">
      <c r="A50" s="186" t="s">
        <v>172</v>
      </c>
      <c r="B50" s="182">
        <v>16000</v>
      </c>
      <c r="C50" s="183">
        <v>0</v>
      </c>
      <c r="D50" s="182">
        <f t="shared" si="7"/>
        <v>21877.146172999997</v>
      </c>
      <c r="E50" s="182">
        <v>21662.820513999999</v>
      </c>
      <c r="F50" s="187">
        <v>214.325659</v>
      </c>
      <c r="G50" s="183">
        <v>0</v>
      </c>
      <c r="H50" s="183">
        <v>0</v>
      </c>
      <c r="I50" s="182">
        <f t="shared" si="3"/>
        <v>136.73216358124998</v>
      </c>
      <c r="J50" s="183">
        <v>0</v>
      </c>
      <c r="K50" s="184" t="e">
        <f>D50/"#REF!*100"</f>
        <v>#VALUE!</v>
      </c>
      <c r="L50" s="158">
        <f>+L49-D49</f>
        <v>0</v>
      </c>
    </row>
    <row r="51" spans="1:12" ht="18" customHeight="1">
      <c r="A51" s="186" t="s">
        <v>173</v>
      </c>
      <c r="B51" s="182">
        <v>49000</v>
      </c>
      <c r="C51" s="183">
        <v>0</v>
      </c>
      <c r="D51" s="182">
        <f t="shared" si="7"/>
        <v>62565.307832999999</v>
      </c>
      <c r="E51" s="183">
        <v>0</v>
      </c>
      <c r="F51" s="187">
        <v>30944.168710999998</v>
      </c>
      <c r="G51" s="182">
        <v>12022.111008</v>
      </c>
      <c r="H51" s="182">
        <f>9410.941742+10188.086372</f>
        <v>19599.028114000001</v>
      </c>
      <c r="I51" s="182">
        <f t="shared" si="3"/>
        <v>127.68430170000001</v>
      </c>
      <c r="J51" s="183">
        <v>0</v>
      </c>
      <c r="K51" s="184" t="e">
        <f>D51/"#REF!*100"</f>
        <v>#VALUE!</v>
      </c>
      <c r="L51" s="158"/>
    </row>
    <row r="52" spans="1:12" s="177" customFormat="1" ht="18" customHeight="1">
      <c r="A52" s="174" t="s">
        <v>174</v>
      </c>
      <c r="B52" s="172">
        <v>150000</v>
      </c>
      <c r="C52" s="172">
        <v>310000</v>
      </c>
      <c r="D52" s="172">
        <f t="shared" si="7"/>
        <v>323196.48060300003</v>
      </c>
      <c r="E52" s="183">
        <v>0</v>
      </c>
      <c r="F52" s="178">
        <v>135292.369145</v>
      </c>
      <c r="G52" s="172">
        <v>187904.111458</v>
      </c>
      <c r="H52" s="172"/>
      <c r="I52" s="182">
        <f t="shared" si="3"/>
        <v>215.464320402</v>
      </c>
      <c r="J52" s="172">
        <f t="shared" ref="J52:J58" si="8">+D52/C52*100</f>
        <v>104.2569292267742</v>
      </c>
      <c r="K52" s="175"/>
      <c r="L52" s="180"/>
    </row>
    <row r="53" spans="1:12" s="177" customFormat="1" ht="18" customHeight="1">
      <c r="A53" s="174" t="s">
        <v>175</v>
      </c>
      <c r="B53" s="172">
        <v>20000</v>
      </c>
      <c r="C53" s="172">
        <v>20000</v>
      </c>
      <c r="D53" s="172">
        <f t="shared" si="7"/>
        <v>103962.54725799999</v>
      </c>
      <c r="E53" s="183">
        <v>0</v>
      </c>
      <c r="F53" s="178">
        <v>103528.94525999999</v>
      </c>
      <c r="G53" s="172">
        <v>430.96199799999999</v>
      </c>
      <c r="H53" s="172">
        <v>2.64</v>
      </c>
      <c r="I53" s="182">
        <f t="shared" si="3"/>
        <v>519.81273628999998</v>
      </c>
      <c r="J53" s="172">
        <f t="shared" si="8"/>
        <v>519.81273628999998</v>
      </c>
      <c r="K53" s="175"/>
      <c r="L53" s="180"/>
    </row>
    <row r="54" spans="1:12" s="177" customFormat="1" ht="18" customHeight="1">
      <c r="A54" s="174" t="s">
        <v>930</v>
      </c>
      <c r="B54" s="183">
        <v>0</v>
      </c>
      <c r="C54" s="183">
        <v>0</v>
      </c>
      <c r="D54" s="183">
        <f>+E54+F54+G54+H54</f>
        <v>0</v>
      </c>
      <c r="E54" s="183">
        <v>0</v>
      </c>
      <c r="F54" s="183">
        <v>0</v>
      </c>
      <c r="G54" s="183">
        <v>0</v>
      </c>
      <c r="H54" s="183">
        <v>0</v>
      </c>
      <c r="I54" s="183">
        <v>0</v>
      </c>
      <c r="J54" s="183">
        <v>0</v>
      </c>
      <c r="K54" s="175"/>
      <c r="L54" s="180"/>
    </row>
    <row r="55" spans="1:12" s="177" customFormat="1" ht="18" customHeight="1">
      <c r="A55" s="174" t="s">
        <v>931</v>
      </c>
      <c r="B55" s="183">
        <v>0</v>
      </c>
      <c r="C55" s="183">
        <v>0</v>
      </c>
      <c r="D55" s="183">
        <f>+E55+F55+G55+H55</f>
        <v>0</v>
      </c>
      <c r="E55" s="183">
        <v>0</v>
      </c>
      <c r="F55" s="183">
        <v>0</v>
      </c>
      <c r="G55" s="183">
        <v>0</v>
      </c>
      <c r="H55" s="183">
        <v>0</v>
      </c>
      <c r="I55" s="183">
        <v>0</v>
      </c>
      <c r="J55" s="183">
        <v>0</v>
      </c>
      <c r="K55" s="175"/>
      <c r="L55" s="180"/>
    </row>
    <row r="56" spans="1:12" s="177" customFormat="1" ht="18" customHeight="1">
      <c r="A56" s="174" t="s">
        <v>932</v>
      </c>
      <c r="B56" s="183">
        <v>0</v>
      </c>
      <c r="C56" s="183">
        <v>0</v>
      </c>
      <c r="D56" s="183">
        <f>+E56+F56+G56+H56</f>
        <v>0</v>
      </c>
      <c r="E56" s="183">
        <v>0</v>
      </c>
      <c r="F56" s="183">
        <v>0</v>
      </c>
      <c r="G56" s="183">
        <v>0</v>
      </c>
      <c r="H56" s="183">
        <v>0</v>
      </c>
      <c r="I56" s="183">
        <v>0</v>
      </c>
      <c r="J56" s="183">
        <v>0</v>
      </c>
      <c r="K56" s="175"/>
      <c r="L56" s="180"/>
    </row>
    <row r="57" spans="1:12" s="177" customFormat="1" ht="30.75" customHeight="1">
      <c r="A57" s="193" t="s">
        <v>933</v>
      </c>
      <c r="B57" s="183">
        <v>0</v>
      </c>
      <c r="C57" s="183">
        <v>0</v>
      </c>
      <c r="D57" s="172">
        <f t="shared" si="2"/>
        <v>5867.3799369999997</v>
      </c>
      <c r="E57" s="183">
        <v>0</v>
      </c>
      <c r="F57" s="178">
        <v>5867.3799369999997</v>
      </c>
      <c r="G57" s="183">
        <v>0</v>
      </c>
      <c r="H57" s="183">
        <v>0</v>
      </c>
      <c r="I57" s="183">
        <v>0</v>
      </c>
      <c r="J57" s="183">
        <v>0</v>
      </c>
      <c r="K57" s="175"/>
      <c r="L57" s="180"/>
    </row>
    <row r="58" spans="1:12" s="177" customFormat="1" ht="20.25" customHeight="1">
      <c r="A58" s="193" t="s">
        <v>934</v>
      </c>
      <c r="B58" s="172">
        <v>152000</v>
      </c>
      <c r="C58" s="172">
        <f>152000</f>
        <v>152000</v>
      </c>
      <c r="D58" s="172">
        <f t="shared" si="2"/>
        <v>166853.37051400001</v>
      </c>
      <c r="E58" s="172">
        <v>55321.867809000003</v>
      </c>
      <c r="F58" s="178">
        <v>60417.985012999998</v>
      </c>
      <c r="G58" s="172">
        <v>23541.922451999999</v>
      </c>
      <c r="H58" s="172">
        <v>27571.595239999999</v>
      </c>
      <c r="I58" s="182">
        <f t="shared" si="3"/>
        <v>109.77195428552633</v>
      </c>
      <c r="J58" s="172">
        <f t="shared" si="8"/>
        <v>109.77195428552633</v>
      </c>
      <c r="K58" s="175"/>
      <c r="L58" s="180">
        <v>24230.874657</v>
      </c>
    </row>
    <row r="59" spans="1:12" s="177" customFormat="1" ht="20.25" customHeight="1">
      <c r="A59" s="193" t="s">
        <v>935</v>
      </c>
      <c r="B59" s="183">
        <v>0</v>
      </c>
      <c r="C59" s="183">
        <v>0</v>
      </c>
      <c r="D59" s="172">
        <f t="shared" ref="D59:D64" si="9">+E59+F59+G59+H59</f>
        <v>1909.098751</v>
      </c>
      <c r="E59" s="183">
        <v>0</v>
      </c>
      <c r="F59" s="178">
        <v>1909.098751</v>
      </c>
      <c r="G59" s="183">
        <v>0</v>
      </c>
      <c r="H59" s="183">
        <v>0</v>
      </c>
      <c r="I59" s="183">
        <v>0</v>
      </c>
      <c r="J59" s="183">
        <v>0</v>
      </c>
      <c r="K59" s="175"/>
      <c r="L59" s="180"/>
    </row>
    <row r="60" spans="1:12" s="177" customFormat="1" ht="29.25">
      <c r="A60" s="193" t="s">
        <v>936</v>
      </c>
      <c r="B60" s="172">
        <v>27000</v>
      </c>
      <c r="C60" s="172">
        <v>0</v>
      </c>
      <c r="D60" s="172">
        <f t="shared" si="9"/>
        <v>2316.415563</v>
      </c>
      <c r="E60" s="183">
        <v>0</v>
      </c>
      <c r="F60" s="178">
        <v>1061.1065630000001</v>
      </c>
      <c r="G60" s="183">
        <v>0</v>
      </c>
      <c r="H60" s="172">
        <v>1255.309</v>
      </c>
      <c r="I60" s="182">
        <f>+D60/B60*100</f>
        <v>8.5793169000000002</v>
      </c>
      <c r="J60" s="183">
        <v>0</v>
      </c>
      <c r="K60" s="175"/>
      <c r="L60" s="180"/>
    </row>
    <row r="61" spans="1:12" s="177" customFormat="1">
      <c r="A61" s="193" t="s">
        <v>937</v>
      </c>
      <c r="B61" s="172">
        <v>30000</v>
      </c>
      <c r="C61" s="172">
        <v>30000</v>
      </c>
      <c r="D61" s="172">
        <f t="shared" si="9"/>
        <v>18258.358273999998</v>
      </c>
      <c r="E61" s="183">
        <v>0</v>
      </c>
      <c r="F61" s="178">
        <v>18258.358273999998</v>
      </c>
      <c r="G61" s="183">
        <v>0</v>
      </c>
      <c r="H61" s="172">
        <v>0</v>
      </c>
      <c r="I61" s="182">
        <f>+D61/B61*100</f>
        <v>60.861194246666663</v>
      </c>
      <c r="J61" s="172">
        <f t="shared" ref="J61:J62" si="10">+D61/C61*100</f>
        <v>60.861194246666663</v>
      </c>
      <c r="K61" s="175"/>
      <c r="L61" s="180"/>
    </row>
    <row r="62" spans="1:12" s="177" customFormat="1">
      <c r="A62" s="193" t="s">
        <v>938</v>
      </c>
      <c r="B62" s="172">
        <v>830000</v>
      </c>
      <c r="C62" s="172">
        <v>830000</v>
      </c>
      <c r="D62" s="172">
        <f t="shared" si="9"/>
        <v>850524.54294399999</v>
      </c>
      <c r="E62" s="183">
        <v>0</v>
      </c>
      <c r="F62" s="178">
        <v>850524.54294399999</v>
      </c>
      <c r="G62" s="183">
        <v>0</v>
      </c>
      <c r="H62" s="183">
        <v>0</v>
      </c>
      <c r="I62" s="182">
        <f t="shared" si="3"/>
        <v>102.47283649927709</v>
      </c>
      <c r="J62" s="172">
        <f t="shared" si="10"/>
        <v>102.47283649927709</v>
      </c>
      <c r="K62" s="175"/>
      <c r="L62" s="180" t="s">
        <v>493</v>
      </c>
    </row>
    <row r="63" spans="1:12" s="494" customFormat="1" ht="18" hidden="1" customHeight="1">
      <c r="A63" s="489" t="s">
        <v>176</v>
      </c>
      <c r="B63" s="490">
        <f>B64+B65+B66+B68</f>
        <v>0</v>
      </c>
      <c r="C63" s="490">
        <v>0</v>
      </c>
      <c r="D63" s="490">
        <f t="shared" si="9"/>
        <v>0</v>
      </c>
      <c r="E63" s="183">
        <f>SUM(E64:E68)-E67</f>
        <v>0</v>
      </c>
      <c r="F63" s="491">
        <f>SUM(F64:F68)-F67</f>
        <v>0</v>
      </c>
      <c r="G63" s="183">
        <f>SUM(G64:G68)-G67</f>
        <v>0</v>
      </c>
      <c r="H63" s="183">
        <f>H64+H65+H66+H68</f>
        <v>0</v>
      </c>
      <c r="I63" s="492"/>
      <c r="J63" s="490"/>
      <c r="K63" s="493" t="e">
        <f>D63/"#REF!*100"</f>
        <v>#VALUE!</v>
      </c>
    </row>
    <row r="64" spans="1:12" s="441" customFormat="1" ht="18" hidden="1" customHeight="1">
      <c r="A64" s="495" t="s">
        <v>177</v>
      </c>
      <c r="B64" s="496">
        <v>0</v>
      </c>
      <c r="C64" s="496">
        <v>0</v>
      </c>
      <c r="D64" s="492">
        <f t="shared" si="9"/>
        <v>0</v>
      </c>
      <c r="E64" s="183">
        <v>0</v>
      </c>
      <c r="F64" s="496">
        <v>0</v>
      </c>
      <c r="G64" s="183">
        <v>0</v>
      </c>
      <c r="H64" s="183"/>
      <c r="I64" s="492"/>
      <c r="J64" s="492"/>
      <c r="K64" s="497" t="e">
        <f>D64/"#REF!*100"</f>
        <v>#VALUE!</v>
      </c>
    </row>
    <row r="65" spans="1:12" s="441" customFormat="1" ht="18" hidden="1" customHeight="1">
      <c r="A65" s="495" t="s">
        <v>178</v>
      </c>
      <c r="B65" s="496">
        <v>0</v>
      </c>
      <c r="C65" s="496">
        <v>0</v>
      </c>
      <c r="D65" s="492">
        <f t="shared" si="2"/>
        <v>0</v>
      </c>
      <c r="E65" s="183">
        <v>0</v>
      </c>
      <c r="F65" s="496">
        <v>0</v>
      </c>
      <c r="G65" s="183">
        <v>0</v>
      </c>
      <c r="H65" s="183"/>
      <c r="I65" s="492"/>
      <c r="J65" s="492"/>
      <c r="K65" s="497" t="e">
        <f>D65/"#REF!*100"</f>
        <v>#VALUE!</v>
      </c>
    </row>
    <row r="66" spans="1:12" s="441" customFormat="1" ht="18" hidden="1" customHeight="1">
      <c r="A66" s="495" t="s">
        <v>179</v>
      </c>
      <c r="B66" s="496">
        <v>0</v>
      </c>
      <c r="C66" s="496">
        <v>0</v>
      </c>
      <c r="D66" s="492">
        <f t="shared" si="2"/>
        <v>0</v>
      </c>
      <c r="E66" s="183">
        <v>0</v>
      </c>
      <c r="F66" s="496">
        <v>0</v>
      </c>
      <c r="G66" s="183">
        <v>0</v>
      </c>
      <c r="H66" s="183"/>
      <c r="I66" s="492"/>
      <c r="J66" s="492"/>
      <c r="K66" s="497" t="e">
        <f>D66/"#REF!*100"</f>
        <v>#VALUE!</v>
      </c>
    </row>
    <row r="67" spans="1:12" s="441" customFormat="1" ht="18" hidden="1" customHeight="1">
      <c r="A67" s="498" t="s">
        <v>180</v>
      </c>
      <c r="B67" s="496">
        <v>0</v>
      </c>
      <c r="C67" s="496">
        <v>0</v>
      </c>
      <c r="D67" s="499">
        <f t="shared" si="2"/>
        <v>0</v>
      </c>
      <c r="E67" s="183">
        <v>0</v>
      </c>
      <c r="F67" s="496">
        <v>0</v>
      </c>
      <c r="G67" s="183">
        <v>0</v>
      </c>
      <c r="H67" s="183"/>
      <c r="I67" s="492"/>
      <c r="J67" s="499"/>
      <c r="K67" s="497"/>
    </row>
    <row r="68" spans="1:12" s="441" customFormat="1" ht="18" hidden="1" customHeight="1">
      <c r="A68" s="495" t="s">
        <v>181</v>
      </c>
      <c r="B68" s="496">
        <v>0</v>
      </c>
      <c r="C68" s="496">
        <v>0</v>
      </c>
      <c r="D68" s="492">
        <f t="shared" si="2"/>
        <v>0</v>
      </c>
      <c r="E68" s="183">
        <v>0</v>
      </c>
      <c r="F68" s="496">
        <v>0</v>
      </c>
      <c r="G68" s="183">
        <v>0</v>
      </c>
      <c r="H68" s="183"/>
      <c r="I68" s="492"/>
      <c r="J68" s="492"/>
      <c r="K68" s="497" t="e">
        <f>D68/"#REF!*100"</f>
        <v>#VALUE!</v>
      </c>
    </row>
    <row r="69" spans="1:12" s="494" customFormat="1" ht="18" hidden="1" customHeight="1">
      <c r="A69" s="489" t="s">
        <v>182</v>
      </c>
      <c r="B69" s="496">
        <v>0</v>
      </c>
      <c r="C69" s="496">
        <v>0</v>
      </c>
      <c r="D69" s="490">
        <f>D70+D71+D73+D74+D75</f>
        <v>0</v>
      </c>
      <c r="E69" s="183">
        <f>E70+E71+E73+E74+E75</f>
        <v>0</v>
      </c>
      <c r="F69" s="491">
        <f>+F70+F71+F73+F74+F75</f>
        <v>0</v>
      </c>
      <c r="G69" s="183">
        <f>+G70+G71+G73+G74+G75</f>
        <v>0</v>
      </c>
      <c r="H69" s="183">
        <f>H70+H71+H73+H74+H75</f>
        <v>0</v>
      </c>
      <c r="I69" s="492"/>
      <c r="J69" s="490"/>
      <c r="K69" s="493" t="e">
        <f>D69/"#REF!*100"</f>
        <v>#VALUE!</v>
      </c>
    </row>
    <row r="70" spans="1:12" s="441" customFormat="1" ht="18" hidden="1" customHeight="1">
      <c r="A70" s="495" t="s">
        <v>183</v>
      </c>
      <c r="B70" s="496">
        <v>0</v>
      </c>
      <c r="C70" s="496">
        <v>0</v>
      </c>
      <c r="D70" s="492">
        <f t="shared" ref="D70:D75" si="11">+E70+F70+G70+H70</f>
        <v>0</v>
      </c>
      <c r="E70" s="183"/>
      <c r="F70" s="500"/>
      <c r="G70" s="183"/>
      <c r="H70" s="183"/>
      <c r="I70" s="492"/>
      <c r="J70" s="492"/>
      <c r="K70" s="497" t="e">
        <f>D70/"#REF!*100"</f>
        <v>#VALUE!</v>
      </c>
    </row>
    <row r="71" spans="1:12" s="441" customFormat="1" ht="18" hidden="1" customHeight="1">
      <c r="A71" s="495" t="s">
        <v>184</v>
      </c>
      <c r="B71" s="496">
        <v>0</v>
      </c>
      <c r="C71" s="496">
        <v>0</v>
      </c>
      <c r="D71" s="492">
        <f t="shared" si="11"/>
        <v>0</v>
      </c>
      <c r="E71" s="183"/>
      <c r="F71" s="500"/>
      <c r="G71" s="183"/>
      <c r="H71" s="183"/>
      <c r="I71" s="492"/>
      <c r="J71" s="492"/>
      <c r="K71" s="497" t="e">
        <f>D71/"#REF!*100"</f>
        <v>#VALUE!</v>
      </c>
    </row>
    <row r="72" spans="1:12" s="4" customFormat="1" ht="18" hidden="1" customHeight="1">
      <c r="A72" s="194" t="s">
        <v>185</v>
      </c>
      <c r="B72" s="195"/>
      <c r="C72" s="195"/>
      <c r="D72" s="195">
        <f t="shared" si="11"/>
        <v>0</v>
      </c>
      <c r="E72" s="183"/>
      <c r="F72" s="196"/>
      <c r="G72" s="183"/>
      <c r="H72" s="183"/>
      <c r="I72" s="182" t="e">
        <f t="shared" si="3"/>
        <v>#DIV/0!</v>
      </c>
      <c r="J72" s="195"/>
      <c r="K72" s="197"/>
    </row>
    <row r="73" spans="1:12" s="4" customFormat="1" ht="18" hidden="1" customHeight="1">
      <c r="A73" s="198" t="s">
        <v>186</v>
      </c>
      <c r="B73" s="199"/>
      <c r="C73" s="199"/>
      <c r="D73" s="199">
        <f t="shared" si="11"/>
        <v>0</v>
      </c>
      <c r="E73" s="183"/>
      <c r="F73" s="200"/>
      <c r="G73" s="183"/>
      <c r="H73" s="183"/>
      <c r="I73" s="182" t="e">
        <f t="shared" si="3"/>
        <v>#DIV/0!</v>
      </c>
      <c r="J73" s="199"/>
      <c r="K73" s="197" t="e">
        <f t="shared" ref="K73:K82" si="12">D73/"#REF!*100"</f>
        <v>#VALUE!</v>
      </c>
    </row>
    <row r="74" spans="1:12" s="4" customFormat="1" ht="18" hidden="1" customHeight="1">
      <c r="A74" s="198" t="s">
        <v>187</v>
      </c>
      <c r="B74" s="199"/>
      <c r="C74" s="199"/>
      <c r="D74" s="199">
        <f t="shared" si="11"/>
        <v>0</v>
      </c>
      <c r="E74" s="183"/>
      <c r="F74" s="200"/>
      <c r="G74" s="183"/>
      <c r="H74" s="183"/>
      <c r="I74" s="182" t="e">
        <f t="shared" si="3"/>
        <v>#DIV/0!</v>
      </c>
      <c r="J74" s="199"/>
      <c r="K74" s="197" t="e">
        <f t="shared" si="12"/>
        <v>#VALUE!</v>
      </c>
    </row>
    <row r="75" spans="1:12" s="4" customFormat="1" ht="18" hidden="1" customHeight="1">
      <c r="A75" s="198" t="s">
        <v>188</v>
      </c>
      <c r="B75" s="199"/>
      <c r="C75" s="199"/>
      <c r="D75" s="199">
        <f t="shared" si="11"/>
        <v>0</v>
      </c>
      <c r="E75" s="183"/>
      <c r="F75" s="200"/>
      <c r="G75" s="183"/>
      <c r="H75" s="183"/>
      <c r="I75" s="182" t="e">
        <f t="shared" si="3"/>
        <v>#DIV/0!</v>
      </c>
      <c r="J75" s="199"/>
      <c r="K75" s="197" t="e">
        <f t="shared" si="12"/>
        <v>#VALUE!</v>
      </c>
    </row>
    <row r="76" spans="1:12" s="177" customFormat="1" ht="18" customHeight="1">
      <c r="A76" s="193" t="s">
        <v>940</v>
      </c>
      <c r="B76" s="183">
        <v>0</v>
      </c>
      <c r="C76" s="172">
        <v>27000</v>
      </c>
      <c r="D76" s="183">
        <v>0</v>
      </c>
      <c r="E76" s="183">
        <v>0</v>
      </c>
      <c r="F76" s="183">
        <v>0</v>
      </c>
      <c r="G76" s="183">
        <v>0</v>
      </c>
      <c r="H76" s="183">
        <v>0</v>
      </c>
      <c r="I76" s="172">
        <v>0</v>
      </c>
      <c r="J76" s="172">
        <v>0</v>
      </c>
      <c r="K76" s="175"/>
    </row>
    <row r="77" spans="1:12" s="494" customFormat="1" ht="18" customHeight="1">
      <c r="A77" s="489" t="s">
        <v>189</v>
      </c>
      <c r="B77" s="490">
        <f>+B78+B79+B81+B82+B83</f>
        <v>11000</v>
      </c>
      <c r="C77" s="490">
        <v>11000</v>
      </c>
      <c r="D77" s="490">
        <f>D78+D79+D81+D82+D83+D80</f>
        <v>29082.258848999998</v>
      </c>
      <c r="E77" s="490">
        <f>E78+E79+E81+E82+E83+E80</f>
        <v>29082.258848999998</v>
      </c>
      <c r="F77" s="496">
        <f>F78+F79+F81+F82+F83</f>
        <v>0</v>
      </c>
      <c r="G77" s="496">
        <f>G78+G79+G81+G82+G83</f>
        <v>0</v>
      </c>
      <c r="H77" s="496">
        <f>H78+H79+H81+H82+H83</f>
        <v>0</v>
      </c>
      <c r="I77" s="490">
        <f t="shared" si="3"/>
        <v>264.38417135454546</v>
      </c>
      <c r="J77" s="490">
        <f>+D77/C77*100</f>
        <v>264.38417135454546</v>
      </c>
      <c r="K77" s="493" t="e">
        <f t="shared" si="12"/>
        <v>#VALUE!</v>
      </c>
      <c r="L77" s="494">
        <v>16903.514629000001</v>
      </c>
    </row>
    <row r="78" spans="1:12" ht="18" customHeight="1">
      <c r="A78" s="186" t="s">
        <v>190</v>
      </c>
      <c r="B78" s="183">
        <v>0</v>
      </c>
      <c r="C78" s="183">
        <v>0</v>
      </c>
      <c r="D78" s="182">
        <f t="shared" ref="D78:D84" si="13">+E78+F78+G78+H78</f>
        <v>0</v>
      </c>
      <c r="E78" s="182">
        <v>0</v>
      </c>
      <c r="F78" s="183">
        <v>0</v>
      </c>
      <c r="G78" s="183">
        <v>0</v>
      </c>
      <c r="H78" s="183">
        <v>0</v>
      </c>
      <c r="I78" s="182">
        <v>0</v>
      </c>
      <c r="J78" s="502">
        <v>0</v>
      </c>
      <c r="K78" s="184" t="e">
        <f t="shared" si="12"/>
        <v>#VALUE!</v>
      </c>
      <c r="L78" s="158">
        <f>+L77-D77</f>
        <v>-12178.744219999997</v>
      </c>
    </row>
    <row r="79" spans="1:12" ht="18" customHeight="1">
      <c r="A79" s="186" t="s">
        <v>191</v>
      </c>
      <c r="B79" s="182">
        <v>1420</v>
      </c>
      <c r="C79" s="183">
        <v>0</v>
      </c>
      <c r="D79" s="182">
        <f>+E79+F79+G79+H79</f>
        <v>846.65086299999996</v>
      </c>
      <c r="E79" s="182">
        <v>846.65086299999996</v>
      </c>
      <c r="F79" s="183">
        <v>0</v>
      </c>
      <c r="G79" s="183">
        <v>0</v>
      </c>
      <c r="H79" s="183">
        <v>0</v>
      </c>
      <c r="I79" s="182">
        <f t="shared" si="3"/>
        <v>59.623300211267605</v>
      </c>
      <c r="J79" s="502">
        <v>0</v>
      </c>
      <c r="K79" s="184" t="e">
        <f t="shared" si="12"/>
        <v>#VALUE!</v>
      </c>
    </row>
    <row r="80" spans="1:12" ht="18" customHeight="1">
      <c r="A80" s="186" t="s">
        <v>929</v>
      </c>
      <c r="B80" s="183">
        <v>0</v>
      </c>
      <c r="C80" s="183">
        <v>0</v>
      </c>
      <c r="D80" s="182">
        <f>+E80+F80+G80+H80</f>
        <v>100.896101</v>
      </c>
      <c r="E80" s="182">
        <v>100.896101</v>
      </c>
      <c r="F80" s="183">
        <v>0</v>
      </c>
      <c r="G80" s="183">
        <v>0</v>
      </c>
      <c r="H80" s="183">
        <v>0</v>
      </c>
      <c r="I80" s="183">
        <v>0</v>
      </c>
      <c r="J80" s="502">
        <v>0</v>
      </c>
      <c r="K80" s="184"/>
    </row>
    <row r="81" spans="1:15" ht="18" customHeight="1">
      <c r="A81" s="186" t="s">
        <v>192</v>
      </c>
      <c r="B81" s="182">
        <v>80</v>
      </c>
      <c r="C81" s="183">
        <v>0</v>
      </c>
      <c r="D81" s="182">
        <f t="shared" si="13"/>
        <v>386.70600000000002</v>
      </c>
      <c r="E81" s="182">
        <v>386.70600000000002</v>
      </c>
      <c r="F81" s="183">
        <v>0</v>
      </c>
      <c r="G81" s="183">
        <v>0</v>
      </c>
      <c r="H81" s="183">
        <v>0</v>
      </c>
      <c r="I81" s="183">
        <v>0</v>
      </c>
      <c r="J81" s="502">
        <v>0</v>
      </c>
      <c r="K81" s="184" t="e">
        <f t="shared" si="12"/>
        <v>#VALUE!</v>
      </c>
    </row>
    <row r="82" spans="1:15" ht="18" customHeight="1">
      <c r="A82" s="186" t="s">
        <v>193</v>
      </c>
      <c r="B82" s="182">
        <v>9500</v>
      </c>
      <c r="C82" s="183">
        <v>0</v>
      </c>
      <c r="D82" s="182">
        <f t="shared" si="13"/>
        <v>27722.228384999999</v>
      </c>
      <c r="E82" s="182">
        <v>27722.228384999999</v>
      </c>
      <c r="F82" s="183">
        <v>0</v>
      </c>
      <c r="G82" s="183">
        <v>0</v>
      </c>
      <c r="H82" s="183">
        <v>0</v>
      </c>
      <c r="I82" s="182">
        <f t="shared" si="3"/>
        <v>291.81293036842101</v>
      </c>
      <c r="J82" s="502">
        <v>0</v>
      </c>
      <c r="K82" s="184" t="e">
        <f t="shared" si="12"/>
        <v>#VALUE!</v>
      </c>
      <c r="L82" s="155">
        <f>27900/1000000</f>
        <v>2.7900000000000001E-2</v>
      </c>
    </row>
    <row r="83" spans="1:15" ht="18" customHeight="1">
      <c r="A83" s="186" t="s">
        <v>194</v>
      </c>
      <c r="B83" s="183">
        <v>0</v>
      </c>
      <c r="C83" s="183">
        <v>0</v>
      </c>
      <c r="D83" s="182">
        <f t="shared" si="13"/>
        <v>25.7775</v>
      </c>
      <c r="E83" s="182">
        <v>25.7775</v>
      </c>
      <c r="F83" s="183">
        <v>0</v>
      </c>
      <c r="G83" s="183">
        <v>0</v>
      </c>
      <c r="H83" s="183">
        <v>0</v>
      </c>
      <c r="I83" s="502">
        <v>0</v>
      </c>
      <c r="J83" s="502">
        <v>0</v>
      </c>
      <c r="K83" s="184"/>
    </row>
    <row r="84" spans="1:15" ht="18" customHeight="1">
      <c r="A84" s="174" t="s">
        <v>195</v>
      </c>
      <c r="B84" s="183">
        <v>0</v>
      </c>
      <c r="C84" s="183">
        <v>0</v>
      </c>
      <c r="D84" s="172">
        <f t="shared" si="13"/>
        <v>0</v>
      </c>
      <c r="E84" s="172">
        <v>0</v>
      </c>
      <c r="F84" s="183">
        <v>0</v>
      </c>
      <c r="G84" s="183">
        <v>0</v>
      </c>
      <c r="H84" s="183">
        <v>0</v>
      </c>
      <c r="I84" s="502">
        <v>0</v>
      </c>
      <c r="J84" s="502">
        <v>0</v>
      </c>
      <c r="K84" s="184"/>
    </row>
    <row r="85" spans="1:15" s="177" customFormat="1" ht="18" customHeight="1">
      <c r="A85" s="174" t="s">
        <v>196</v>
      </c>
      <c r="B85" s="183">
        <f>B86+B87</f>
        <v>0</v>
      </c>
      <c r="C85" s="183">
        <f>C86+C87</f>
        <v>0</v>
      </c>
      <c r="D85" s="172">
        <f>E85+F85+G85+H85</f>
        <v>17191.065999999999</v>
      </c>
      <c r="E85" s="502">
        <f>E86+E87</f>
        <v>0</v>
      </c>
      <c r="F85" s="502">
        <f>F86+F87</f>
        <v>0</v>
      </c>
      <c r="G85" s="172">
        <f>G86+G87</f>
        <v>5647.4340000000002</v>
      </c>
      <c r="H85" s="172">
        <f>H86+H87</f>
        <v>11543.632</v>
      </c>
      <c r="I85" s="502">
        <v>0</v>
      </c>
      <c r="J85" s="502">
        <v>0</v>
      </c>
      <c r="K85" s="175"/>
      <c r="M85" s="177" t="s">
        <v>945</v>
      </c>
    </row>
    <row r="86" spans="1:15" ht="30">
      <c r="A86" s="181" t="s">
        <v>197</v>
      </c>
      <c r="B86" s="183">
        <v>0</v>
      </c>
      <c r="C86" s="183">
        <v>0</v>
      </c>
      <c r="D86" s="182">
        <f t="shared" ref="D86:D97" si="14">E86+F86+G86+H86</f>
        <v>16631.394</v>
      </c>
      <c r="E86" s="502">
        <v>0</v>
      </c>
      <c r="F86" s="502">
        <v>0</v>
      </c>
      <c r="G86" s="182">
        <v>5647.4340000000002</v>
      </c>
      <c r="H86" s="182">
        <v>10983.96</v>
      </c>
      <c r="I86" s="502">
        <v>0</v>
      </c>
      <c r="J86" s="502">
        <v>0</v>
      </c>
      <c r="K86" s="184"/>
      <c r="L86" s="155" t="s">
        <v>944</v>
      </c>
      <c r="M86" s="158">
        <f>F8-'TH CHI_62_342_51_52_53_31'!F108</f>
        <v>6143.3973080031574</v>
      </c>
      <c r="N86" s="158">
        <f>G8-'TH CHI_62_342_51_52_53_31'!I108</f>
        <v>89885.052839000709</v>
      </c>
      <c r="O86" s="158">
        <f>H8-'TH CHI_62_342_51_52_53_31'!L108</f>
        <v>26695.917823999887</v>
      </c>
    </row>
    <row r="87" spans="1:15" ht="18" customHeight="1">
      <c r="A87" s="186" t="s">
        <v>198</v>
      </c>
      <c r="B87" s="183">
        <v>0</v>
      </c>
      <c r="C87" s="183">
        <v>0</v>
      </c>
      <c r="D87" s="182">
        <f t="shared" si="14"/>
        <v>559.67200000000003</v>
      </c>
      <c r="E87" s="502">
        <v>0</v>
      </c>
      <c r="F87" s="502">
        <v>0</v>
      </c>
      <c r="G87" s="502">
        <v>0</v>
      </c>
      <c r="H87" s="182">
        <v>559.67200000000003</v>
      </c>
      <c r="I87" s="502">
        <v>0</v>
      </c>
      <c r="J87" s="502">
        <v>0</v>
      </c>
      <c r="K87" s="184"/>
      <c r="L87" s="158">
        <f>M86+N86+O86</f>
        <v>122724.36797100375</v>
      </c>
    </row>
    <row r="88" spans="1:15" s="177" customFormat="1" ht="29.25">
      <c r="A88" s="193" t="s">
        <v>496</v>
      </c>
      <c r="B88" s="502">
        <f>B89+B90</f>
        <v>0</v>
      </c>
      <c r="C88" s="502">
        <f>C89+C90</f>
        <v>0</v>
      </c>
      <c r="D88" s="172">
        <f t="shared" si="14"/>
        <v>19472</v>
      </c>
      <c r="E88" s="502">
        <f>E89+E90</f>
        <v>0</v>
      </c>
      <c r="F88" s="172">
        <f>F89+F90</f>
        <v>19472</v>
      </c>
      <c r="G88" s="502">
        <f>G89+G90</f>
        <v>0</v>
      </c>
      <c r="H88" s="502">
        <f>H89+H90</f>
        <v>0</v>
      </c>
      <c r="I88" s="502">
        <v>0</v>
      </c>
      <c r="J88" s="502">
        <v>0</v>
      </c>
      <c r="K88" s="175"/>
      <c r="N88" s="180">
        <f>+N86+O86</f>
        <v>116580.9706630006</v>
      </c>
    </row>
    <row r="89" spans="1:15" ht="30">
      <c r="A89" s="181" t="s">
        <v>199</v>
      </c>
      <c r="B89" s="502">
        <v>0</v>
      </c>
      <c r="C89" s="502">
        <v>0</v>
      </c>
      <c r="D89" s="182">
        <f t="shared" si="14"/>
        <v>0</v>
      </c>
      <c r="E89" s="502">
        <v>0</v>
      </c>
      <c r="F89" s="502">
        <v>0</v>
      </c>
      <c r="G89" s="502">
        <v>0</v>
      </c>
      <c r="H89" s="502">
        <v>0</v>
      </c>
      <c r="I89" s="502">
        <v>0</v>
      </c>
      <c r="J89" s="502">
        <v>0</v>
      </c>
      <c r="K89" s="184"/>
      <c r="N89" s="155">
        <v>370846.62238399964</v>
      </c>
    </row>
    <row r="90" spans="1:15" ht="18" customHeight="1">
      <c r="A90" s="186" t="s">
        <v>200</v>
      </c>
      <c r="B90" s="502">
        <v>0</v>
      </c>
      <c r="C90" s="502">
        <v>0</v>
      </c>
      <c r="D90" s="182">
        <f t="shared" si="14"/>
        <v>19472</v>
      </c>
      <c r="E90" s="502">
        <v>0</v>
      </c>
      <c r="F90" s="187">
        <v>19472</v>
      </c>
      <c r="G90" s="502">
        <v>0</v>
      </c>
      <c r="H90" s="502">
        <v>0</v>
      </c>
      <c r="I90" s="502">
        <v>0</v>
      </c>
      <c r="J90" s="502">
        <v>0</v>
      </c>
      <c r="K90" s="184"/>
    </row>
    <row r="91" spans="1:15" s="177" customFormat="1" ht="32.25" customHeight="1">
      <c r="A91" s="193" t="s">
        <v>201</v>
      </c>
      <c r="B91" s="502">
        <f>B92+B95</f>
        <v>0</v>
      </c>
      <c r="C91" s="502">
        <f>C92+C95</f>
        <v>0</v>
      </c>
      <c r="D91" s="502">
        <f t="shared" si="14"/>
        <v>0</v>
      </c>
      <c r="E91" s="502">
        <f>E92+E95</f>
        <v>0</v>
      </c>
      <c r="F91" s="502">
        <f>F92+F95</f>
        <v>0</v>
      </c>
      <c r="G91" s="502">
        <f>G92+G95</f>
        <v>0</v>
      </c>
      <c r="H91" s="502">
        <f>H92+H95</f>
        <v>0</v>
      </c>
      <c r="I91" s="502">
        <v>0</v>
      </c>
      <c r="J91" s="502">
        <v>0</v>
      </c>
      <c r="K91" s="175"/>
      <c r="N91" s="180">
        <f>+N89-N88</f>
        <v>254265.65172099904</v>
      </c>
    </row>
    <row r="92" spans="1:15" s="177" customFormat="1" ht="18.75" customHeight="1">
      <c r="A92" s="174" t="s">
        <v>202</v>
      </c>
      <c r="B92" s="502">
        <f>B93+B94</f>
        <v>0</v>
      </c>
      <c r="C92" s="502">
        <f>C93+C94</f>
        <v>0</v>
      </c>
      <c r="D92" s="502">
        <f t="shared" si="14"/>
        <v>0</v>
      </c>
      <c r="E92" s="502">
        <f>E93+E94</f>
        <v>0</v>
      </c>
      <c r="F92" s="502">
        <f>F93+F94</f>
        <v>0</v>
      </c>
      <c r="G92" s="502">
        <f>G93+G94</f>
        <v>0</v>
      </c>
      <c r="H92" s="502">
        <f>H93+H94</f>
        <v>0</v>
      </c>
      <c r="I92" s="502">
        <v>0</v>
      </c>
      <c r="J92" s="502">
        <v>0</v>
      </c>
      <c r="K92" s="175"/>
    </row>
    <row r="93" spans="1:15" ht="18.75" customHeight="1">
      <c r="A93" s="186" t="s">
        <v>203</v>
      </c>
      <c r="B93" s="502">
        <v>0</v>
      </c>
      <c r="C93" s="502">
        <v>0</v>
      </c>
      <c r="D93" s="502">
        <f t="shared" si="14"/>
        <v>0</v>
      </c>
      <c r="E93" s="502">
        <v>0</v>
      </c>
      <c r="F93" s="502">
        <v>0</v>
      </c>
      <c r="G93" s="502">
        <v>0</v>
      </c>
      <c r="H93" s="502">
        <v>0</v>
      </c>
      <c r="I93" s="502">
        <v>0</v>
      </c>
      <c r="J93" s="502">
        <v>0</v>
      </c>
      <c r="K93" s="184"/>
    </row>
    <row r="94" spans="1:15" ht="18.75" customHeight="1">
      <c r="A94" s="186" t="s">
        <v>204</v>
      </c>
      <c r="B94" s="502">
        <v>0</v>
      </c>
      <c r="C94" s="502">
        <v>0</v>
      </c>
      <c r="D94" s="502">
        <f t="shared" si="14"/>
        <v>0</v>
      </c>
      <c r="E94" s="502">
        <v>0</v>
      </c>
      <c r="F94" s="502">
        <v>0</v>
      </c>
      <c r="G94" s="502">
        <v>0</v>
      </c>
      <c r="H94" s="502">
        <v>0</v>
      </c>
      <c r="I94" s="502">
        <v>0</v>
      </c>
      <c r="J94" s="502">
        <v>0</v>
      </c>
      <c r="K94" s="184"/>
    </row>
    <row r="95" spans="1:15" s="177" customFormat="1" ht="18" customHeight="1">
      <c r="A95" s="174" t="s">
        <v>205</v>
      </c>
      <c r="B95" s="502">
        <f>B96+B97</f>
        <v>0</v>
      </c>
      <c r="C95" s="502">
        <f>C96+C97</f>
        <v>0</v>
      </c>
      <c r="D95" s="502">
        <f t="shared" si="14"/>
        <v>0</v>
      </c>
      <c r="E95" s="502">
        <f>E96+E97</f>
        <v>0</v>
      </c>
      <c r="F95" s="502">
        <f>F96+F97</f>
        <v>0</v>
      </c>
      <c r="G95" s="502">
        <f>G96+G97</f>
        <v>0</v>
      </c>
      <c r="H95" s="502">
        <f>H96+H97</f>
        <v>0</v>
      </c>
      <c r="I95" s="502">
        <v>0</v>
      </c>
      <c r="J95" s="502">
        <v>0</v>
      </c>
      <c r="K95" s="175"/>
    </row>
    <row r="96" spans="1:15" ht="18.75" customHeight="1">
      <c r="A96" s="186" t="s">
        <v>203</v>
      </c>
      <c r="B96" s="502">
        <v>0</v>
      </c>
      <c r="C96" s="502">
        <v>0</v>
      </c>
      <c r="D96" s="502">
        <f t="shared" si="14"/>
        <v>0</v>
      </c>
      <c r="E96" s="502">
        <v>0</v>
      </c>
      <c r="F96" s="502">
        <v>0</v>
      </c>
      <c r="G96" s="502">
        <v>0</v>
      </c>
      <c r="H96" s="502">
        <v>0</v>
      </c>
      <c r="I96" s="502">
        <v>0</v>
      </c>
      <c r="J96" s="502">
        <v>0</v>
      </c>
      <c r="K96" s="184"/>
    </row>
    <row r="97" spans="1:13">
      <c r="A97" s="186" t="s">
        <v>204</v>
      </c>
      <c r="B97" s="502">
        <v>0</v>
      </c>
      <c r="C97" s="502">
        <v>0</v>
      </c>
      <c r="D97" s="502">
        <f t="shared" si="14"/>
        <v>0</v>
      </c>
      <c r="E97" s="502">
        <v>0</v>
      </c>
      <c r="F97" s="502">
        <v>0</v>
      </c>
      <c r="G97" s="502">
        <v>0</v>
      </c>
      <c r="H97" s="502">
        <v>0</v>
      </c>
      <c r="I97" s="502">
        <v>0</v>
      </c>
      <c r="J97" s="502">
        <v>0</v>
      </c>
      <c r="K97" s="184"/>
      <c r="L97" s="158">
        <f>F104+G104</f>
        <v>1815.826802</v>
      </c>
    </row>
    <row r="98" spans="1:13" s="177" customFormat="1" ht="18" customHeight="1">
      <c r="A98" s="174" t="s">
        <v>206</v>
      </c>
      <c r="B98" s="502">
        <f>B99+B104</f>
        <v>0</v>
      </c>
      <c r="C98" s="502">
        <f>C99+C104</f>
        <v>0</v>
      </c>
      <c r="D98" s="172">
        <f t="shared" ref="D98:D104" si="15">E98+F98+G98+H98</f>
        <v>11039672.875309002</v>
      </c>
      <c r="E98" s="172">
        <f>E99+E104</f>
        <v>5214</v>
      </c>
      <c r="F98" s="172">
        <f>F99+F104</f>
        <v>5831628.8268020004</v>
      </c>
      <c r="G98" s="172">
        <f>G99+G104</f>
        <v>4169359.5692720003</v>
      </c>
      <c r="H98" s="172">
        <f>H99+H104</f>
        <v>1033470.479235</v>
      </c>
      <c r="I98" s="502">
        <v>0</v>
      </c>
      <c r="J98" s="502">
        <v>0</v>
      </c>
      <c r="K98" s="175"/>
    </row>
    <row r="99" spans="1:13" s="177" customFormat="1" ht="18" customHeight="1">
      <c r="A99" s="174" t="s">
        <v>207</v>
      </c>
      <c r="B99" s="502">
        <f>B100+B101</f>
        <v>0</v>
      </c>
      <c r="C99" s="502">
        <f>C100+C101</f>
        <v>0</v>
      </c>
      <c r="D99" s="172">
        <f t="shared" si="15"/>
        <v>11032643.048507001</v>
      </c>
      <c r="E99" s="502">
        <f>E100+E101</f>
        <v>0</v>
      </c>
      <c r="F99" s="172">
        <f>F100+F101</f>
        <v>5829813</v>
      </c>
      <c r="G99" s="172">
        <f>G100+G101</f>
        <v>4169359.5692720003</v>
      </c>
      <c r="H99" s="172">
        <f>H100+H101</f>
        <v>1033470.479235</v>
      </c>
      <c r="I99" s="502">
        <v>0</v>
      </c>
      <c r="J99" s="502">
        <v>0</v>
      </c>
      <c r="K99" s="175"/>
    </row>
    <row r="100" spans="1:13" s="177" customFormat="1" ht="18" customHeight="1">
      <c r="A100" s="174" t="s">
        <v>208</v>
      </c>
      <c r="B100" s="502">
        <v>0</v>
      </c>
      <c r="C100" s="502">
        <v>0</v>
      </c>
      <c r="D100" s="172">
        <f t="shared" si="15"/>
        <v>6777662.2131140009</v>
      </c>
      <c r="E100" s="502">
        <v>0</v>
      </c>
      <c r="F100" s="178">
        <v>3398277</v>
      </c>
      <c r="G100" s="172">
        <v>2795442.0380000002</v>
      </c>
      <c r="H100" s="172">
        <v>583943.17511399998</v>
      </c>
      <c r="I100" s="502">
        <v>0</v>
      </c>
      <c r="J100" s="502">
        <v>0</v>
      </c>
      <c r="K100" s="175"/>
    </row>
    <row r="101" spans="1:13" s="177" customFormat="1" ht="18" customHeight="1">
      <c r="A101" s="174" t="s">
        <v>209</v>
      </c>
      <c r="B101" s="502">
        <f>B102+B103</f>
        <v>0</v>
      </c>
      <c r="C101" s="502">
        <f>C102+C103</f>
        <v>0</v>
      </c>
      <c r="D101" s="172">
        <f t="shared" si="15"/>
        <v>4254980.8353929995</v>
      </c>
      <c r="E101" s="502">
        <f>E102+E103</f>
        <v>0</v>
      </c>
      <c r="F101" s="172">
        <f>F102+F103</f>
        <v>2431536</v>
      </c>
      <c r="G101" s="172">
        <f>G102+G103</f>
        <v>1373917.5312719999</v>
      </c>
      <c r="H101" s="172">
        <f>H102+H103</f>
        <v>449527.30412099999</v>
      </c>
      <c r="I101" s="502">
        <v>0</v>
      </c>
      <c r="J101" s="502">
        <v>0</v>
      </c>
      <c r="K101" s="175"/>
    </row>
    <row r="102" spans="1:13" ht="18" customHeight="1">
      <c r="A102" s="186" t="s">
        <v>210</v>
      </c>
      <c r="B102" s="502">
        <v>0</v>
      </c>
      <c r="C102" s="502">
        <v>0</v>
      </c>
      <c r="D102" s="182">
        <f>E102+F102+G102+H102</f>
        <v>4254980.8353929995</v>
      </c>
      <c r="E102" s="502">
        <v>0</v>
      </c>
      <c r="F102" s="187">
        <f>2416462+15074</f>
        <v>2431536</v>
      </c>
      <c r="G102" s="182">
        <v>1373917.5312719999</v>
      </c>
      <c r="H102" s="182">
        <v>449527.30412099999</v>
      </c>
      <c r="I102" s="502">
        <v>0</v>
      </c>
      <c r="J102" s="502">
        <v>0</v>
      </c>
      <c r="K102" s="184"/>
      <c r="L102" s="158">
        <f>F102+F103</f>
        <v>2431536</v>
      </c>
    </row>
    <row r="103" spans="1:13" ht="18" customHeight="1">
      <c r="A103" s="186" t="s">
        <v>211</v>
      </c>
      <c r="B103" s="502">
        <v>0</v>
      </c>
      <c r="C103" s="502">
        <v>0</v>
      </c>
      <c r="D103" s="502">
        <f>E103+F103+G103+H103</f>
        <v>0</v>
      </c>
      <c r="E103" s="502">
        <v>0</v>
      </c>
      <c r="F103" s="502">
        <v>0</v>
      </c>
      <c r="G103" s="502">
        <v>0</v>
      </c>
      <c r="H103" s="502">
        <v>0</v>
      </c>
      <c r="I103" s="502">
        <v>0</v>
      </c>
      <c r="J103" s="502">
        <v>0</v>
      </c>
      <c r="K103" s="184"/>
      <c r="L103" s="155">
        <v>1664334.9840579999</v>
      </c>
      <c r="M103" s="158">
        <f>L102-L103</f>
        <v>767201.01594200009</v>
      </c>
    </row>
    <row r="104" spans="1:13" s="177" customFormat="1" ht="18" customHeight="1">
      <c r="A104" s="174" t="s">
        <v>212</v>
      </c>
      <c r="B104" s="502">
        <v>0</v>
      </c>
      <c r="C104" s="502">
        <v>0</v>
      </c>
      <c r="D104" s="172">
        <f t="shared" si="15"/>
        <v>7029.8268019999996</v>
      </c>
      <c r="E104" s="172">
        <v>5214</v>
      </c>
      <c r="F104" s="178">
        <v>1815.826802</v>
      </c>
      <c r="G104" s="502">
        <v>0</v>
      </c>
      <c r="H104" s="502">
        <v>0</v>
      </c>
      <c r="I104" s="502">
        <v>0</v>
      </c>
      <c r="J104" s="502">
        <v>0</v>
      </c>
      <c r="K104" s="175"/>
    </row>
    <row r="105" spans="1:13" s="177" customFormat="1" ht="18" customHeight="1">
      <c r="A105" s="201" t="s">
        <v>213</v>
      </c>
      <c r="B105" s="921">
        <v>0</v>
      </c>
      <c r="C105" s="921">
        <v>0</v>
      </c>
      <c r="D105" s="202">
        <f>E105+F105+G105+H105</f>
        <v>1076220.2512020001</v>
      </c>
      <c r="E105" s="502">
        <v>0</v>
      </c>
      <c r="F105" s="203">
        <v>868431.32582499995</v>
      </c>
      <c r="G105" s="202">
        <v>168512.56127999999</v>
      </c>
      <c r="H105" s="202">
        <v>39276.364096999998</v>
      </c>
      <c r="I105" s="921">
        <v>0</v>
      </c>
      <c r="J105" s="921">
        <v>0</v>
      </c>
      <c r="K105" s="175"/>
      <c r="L105" s="177">
        <v>988742.91058799997</v>
      </c>
      <c r="M105" s="180">
        <f>+L105-D105</f>
        <v>-87477.340614000103</v>
      </c>
    </row>
    <row r="106" spans="1:13" s="177" customFormat="1" ht="18" customHeight="1">
      <c r="A106" s="919" t="s">
        <v>214</v>
      </c>
      <c r="B106" s="923">
        <v>0</v>
      </c>
      <c r="C106" s="923">
        <v>0</v>
      </c>
      <c r="D106" s="920">
        <f>E106+F106+G106+H106</f>
        <v>269730.17774000001</v>
      </c>
      <c r="E106" s="204">
        <v>0</v>
      </c>
      <c r="F106" s="205">
        <v>161330.90822799999</v>
      </c>
      <c r="G106" s="204">
        <v>79963.265299000006</v>
      </c>
      <c r="H106" s="924">
        <v>28436.004213</v>
      </c>
      <c r="I106" s="923">
        <v>0</v>
      </c>
      <c r="J106" s="923">
        <v>0</v>
      </c>
      <c r="K106" s="175"/>
    </row>
    <row r="107" spans="1:13" s="211" customFormat="1" ht="18" hidden="1" customHeight="1">
      <c r="A107" s="207" t="s">
        <v>215</v>
      </c>
      <c r="B107" s="922">
        <v>0</v>
      </c>
      <c r="C107" s="922">
        <v>0</v>
      </c>
      <c r="D107" s="208">
        <f>+E107+F107+G107+H107</f>
        <v>0</v>
      </c>
      <c r="E107" s="208">
        <v>0</v>
      </c>
      <c r="F107" s="209"/>
      <c r="G107" s="208">
        <v>0</v>
      </c>
      <c r="H107" s="208"/>
      <c r="I107" s="925"/>
      <c r="J107" s="922"/>
      <c r="K107" s="210"/>
      <c r="L107" s="211" t="s">
        <v>216</v>
      </c>
    </row>
    <row r="108" spans="1:13" s="177" customFormat="1" ht="18" hidden="1" customHeight="1">
      <c r="A108" s="212" t="s">
        <v>217</v>
      </c>
      <c r="B108" s="204"/>
      <c r="C108" s="204"/>
      <c r="D108" s="204">
        <f>+E108+F108+G108+H108</f>
        <v>0</v>
      </c>
      <c r="E108" s="204"/>
      <c r="F108" s="205"/>
      <c r="G108" s="204"/>
      <c r="H108" s="204"/>
      <c r="I108" s="206"/>
      <c r="J108" s="204"/>
      <c r="K108" s="175" t="e">
        <f>D108/"#REF!*100"</f>
        <v>#VALUE!</v>
      </c>
    </row>
    <row r="109" spans="1:13" s="177" customFormat="1" ht="18" hidden="1" customHeight="1">
      <c r="A109" s="212" t="s">
        <v>218</v>
      </c>
      <c r="B109" s="204">
        <v>0</v>
      </c>
      <c r="C109" s="204">
        <v>0</v>
      </c>
      <c r="D109" s="204">
        <f>+E109+F109+G109+H109</f>
        <v>0</v>
      </c>
      <c r="E109" s="204"/>
      <c r="F109" s="205"/>
      <c r="G109" s="204"/>
      <c r="H109" s="204"/>
      <c r="I109" s="206"/>
      <c r="J109" s="204"/>
      <c r="K109" s="175" t="e">
        <f>D109/"#REF!*100"</f>
        <v>#VALUE!</v>
      </c>
    </row>
    <row r="110" spans="1:13" s="177" customFormat="1" ht="18" hidden="1" customHeight="1">
      <c r="A110" s="212" t="s">
        <v>219</v>
      </c>
      <c r="B110" s="204">
        <v>0</v>
      </c>
      <c r="C110" s="204"/>
      <c r="D110" s="204">
        <f>+E110+F110+G110+H110</f>
        <v>0</v>
      </c>
      <c r="E110" s="204"/>
      <c r="F110" s="205"/>
      <c r="G110" s="204"/>
      <c r="H110" s="204"/>
      <c r="I110" s="206"/>
      <c r="J110" s="204"/>
      <c r="K110" s="175" t="e">
        <f>D110/"#REF!*100"</f>
        <v>#VALUE!</v>
      </c>
    </row>
    <row r="111" spans="1:13" ht="18" hidden="1" customHeight="1">
      <c r="A111" s="212" t="s">
        <v>220</v>
      </c>
      <c r="B111" s="204">
        <f>SUM(B113:B114)</f>
        <v>0</v>
      </c>
      <c r="C111" s="204">
        <f>+C113+C114+C115</f>
        <v>0</v>
      </c>
      <c r="D111" s="205">
        <f>+D113+D114+D115</f>
        <v>0</v>
      </c>
      <c r="E111" s="204">
        <f>E113+E114+E115</f>
        <v>0</v>
      </c>
      <c r="F111" s="205">
        <f>F113+F114+F115</f>
        <v>0</v>
      </c>
      <c r="G111" s="204">
        <f>G113+G114+G115</f>
        <v>0</v>
      </c>
      <c r="H111" s="204">
        <f>H113+H114+H115</f>
        <v>0</v>
      </c>
      <c r="I111" s="206"/>
      <c r="J111" s="204" t="e">
        <f>+D111/C111*100</f>
        <v>#DIV/0!</v>
      </c>
      <c r="K111" s="175" t="e">
        <f>D111/"#REF!*100"</f>
        <v>#VALUE!</v>
      </c>
    </row>
    <row r="112" spans="1:13" ht="18" hidden="1" customHeight="1">
      <c r="A112" s="212" t="s">
        <v>221</v>
      </c>
      <c r="B112" s="206"/>
      <c r="C112" s="206"/>
      <c r="D112" s="204"/>
      <c r="E112" s="206"/>
      <c r="F112" s="213"/>
      <c r="G112" s="206"/>
      <c r="H112" s="206"/>
      <c r="I112" s="206"/>
      <c r="J112" s="206"/>
      <c r="K112" s="184"/>
    </row>
    <row r="113" spans="1:13" ht="18" hidden="1" customHeight="1">
      <c r="A113" s="214" t="s">
        <v>222</v>
      </c>
      <c r="B113" s="206">
        <v>0</v>
      </c>
      <c r="C113" s="215"/>
      <c r="D113" s="206">
        <f>F113+G113+H113</f>
        <v>0</v>
      </c>
      <c r="E113" s="206"/>
      <c r="F113" s="213"/>
      <c r="G113" s="206"/>
      <c r="H113" s="206"/>
      <c r="I113" s="206"/>
      <c r="J113" s="206"/>
      <c r="K113" s="184" t="e">
        <f t="shared" ref="K113:K119" si="16">D113/"#REF!*100"</f>
        <v>#VALUE!</v>
      </c>
      <c r="L113" s="158">
        <f>+D113+D114</f>
        <v>0</v>
      </c>
    </row>
    <row r="114" spans="1:13" ht="18" hidden="1" customHeight="1">
      <c r="A114" s="214" t="s">
        <v>223</v>
      </c>
      <c r="B114" s="206">
        <v>0</v>
      </c>
      <c r="C114" s="206">
        <v>0</v>
      </c>
      <c r="D114" s="206">
        <f t="shared" ref="D114:D120" si="17">F114+G114+H114</f>
        <v>0</v>
      </c>
      <c r="E114" s="206"/>
      <c r="F114" s="213"/>
      <c r="G114" s="206"/>
      <c r="H114" s="206"/>
      <c r="I114" s="206"/>
      <c r="J114" s="206"/>
      <c r="K114" s="184" t="e">
        <f t="shared" si="16"/>
        <v>#VALUE!</v>
      </c>
    </row>
    <row r="115" spans="1:13" ht="18" hidden="1" customHeight="1">
      <c r="A115" s="214" t="s">
        <v>224</v>
      </c>
      <c r="B115" s="206"/>
      <c r="C115" s="206"/>
      <c r="D115" s="213">
        <f>+D116+D117+D118+D119+D120</f>
        <v>0</v>
      </c>
      <c r="E115" s="206">
        <f>SUM(E116:E119)</f>
        <v>0</v>
      </c>
      <c r="F115" s="213">
        <f>+F116+F117+F118+F119+F120</f>
        <v>0</v>
      </c>
      <c r="G115" s="206">
        <f>SUM(G116:G119)</f>
        <v>0</v>
      </c>
      <c r="H115" s="206">
        <f>SUM(H116:H119)</f>
        <v>0</v>
      </c>
      <c r="I115" s="206"/>
      <c r="J115" s="206" t="e">
        <f>+D115/C115*100</f>
        <v>#DIV/0!</v>
      </c>
      <c r="K115" s="184" t="e">
        <f t="shared" si="16"/>
        <v>#VALUE!</v>
      </c>
    </row>
    <row r="116" spans="1:13" ht="18" hidden="1" customHeight="1">
      <c r="A116" s="214" t="s">
        <v>225</v>
      </c>
      <c r="B116" s="206"/>
      <c r="C116" s="206"/>
      <c r="D116" s="206">
        <f t="shared" si="17"/>
        <v>0</v>
      </c>
      <c r="E116" s="206"/>
      <c r="F116" s="213"/>
      <c r="G116" s="206"/>
      <c r="H116" s="206"/>
      <c r="I116" s="206"/>
      <c r="J116" s="206"/>
      <c r="K116" s="184" t="e">
        <f t="shared" si="16"/>
        <v>#VALUE!</v>
      </c>
    </row>
    <row r="117" spans="1:13" ht="18" hidden="1" customHeight="1">
      <c r="A117" s="214" t="s">
        <v>160</v>
      </c>
      <c r="B117" s="206"/>
      <c r="C117" s="206"/>
      <c r="D117" s="206">
        <f t="shared" si="17"/>
        <v>0</v>
      </c>
      <c r="E117" s="206"/>
      <c r="F117" s="213"/>
      <c r="G117" s="206"/>
      <c r="H117" s="206"/>
      <c r="I117" s="206"/>
      <c r="J117" s="206"/>
      <c r="K117" s="184" t="e">
        <f t="shared" si="16"/>
        <v>#VALUE!</v>
      </c>
    </row>
    <row r="118" spans="1:13" ht="18" hidden="1" customHeight="1">
      <c r="A118" s="214" t="s">
        <v>226</v>
      </c>
      <c r="B118" s="206"/>
      <c r="C118" s="206"/>
      <c r="D118" s="206">
        <f t="shared" si="17"/>
        <v>0</v>
      </c>
      <c r="E118" s="206"/>
      <c r="F118" s="213"/>
      <c r="G118" s="206"/>
      <c r="H118" s="206"/>
      <c r="I118" s="206"/>
      <c r="J118" s="206"/>
      <c r="K118" s="184" t="e">
        <f t="shared" si="16"/>
        <v>#VALUE!</v>
      </c>
    </row>
    <row r="119" spans="1:13" ht="18" hidden="1" customHeight="1">
      <c r="A119" s="214" t="s">
        <v>227</v>
      </c>
      <c r="B119" s="206"/>
      <c r="C119" s="206"/>
      <c r="D119" s="206">
        <f t="shared" si="17"/>
        <v>0</v>
      </c>
      <c r="E119" s="206"/>
      <c r="F119" s="213"/>
      <c r="G119" s="206"/>
      <c r="H119" s="206"/>
      <c r="I119" s="206"/>
      <c r="J119" s="206"/>
      <c r="K119" s="184" t="e">
        <f t="shared" si="16"/>
        <v>#VALUE!</v>
      </c>
    </row>
    <row r="120" spans="1:13" ht="18" hidden="1" customHeight="1">
      <c r="A120" s="214" t="s">
        <v>228</v>
      </c>
      <c r="B120" s="206"/>
      <c r="C120" s="206"/>
      <c r="D120" s="206">
        <f t="shared" si="17"/>
        <v>0</v>
      </c>
      <c r="E120" s="206"/>
      <c r="F120" s="213"/>
      <c r="G120" s="206"/>
      <c r="H120" s="206"/>
      <c r="I120" s="206"/>
      <c r="J120" s="206"/>
      <c r="K120" s="184"/>
    </row>
    <row r="121" spans="1:13" ht="18" hidden="1" customHeight="1">
      <c r="A121" s="212" t="s">
        <v>229</v>
      </c>
      <c r="B121" s="216">
        <f>+B122+B123</f>
        <v>0</v>
      </c>
      <c r="C121" s="216">
        <f>+C122+C123</f>
        <v>0</v>
      </c>
      <c r="D121" s="204">
        <f t="shared" ref="D121:D127" si="18">+E121+F121+G121+H121</f>
        <v>3841252.2598970002</v>
      </c>
      <c r="E121" s="204">
        <f>+E122+E123</f>
        <v>0</v>
      </c>
      <c r="F121" s="205">
        <f>+F122+F123+F126</f>
        <v>2359441.4879370001</v>
      </c>
      <c r="G121" s="204">
        <f>+G122+G123</f>
        <v>1110290.815073</v>
      </c>
      <c r="H121" s="204">
        <f>+H122+H123</f>
        <v>371519.95688700001</v>
      </c>
      <c r="I121" s="206"/>
      <c r="J121" s="204"/>
      <c r="K121" s="175" t="e">
        <f>D121/"#REF!*100"</f>
        <v>#VALUE!</v>
      </c>
      <c r="L121" s="158">
        <f>+D121+D127</f>
        <v>3847415.88136</v>
      </c>
    </row>
    <row r="122" spans="1:13" ht="18" hidden="1" customHeight="1">
      <c r="A122" s="217" t="s">
        <v>230</v>
      </c>
      <c r="B122" s="216">
        <v>0</v>
      </c>
      <c r="C122" s="216">
        <v>0</v>
      </c>
      <c r="D122" s="206">
        <f t="shared" si="18"/>
        <v>0</v>
      </c>
      <c r="E122" s="206"/>
      <c r="F122" s="213"/>
      <c r="G122" s="218"/>
      <c r="H122" s="206"/>
      <c r="I122" s="206"/>
      <c r="J122" s="206"/>
      <c r="K122" s="184" t="e">
        <f>D122/"#REF!*100"</f>
        <v>#VALUE!</v>
      </c>
    </row>
    <row r="123" spans="1:13" ht="18" hidden="1" customHeight="1">
      <c r="A123" s="217" t="s">
        <v>231</v>
      </c>
      <c r="B123" s="216">
        <f>+B124+B125</f>
        <v>0</v>
      </c>
      <c r="C123" s="216">
        <f>+C124+C125</f>
        <v>0</v>
      </c>
      <c r="D123" s="206">
        <f t="shared" si="18"/>
        <v>3841252.2598970002</v>
      </c>
      <c r="E123" s="206">
        <f>+E124+E125</f>
        <v>0</v>
      </c>
      <c r="F123" s="213">
        <f>+F124+F125</f>
        <v>2359441.4879370001</v>
      </c>
      <c r="G123" s="219">
        <f>+G124+G125</f>
        <v>1110290.815073</v>
      </c>
      <c r="H123" s="219">
        <f>+H124+H125</f>
        <v>371519.95688700001</v>
      </c>
      <c r="I123" s="206"/>
      <c r="J123" s="206"/>
      <c r="K123" s="220" t="e">
        <f>D123/"#REF!*100"</f>
        <v>#VALUE!</v>
      </c>
    </row>
    <row r="124" spans="1:13" ht="18" hidden="1" customHeight="1">
      <c r="A124" s="217" t="s">
        <v>232</v>
      </c>
      <c r="B124" s="216">
        <v>0</v>
      </c>
      <c r="C124" s="216">
        <v>0</v>
      </c>
      <c r="D124" s="206">
        <f t="shared" si="18"/>
        <v>3623885.4719600007</v>
      </c>
      <c r="E124" s="206"/>
      <c r="F124" s="213">
        <f>2006074.7+136000+26176-26176</f>
        <v>2142074.7000000002</v>
      </c>
      <c r="G124" s="218">
        <v>1110290.815073</v>
      </c>
      <c r="H124" s="206">
        <v>371519.95688700001</v>
      </c>
      <c r="I124" s="206"/>
      <c r="J124" s="206"/>
      <c r="K124" s="220" t="e">
        <f>D124/"#REF!*100"</f>
        <v>#VALUE!</v>
      </c>
    </row>
    <row r="125" spans="1:13" ht="18" hidden="1" customHeight="1">
      <c r="A125" s="217" t="s">
        <v>233</v>
      </c>
      <c r="B125" s="216">
        <v>0</v>
      </c>
      <c r="C125" s="216">
        <v>0</v>
      </c>
      <c r="D125" s="206">
        <f t="shared" si="18"/>
        <v>217366.78793699999</v>
      </c>
      <c r="E125" s="206"/>
      <c r="F125" s="219">
        <v>217366.78793699999</v>
      </c>
      <c r="G125" s="206"/>
      <c r="H125" s="206"/>
      <c r="I125" s="206"/>
      <c r="J125" s="206"/>
      <c r="K125" s="220" t="e">
        <f>D125/"#REF!*100"</f>
        <v>#VALUE!</v>
      </c>
      <c r="L125" s="155">
        <v>46547</v>
      </c>
      <c r="M125" s="158">
        <v>170729.78793699999</v>
      </c>
    </row>
    <row r="126" spans="1:13" s="226" customFormat="1" ht="30" hidden="1">
      <c r="A126" s="221" t="s">
        <v>234</v>
      </c>
      <c r="B126" s="222"/>
      <c r="C126" s="222"/>
      <c r="D126" s="223">
        <f t="shared" si="18"/>
        <v>0</v>
      </c>
      <c r="E126" s="223"/>
      <c r="F126" s="224"/>
      <c r="G126" s="223"/>
      <c r="H126" s="223"/>
      <c r="I126" s="206"/>
      <c r="J126" s="223"/>
      <c r="K126" s="225"/>
      <c r="M126" s="227"/>
    </row>
    <row r="127" spans="1:13" s="177" customFormat="1" ht="18" hidden="1" customHeight="1">
      <c r="A127" s="228" t="s">
        <v>235</v>
      </c>
      <c r="B127" s="229">
        <v>0</v>
      </c>
      <c r="C127" s="229">
        <v>0</v>
      </c>
      <c r="D127" s="204">
        <f t="shared" si="18"/>
        <v>6163.6214630000004</v>
      </c>
      <c r="E127" s="204"/>
      <c r="F127" s="205">
        <v>6163.6214630000004</v>
      </c>
      <c r="G127" s="204"/>
      <c r="H127" s="204">
        <v>0</v>
      </c>
      <c r="I127" s="206"/>
      <c r="J127" s="204"/>
      <c r="K127" s="230" t="e">
        <f>D127/"#REF!*100"</f>
        <v>#VALUE!</v>
      </c>
    </row>
    <row r="128" spans="1:13" ht="18" hidden="1" customHeight="1">
      <c r="A128" s="231" t="s">
        <v>236</v>
      </c>
      <c r="B128" s="204">
        <f>B8</f>
        <v>4042000</v>
      </c>
      <c r="C128" s="204">
        <f t="shared" ref="C128:H128" si="19">C9+C111+C121+C127</f>
        <v>4202000</v>
      </c>
      <c r="D128" s="204">
        <f t="shared" si="19"/>
        <v>8599129.1999149993</v>
      </c>
      <c r="E128" s="204">
        <f t="shared" si="19"/>
        <v>358045.21860900003</v>
      </c>
      <c r="F128" s="205">
        <f t="shared" si="19"/>
        <v>6016030.4956910005</v>
      </c>
      <c r="G128" s="204">
        <f t="shared" si="19"/>
        <v>1769687.669154</v>
      </c>
      <c r="H128" s="204">
        <f t="shared" si="19"/>
        <v>455365.81646100001</v>
      </c>
      <c r="I128" s="206"/>
      <c r="J128" s="204">
        <f>+F128/C128*100</f>
        <v>143.17064482843884</v>
      </c>
      <c r="K128" s="220"/>
    </row>
    <row r="129" spans="1:13" ht="17.100000000000001" hidden="1" customHeight="1">
      <c r="A129" s="232" t="s">
        <v>237</v>
      </c>
      <c r="B129" s="233"/>
      <c r="C129" s="233"/>
      <c r="D129" s="204">
        <f>E129+F129+G129+H129</f>
        <v>0</v>
      </c>
      <c r="E129" s="234"/>
      <c r="F129" s="235"/>
      <c r="G129" s="235"/>
      <c r="H129" s="235"/>
      <c r="I129" s="206"/>
      <c r="J129" s="236"/>
      <c r="K129" s="220"/>
    </row>
    <row r="130" spans="1:13" ht="17.100000000000001" customHeight="1">
      <c r="A130" s="237"/>
      <c r="B130" s="238"/>
      <c r="C130" s="238"/>
      <c r="D130" s="238"/>
      <c r="E130" s="239"/>
      <c r="F130" s="240"/>
      <c r="G130" s="240"/>
      <c r="H130" s="240"/>
      <c r="I130" s="230"/>
      <c r="J130" s="220"/>
      <c r="K130" s="220"/>
    </row>
    <row r="131" spans="1:13" ht="17.100000000000001" customHeight="1">
      <c r="A131" s="241" t="s">
        <v>2718</v>
      </c>
      <c r="B131" s="238"/>
      <c r="C131" s="1672" t="s">
        <v>2718</v>
      </c>
      <c r="D131" s="1672"/>
      <c r="E131" s="1672"/>
      <c r="F131" s="1672"/>
      <c r="G131" s="240"/>
      <c r="H131" s="242" t="s">
        <v>2719</v>
      </c>
      <c r="I131" s="230"/>
      <c r="J131" s="220"/>
      <c r="K131" s="220"/>
    </row>
    <row r="132" spans="1:13" ht="17.100000000000001" customHeight="1">
      <c r="A132" s="243" t="s">
        <v>238</v>
      </c>
      <c r="B132" s="238"/>
      <c r="C132" s="1671" t="s">
        <v>239</v>
      </c>
      <c r="D132" s="1671"/>
      <c r="E132" s="1671"/>
      <c r="F132" s="1671"/>
      <c r="G132" s="240"/>
      <c r="H132" s="244" t="s">
        <v>85</v>
      </c>
      <c r="I132" s="230"/>
      <c r="J132" s="220"/>
      <c r="K132" s="220"/>
    </row>
    <row r="133" spans="1:13" ht="17.100000000000001" customHeight="1">
      <c r="A133" s="237"/>
      <c r="B133" s="238"/>
      <c r="C133" s="238"/>
      <c r="D133" s="238"/>
      <c r="E133" s="239"/>
      <c r="F133" s="240"/>
      <c r="G133" s="240"/>
      <c r="H133" s="245" t="s">
        <v>86</v>
      </c>
      <c r="I133" s="230"/>
      <c r="J133" s="220"/>
      <c r="K133" s="220"/>
    </row>
    <row r="134" spans="1:13" ht="17.100000000000001" customHeight="1">
      <c r="A134" s="237"/>
      <c r="B134" s="238"/>
      <c r="C134" s="238"/>
      <c r="D134" s="238"/>
      <c r="E134" s="239"/>
      <c r="F134" s="240"/>
      <c r="G134" s="240"/>
      <c r="H134" s="240"/>
      <c r="I134" s="230"/>
      <c r="J134" s="220"/>
      <c r="K134" s="220"/>
    </row>
    <row r="135" spans="1:13" ht="17.100000000000001" customHeight="1">
      <c r="A135" s="237"/>
      <c r="B135" s="238"/>
      <c r="C135" s="238"/>
      <c r="D135" s="238"/>
      <c r="E135" s="239"/>
      <c r="F135" s="240"/>
      <c r="G135" s="240"/>
      <c r="H135" s="240"/>
      <c r="I135" s="230"/>
      <c r="J135" s="220"/>
      <c r="K135" s="220"/>
    </row>
    <row r="136" spans="1:13" ht="17.100000000000001" customHeight="1">
      <c r="A136" s="237"/>
      <c r="B136" s="238"/>
      <c r="C136" s="238"/>
      <c r="D136" s="238"/>
      <c r="E136" s="239"/>
      <c r="F136" s="240"/>
      <c r="G136" s="240"/>
      <c r="H136" s="240"/>
      <c r="I136" s="230"/>
      <c r="J136" s="220"/>
      <c r="K136" s="220"/>
      <c r="L136" s="158"/>
      <c r="M136" s="158"/>
    </row>
    <row r="137" spans="1:13">
      <c r="A137" s="246"/>
      <c r="B137" s="246"/>
      <c r="D137" s="246"/>
      <c r="G137" s="246"/>
      <c r="H137" s="246"/>
      <c r="I137" s="246"/>
    </row>
    <row r="138" spans="1:13">
      <c r="A138" s="247"/>
      <c r="B138" s="248"/>
      <c r="D138" s="249"/>
      <c r="E138" s="250"/>
      <c r="F138" s="248"/>
      <c r="G138" s="247"/>
      <c r="H138" s="249"/>
      <c r="I138" s="248"/>
      <c r="J138" s="251"/>
      <c r="K138" s="251"/>
    </row>
    <row r="139" spans="1:13">
      <c r="G139" s="249"/>
      <c r="H139" s="247"/>
    </row>
    <row r="140" spans="1:13">
      <c r="A140" s="125"/>
      <c r="D140" s="125"/>
    </row>
    <row r="141" spans="1:13">
      <c r="A141" s="252"/>
      <c r="D141" s="125"/>
    </row>
    <row r="142" spans="1:13">
      <c r="A142" s="252"/>
      <c r="D142" s="125"/>
      <c r="L142" s="158"/>
    </row>
    <row r="143" spans="1:13">
      <c r="A143" s="125"/>
      <c r="L143" s="158"/>
    </row>
    <row r="144" spans="1:13">
      <c r="A144" s="125"/>
    </row>
    <row r="145" spans="1:6">
      <c r="A145" s="125"/>
    </row>
    <row r="146" spans="1:6"/>
  </sheetData>
  <sheetProtection selectLockedCells="1" selectUnlockedCells="1"/>
  <mergeCells count="6">
    <mergeCell ref="C132:F132"/>
    <mergeCell ref="C131:F131"/>
    <mergeCell ref="A2:J2"/>
    <mergeCell ref="B4:C4"/>
    <mergeCell ref="E4:H4"/>
    <mergeCell ref="I4:J4"/>
  </mergeCells>
  <phoneticPr fontId="160" type="noConversion"/>
  <pageMargins left="0" right="0" top="0.5" bottom="0.5" header="0.51180555555555551" footer="0.51180555555555551"/>
  <pageSetup paperSize="9" scale="95" firstPageNumber="0"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27"/>
  <sheetViews>
    <sheetView topLeftCell="A4" workbookViewId="0">
      <selection activeCell="R37" sqref="R37"/>
    </sheetView>
  </sheetViews>
  <sheetFormatPr defaultColWidth="46.7109375" defaultRowHeight="15.75"/>
  <cols>
    <col min="1" max="1" width="5.42578125" style="102" customWidth="1"/>
    <col min="2" max="2" width="42.140625" style="102" customWidth="1"/>
    <col min="3" max="3" width="11.42578125" style="117" customWidth="1"/>
    <col min="4" max="4" width="11.7109375" style="134" customWidth="1"/>
    <col min="5" max="5" width="14" style="102" customWidth="1"/>
    <col min="6" max="6" width="15" style="117" customWidth="1"/>
    <col min="7" max="7" width="11.7109375" style="117" hidden="1" customWidth="1"/>
    <col min="8" max="8" width="15.5703125" style="117" hidden="1" customWidth="1"/>
    <col min="9" max="9" width="14.85546875" style="102" customWidth="1"/>
    <col min="10" max="10" width="10.7109375" style="102" hidden="1" customWidth="1"/>
    <col min="11" max="11" width="12.42578125" style="117" hidden="1" customWidth="1"/>
    <col min="12" max="12" width="14.28515625" style="102" customWidth="1"/>
    <col min="13" max="13" width="10" style="102" hidden="1" customWidth="1"/>
    <col min="14" max="14" width="12.85546875" style="117" hidden="1" customWidth="1"/>
    <col min="15" max="15" width="7.28515625" style="102" customWidth="1"/>
    <col min="16" max="16" width="8.7109375" style="102" customWidth="1"/>
    <col min="17" max="17" width="0" style="102" hidden="1" customWidth="1"/>
    <col min="18" max="18" width="17.5703125" style="102" customWidth="1"/>
    <col min="19" max="19" width="30" style="102" customWidth="1"/>
    <col min="20" max="20" width="16.140625" style="102" customWidth="1"/>
    <col min="21" max="254" width="9.140625" style="102" customWidth="1"/>
    <col min="255" max="255" width="5.42578125" style="102" customWidth="1"/>
    <col min="256" max="16384" width="46.7109375" style="102"/>
  </cols>
  <sheetData>
    <row r="1" spans="1:20" ht="22.5" customHeight="1">
      <c r="B1" s="542" t="s">
        <v>43</v>
      </c>
      <c r="L1" s="104"/>
      <c r="M1" s="104"/>
      <c r="N1" s="253"/>
      <c r="P1" s="464" t="s">
        <v>541</v>
      </c>
      <c r="Q1" s="104"/>
    </row>
    <row r="2" spans="1:20" ht="18.75" customHeight="1">
      <c r="B2" s="1677" t="s">
        <v>1022</v>
      </c>
      <c r="C2" s="1677"/>
      <c r="D2" s="1677"/>
      <c r="E2" s="1677"/>
      <c r="F2" s="1677"/>
      <c r="G2" s="1677"/>
      <c r="H2" s="1677"/>
      <c r="I2" s="1677"/>
      <c r="J2" s="1677"/>
      <c r="K2" s="1677"/>
      <c r="L2" s="1677"/>
      <c r="M2" s="1677"/>
      <c r="N2" s="1677"/>
      <c r="O2" s="1677"/>
      <c r="P2" s="1677"/>
      <c r="Q2" s="254"/>
    </row>
    <row r="3" spans="1:20" s="117" customFormat="1" ht="15.75" customHeight="1">
      <c r="B3" s="105"/>
      <c r="C3" s="516"/>
      <c r="D3" s="255"/>
      <c r="E3" s="256"/>
      <c r="F3" s="507"/>
      <c r="G3" s="257"/>
      <c r="H3" s="257"/>
      <c r="I3" s="256"/>
      <c r="J3" s="256"/>
      <c r="K3" s="256"/>
      <c r="L3" s="257"/>
      <c r="M3" s="257"/>
      <c r="N3" s="257"/>
      <c r="P3" s="258" t="s">
        <v>44</v>
      </c>
      <c r="Q3" s="258"/>
    </row>
    <row r="4" spans="1:20" ht="15.75" customHeight="1">
      <c r="A4" s="259"/>
      <c r="B4" s="260"/>
      <c r="C4" s="1678" t="s">
        <v>939</v>
      </c>
      <c r="D4" s="1678"/>
      <c r="E4" s="1678" t="s">
        <v>942</v>
      </c>
      <c r="F4" s="1678"/>
      <c r="G4" s="1678"/>
      <c r="H4" s="1678"/>
      <c r="I4" s="1678"/>
      <c r="J4" s="1678"/>
      <c r="K4" s="1678"/>
      <c r="L4" s="1678"/>
      <c r="M4" s="548"/>
      <c r="N4" s="548"/>
      <c r="O4" s="1679" t="s">
        <v>97</v>
      </c>
      <c r="P4" s="1679"/>
      <c r="Q4" s="548"/>
      <c r="R4" s="116"/>
    </row>
    <row r="5" spans="1:20" ht="15.95" customHeight="1">
      <c r="A5" s="261" t="s">
        <v>45</v>
      </c>
      <c r="B5" s="262" t="s">
        <v>1024</v>
      </c>
      <c r="C5" s="109" t="s">
        <v>101</v>
      </c>
      <c r="D5" s="263" t="s">
        <v>99</v>
      </c>
      <c r="E5" s="107" t="s">
        <v>47</v>
      </c>
      <c r="F5" s="1680" t="s">
        <v>78</v>
      </c>
      <c r="G5" s="1680"/>
      <c r="H5" s="1680"/>
      <c r="I5" s="1680"/>
      <c r="J5" s="1680"/>
      <c r="K5" s="1680"/>
      <c r="L5" s="1680"/>
      <c r="M5" s="264"/>
      <c r="N5" s="264"/>
      <c r="O5" s="463" t="s">
        <v>101</v>
      </c>
      <c r="P5" s="463" t="s">
        <v>99</v>
      </c>
      <c r="Q5" s="107" t="s">
        <v>241</v>
      </c>
    </row>
    <row r="6" spans="1:20" ht="15.95" customHeight="1">
      <c r="A6" s="265"/>
      <c r="B6" s="266"/>
      <c r="C6" s="111" t="s">
        <v>102</v>
      </c>
      <c r="D6" s="267" t="s">
        <v>103</v>
      </c>
      <c r="E6" s="110" t="s">
        <v>242</v>
      </c>
      <c r="F6" s="508" t="s">
        <v>1043</v>
      </c>
      <c r="G6" s="463" t="s">
        <v>974</v>
      </c>
      <c r="H6" s="463" t="s">
        <v>975</v>
      </c>
      <c r="I6" s="463" t="s">
        <v>1044</v>
      </c>
      <c r="J6" s="463" t="s">
        <v>974</v>
      </c>
      <c r="K6" s="463" t="s">
        <v>976</v>
      </c>
      <c r="L6" s="463" t="s">
        <v>1045</v>
      </c>
      <c r="M6" s="463" t="s">
        <v>974</v>
      </c>
      <c r="N6" s="463" t="s">
        <v>976</v>
      </c>
      <c r="O6" s="463" t="s">
        <v>102</v>
      </c>
      <c r="P6" s="587" t="s">
        <v>103</v>
      </c>
      <c r="Q6" s="110" t="s">
        <v>246</v>
      </c>
    </row>
    <row r="7" spans="1:20" ht="16.5" customHeight="1">
      <c r="A7" s="265"/>
      <c r="B7" s="268" t="s">
        <v>142</v>
      </c>
      <c r="C7" s="268" t="s">
        <v>771</v>
      </c>
      <c r="D7" s="560" t="s">
        <v>772</v>
      </c>
      <c r="E7" s="268" t="s">
        <v>247</v>
      </c>
      <c r="F7" s="269" t="s">
        <v>248</v>
      </c>
      <c r="G7" s="269"/>
      <c r="H7" s="269"/>
      <c r="I7" s="269" t="s">
        <v>249</v>
      </c>
      <c r="J7" s="269"/>
      <c r="K7" s="269"/>
      <c r="L7" s="269" t="s">
        <v>250</v>
      </c>
      <c r="M7" s="269"/>
      <c r="N7" s="269"/>
      <c r="O7" s="586" t="s">
        <v>251</v>
      </c>
      <c r="P7" s="586" t="s">
        <v>252</v>
      </c>
      <c r="Q7" s="139"/>
      <c r="R7" s="103"/>
      <c r="T7" s="103"/>
    </row>
    <row r="8" spans="1:20" ht="17.25" customHeight="1">
      <c r="A8" s="270" t="s">
        <v>57</v>
      </c>
      <c r="B8" s="271" t="s">
        <v>1025</v>
      </c>
      <c r="C8" s="233">
        <f>C9+C26+C35+C75+C76+C80</f>
        <v>7211277</v>
      </c>
      <c r="D8" s="272">
        <f>+D9+D35+D75+D76+D77+D26+D80</f>
        <v>7614235</v>
      </c>
      <c r="E8" s="273">
        <f>+F8+I8+L8</f>
        <v>11329078.474210002</v>
      </c>
      <c r="F8" s="205">
        <f>F9+F26+F35+F75+F77+F80</f>
        <v>6218684.7938590003</v>
      </c>
      <c r="G8" s="205"/>
      <c r="H8" s="205"/>
      <c r="I8" s="205">
        <f>+I9+I26+I35+I75+I77+I80</f>
        <v>3952060.8910559998</v>
      </c>
      <c r="J8" s="205"/>
      <c r="K8" s="205"/>
      <c r="L8" s="205">
        <f>+L9+L26+L35+L75+L77+L80</f>
        <v>1158332.789295</v>
      </c>
      <c r="M8" s="273"/>
      <c r="N8" s="205"/>
      <c r="O8" s="273">
        <f>E8/C8*100</f>
        <v>157.10225074158157</v>
      </c>
      <c r="P8" s="273">
        <f>E8/D8*100</f>
        <v>148.78813793125641</v>
      </c>
      <c r="Q8" s="274" t="e">
        <f>+E8/"#REF!*100"</f>
        <v>#VALUE!</v>
      </c>
      <c r="R8" s="103"/>
      <c r="T8" s="103"/>
    </row>
    <row r="9" spans="1:20" ht="18" customHeight="1">
      <c r="A9" s="270" t="s">
        <v>108</v>
      </c>
      <c r="B9" s="275" t="s">
        <v>59</v>
      </c>
      <c r="C9" s="517">
        <f>1656790</f>
        <v>1656790</v>
      </c>
      <c r="D9" s="276">
        <v>1785790</v>
      </c>
      <c r="E9" s="205">
        <f>+F9+I9+L9</f>
        <v>3016225.2966900002</v>
      </c>
      <c r="F9" s="205">
        <f>+F10+F24+F25</f>
        <v>2336793.7198600001</v>
      </c>
      <c r="G9" s="205"/>
      <c r="H9" s="205"/>
      <c r="I9" s="205">
        <f>+I10+I24+I25</f>
        <v>411592.08420300001</v>
      </c>
      <c r="J9" s="273"/>
      <c r="K9" s="205"/>
      <c r="L9" s="205">
        <f>+L10+L24+L25</f>
        <v>267839.49262699997</v>
      </c>
      <c r="M9" s="273"/>
      <c r="N9" s="205"/>
      <c r="O9" s="273">
        <f>E9/C9*100</f>
        <v>182.05236008727721</v>
      </c>
      <c r="P9" s="273">
        <f>E9/D9*100</f>
        <v>168.90145519293984</v>
      </c>
      <c r="Q9" s="277" t="e">
        <f>+E9/"#REF!*100"</f>
        <v>#VALUE!</v>
      </c>
      <c r="R9" s="103"/>
    </row>
    <row r="10" spans="1:20" ht="29.25">
      <c r="A10" s="270">
        <v>1</v>
      </c>
      <c r="B10" s="278" t="s">
        <v>492</v>
      </c>
      <c r="C10" s="402">
        <v>1656790</v>
      </c>
      <c r="D10" s="279">
        <v>1785790</v>
      </c>
      <c r="E10" s="273">
        <f>F10+I10+L10</f>
        <v>2914093.3630059999</v>
      </c>
      <c r="F10" s="205">
        <f>+F11+F12+F13+F14+F15+F16+F17+F18+F19+F20+F21+F22+F23</f>
        <v>2235385.0411760001</v>
      </c>
      <c r="G10" s="205">
        <f>+G11+G12+G13+G14+G15+G16+G17+G18+G19+G20+G21+G22+G23</f>
        <v>633340.47815500002</v>
      </c>
      <c r="H10" s="205">
        <f>+H11+H12+H13+H14+H15+H16+H17+H18+H19+H20+H21+H22+H23</f>
        <v>0</v>
      </c>
      <c r="I10" s="205">
        <f>+I11+I12+I13+I14+I15+I16+I17+I18+I19+I20+I21+I22+I23</f>
        <v>410868.829203</v>
      </c>
      <c r="J10" s="205">
        <f>+SUM(J11:J23)</f>
        <v>12853.423792</v>
      </c>
      <c r="K10" s="205">
        <f>+SUM(K11:K23)</f>
        <v>0</v>
      </c>
      <c r="L10" s="205">
        <f>+L11+L12+L13+L14+L15+L16+L17+L18+L19+L20+L21+L22+L23</f>
        <v>267839.49262699997</v>
      </c>
      <c r="M10" s="505">
        <f>+M11+M12+M13+M14+M15+M16+M17+M18+M19+M20+M21+M22+M23</f>
        <v>96203.247968999989</v>
      </c>
      <c r="N10" s="205">
        <f>+N11+N12+N13+N14+N15+N16+N17+N18+N19+N20+N21+N22+N23</f>
        <v>0</v>
      </c>
      <c r="O10" s="273">
        <f>E10/C10*100</f>
        <v>175.88791355609342</v>
      </c>
      <c r="P10" s="273">
        <f>E10/D10*100</f>
        <v>163.18230939841752</v>
      </c>
      <c r="Q10" s="277"/>
      <c r="R10" s="103">
        <f>+(E10-E23)/C10*100</f>
        <v>167.2444375482107</v>
      </c>
      <c r="S10" s="931">
        <f>+(E10-E23)/D10*100</f>
        <v>155.16321162370716</v>
      </c>
    </row>
    <row r="11" spans="1:20" ht="18" customHeight="1">
      <c r="A11" s="280" t="s">
        <v>254</v>
      </c>
      <c r="B11" s="281" t="s">
        <v>255</v>
      </c>
      <c r="C11" s="402">
        <v>0</v>
      </c>
      <c r="D11" s="279">
        <v>0</v>
      </c>
      <c r="E11" s="213">
        <f>+F11+I11+L11</f>
        <v>29253.509900000001</v>
      </c>
      <c r="F11" s="213">
        <v>29114.277900000001</v>
      </c>
      <c r="G11" s="213"/>
      <c r="H11" s="213"/>
      <c r="I11" s="532">
        <v>139.232</v>
      </c>
      <c r="J11" s="219"/>
      <c r="K11" s="213"/>
      <c r="L11" s="279">
        <v>0</v>
      </c>
      <c r="M11" s="504"/>
      <c r="N11" s="213"/>
      <c r="O11" s="279">
        <v>0</v>
      </c>
      <c r="P11" s="279">
        <v>0</v>
      </c>
      <c r="Q11" s="282"/>
      <c r="R11" s="103"/>
    </row>
    <row r="12" spans="1:20" ht="18" customHeight="1">
      <c r="A12" s="280" t="s">
        <v>256</v>
      </c>
      <c r="B12" s="281" t="s">
        <v>257</v>
      </c>
      <c r="C12" s="402">
        <v>0</v>
      </c>
      <c r="D12" s="279">
        <v>0</v>
      </c>
      <c r="E12" s="213">
        <f t="shared" ref="E12:E22" si="0">+F12+I12+L12</f>
        <v>11565.008900000001</v>
      </c>
      <c r="F12" s="213">
        <v>11511.0542</v>
      </c>
      <c r="G12" s="213"/>
      <c r="H12" s="213"/>
      <c r="I12" s="532">
        <v>53.954700000000003</v>
      </c>
      <c r="J12" s="219"/>
      <c r="K12" s="213"/>
      <c r="L12" s="279">
        <v>0</v>
      </c>
      <c r="M12" s="504"/>
      <c r="N12" s="213"/>
      <c r="O12" s="279">
        <v>0</v>
      </c>
      <c r="P12" s="279">
        <v>0</v>
      </c>
      <c r="Q12" s="282"/>
      <c r="R12" s="103"/>
    </row>
    <row r="13" spans="1:20" ht="18" customHeight="1">
      <c r="A13" s="280" t="s">
        <v>258</v>
      </c>
      <c r="B13" s="281" t="s">
        <v>259</v>
      </c>
      <c r="C13" s="402">
        <v>0</v>
      </c>
      <c r="D13" s="279">
        <v>0</v>
      </c>
      <c r="E13" s="213">
        <f t="shared" si="0"/>
        <v>277357.18930799997</v>
      </c>
      <c r="F13" s="213">
        <f>112619.79232</f>
        <v>112619.79231999999</v>
      </c>
      <c r="G13" s="213">
        <v>40926.416799999999</v>
      </c>
      <c r="H13" s="213"/>
      <c r="I13" s="219">
        <f>164617.396988</f>
        <v>164617.39698799999</v>
      </c>
      <c r="J13" s="219">
        <v>1143.1389999999999</v>
      </c>
      <c r="K13" s="213"/>
      <c r="L13" s="279">
        <f>120</f>
        <v>120</v>
      </c>
      <c r="M13" s="504">
        <v>120</v>
      </c>
      <c r="N13" s="213"/>
      <c r="O13" s="279">
        <v>0</v>
      </c>
      <c r="P13" s="279">
        <v>0</v>
      </c>
      <c r="Q13" s="282"/>
      <c r="R13" s="103"/>
    </row>
    <row r="14" spans="1:20" ht="18" customHeight="1">
      <c r="A14" s="280" t="s">
        <v>260</v>
      </c>
      <c r="B14" s="281" t="s">
        <v>261</v>
      </c>
      <c r="C14" s="402">
        <v>0</v>
      </c>
      <c r="D14" s="279">
        <v>0</v>
      </c>
      <c r="E14" s="213">
        <f t="shared" si="0"/>
        <v>643.31500000000005</v>
      </c>
      <c r="F14" s="213">
        <v>643.31500000000005</v>
      </c>
      <c r="G14" s="213"/>
      <c r="H14" s="213"/>
      <c r="I14" s="279">
        <v>0</v>
      </c>
      <c r="J14" s="219"/>
      <c r="K14" s="213"/>
      <c r="L14" s="279">
        <v>0</v>
      </c>
      <c r="M14" s="504"/>
      <c r="N14" s="213"/>
      <c r="O14" s="279">
        <v>0</v>
      </c>
      <c r="P14" s="279">
        <v>0</v>
      </c>
      <c r="Q14" s="282"/>
      <c r="R14" s="103"/>
    </row>
    <row r="15" spans="1:20" ht="18" customHeight="1">
      <c r="A15" s="280" t="s">
        <v>262</v>
      </c>
      <c r="B15" s="281" t="s">
        <v>263</v>
      </c>
      <c r="C15" s="402">
        <v>0</v>
      </c>
      <c r="D15" s="279">
        <v>0</v>
      </c>
      <c r="E15" s="213">
        <f t="shared" si="0"/>
        <v>128430.53434100001</v>
      </c>
      <c r="F15" s="213">
        <v>127927.791341</v>
      </c>
      <c r="G15" s="213"/>
      <c r="H15" s="213"/>
      <c r="I15" s="219">
        <v>228.64699999999999</v>
      </c>
      <c r="J15" s="219"/>
      <c r="K15" s="213"/>
      <c r="L15" s="532">
        <v>274.096</v>
      </c>
      <c r="M15" s="504"/>
      <c r="N15" s="213"/>
      <c r="O15" s="279">
        <v>0</v>
      </c>
      <c r="P15" s="279">
        <v>0</v>
      </c>
      <c r="Q15" s="282"/>
      <c r="R15" s="103"/>
    </row>
    <row r="16" spans="1:20" ht="18" customHeight="1">
      <c r="A16" s="280" t="s">
        <v>264</v>
      </c>
      <c r="B16" s="281" t="s">
        <v>265</v>
      </c>
      <c r="C16" s="402">
        <v>0</v>
      </c>
      <c r="D16" s="279">
        <v>0</v>
      </c>
      <c r="E16" s="213">
        <f t="shared" si="0"/>
        <v>64226.546066999996</v>
      </c>
      <c r="F16" s="213">
        <v>45495.248045</v>
      </c>
      <c r="G16" s="213"/>
      <c r="H16" s="213"/>
      <c r="I16" s="219">
        <f>15630.437022</f>
        <v>15630.437022</v>
      </c>
      <c r="J16" s="219">
        <v>925.65700000000004</v>
      </c>
      <c r="K16" s="213"/>
      <c r="L16" s="532">
        <f>3100.861</f>
        <v>3100.8609999999999</v>
      </c>
      <c r="M16" s="504">
        <v>1095.92</v>
      </c>
      <c r="N16" s="213"/>
      <c r="O16" s="279">
        <v>0</v>
      </c>
      <c r="P16" s="279">
        <v>0</v>
      </c>
      <c r="Q16" s="282"/>
      <c r="R16" s="103"/>
    </row>
    <row r="17" spans="1:20" ht="18" customHeight="1">
      <c r="A17" s="280" t="s">
        <v>266</v>
      </c>
      <c r="B17" s="281" t="s">
        <v>267</v>
      </c>
      <c r="C17" s="402">
        <v>0</v>
      </c>
      <c r="D17" s="279">
        <v>0</v>
      </c>
      <c r="E17" s="213">
        <f t="shared" si="0"/>
        <v>21659.773572999999</v>
      </c>
      <c r="F17" s="213">
        <v>21659.773572999999</v>
      </c>
      <c r="G17" s="213"/>
      <c r="H17" s="213"/>
      <c r="I17" s="279">
        <v>0</v>
      </c>
      <c r="J17" s="219"/>
      <c r="K17" s="213"/>
      <c r="L17" s="279">
        <v>0</v>
      </c>
      <c r="M17" s="504"/>
      <c r="N17" s="213"/>
      <c r="O17" s="279">
        <v>0</v>
      </c>
      <c r="P17" s="279">
        <v>0</v>
      </c>
      <c r="Q17" s="282"/>
      <c r="R17" s="103"/>
    </row>
    <row r="18" spans="1:20" ht="18" customHeight="1">
      <c r="A18" s="280" t="s">
        <v>268</v>
      </c>
      <c r="B18" s="281" t="s">
        <v>269</v>
      </c>
      <c r="C18" s="402">
        <v>0</v>
      </c>
      <c r="D18" s="279">
        <v>0</v>
      </c>
      <c r="E18" s="213">
        <f>+F18+I18+L18</f>
        <v>833.39199999999994</v>
      </c>
      <c r="F18" s="533">
        <v>239.852</v>
      </c>
      <c r="G18" s="213"/>
      <c r="H18" s="213"/>
      <c r="I18" s="219">
        <v>593.54</v>
      </c>
      <c r="J18" s="219"/>
      <c r="K18" s="213"/>
      <c r="L18" s="279">
        <v>0</v>
      </c>
      <c r="M18" s="504"/>
      <c r="N18" s="213"/>
      <c r="O18" s="279">
        <v>0</v>
      </c>
      <c r="P18" s="279">
        <v>0</v>
      </c>
      <c r="Q18" s="282"/>
      <c r="R18" s="297"/>
    </row>
    <row r="19" spans="1:20" ht="18" customHeight="1">
      <c r="A19" s="280" t="s">
        <v>270</v>
      </c>
      <c r="B19" s="281" t="s">
        <v>271</v>
      </c>
      <c r="C19" s="402">
        <v>0</v>
      </c>
      <c r="D19" s="279">
        <v>0</v>
      </c>
      <c r="E19" s="213">
        <f t="shared" si="0"/>
        <v>497.36599999999999</v>
      </c>
      <c r="F19" s="213">
        <f>459.89</f>
        <v>459.89</v>
      </c>
      <c r="G19" s="213">
        <v>140</v>
      </c>
      <c r="H19" s="213"/>
      <c r="I19" s="532">
        <v>37.475999999999999</v>
      </c>
      <c r="J19" s="219"/>
      <c r="K19" s="213"/>
      <c r="L19" s="279">
        <v>0</v>
      </c>
      <c r="M19" s="504"/>
      <c r="N19" s="213"/>
      <c r="O19" s="279">
        <v>0</v>
      </c>
      <c r="P19" s="279">
        <v>0</v>
      </c>
      <c r="Q19" s="282"/>
      <c r="R19" s="103"/>
    </row>
    <row r="20" spans="1:20" ht="18" customHeight="1">
      <c r="A20" s="280" t="s">
        <v>272</v>
      </c>
      <c r="B20" s="281" t="s">
        <v>273</v>
      </c>
      <c r="C20" s="402">
        <v>0</v>
      </c>
      <c r="D20" s="279">
        <v>0</v>
      </c>
      <c r="E20" s="213">
        <f t="shared" si="0"/>
        <v>1781885.673316</v>
      </c>
      <c r="F20" s="213">
        <f>1392979.695074</f>
        <v>1392979.6950739999</v>
      </c>
      <c r="G20" s="213">
        <f>442844.620482+124421.143373</f>
        <v>567265.76385500003</v>
      </c>
      <c r="H20" s="213"/>
      <c r="I20" s="219">
        <f>208938.321045</f>
        <v>208938.32104499999</v>
      </c>
      <c r="J20" s="219">
        <v>9084.6277919999993</v>
      </c>
      <c r="K20" s="213"/>
      <c r="L20" s="219">
        <f>179967.657197</f>
        <v>179967.65719699999</v>
      </c>
      <c r="M20" s="504">
        <v>92537.111168999996</v>
      </c>
      <c r="N20" s="213"/>
      <c r="O20" s="279">
        <v>0</v>
      </c>
      <c r="P20" s="279">
        <v>0</v>
      </c>
      <c r="Q20" s="282"/>
      <c r="R20" s="103"/>
    </row>
    <row r="21" spans="1:20" ht="18" customHeight="1">
      <c r="A21" s="280" t="s">
        <v>274</v>
      </c>
      <c r="B21" s="281" t="s">
        <v>275</v>
      </c>
      <c r="C21" s="402">
        <v>0</v>
      </c>
      <c r="D21" s="279">
        <v>0</v>
      </c>
      <c r="E21" s="213">
        <f t="shared" si="0"/>
        <v>361376.81644999998</v>
      </c>
      <c r="F21" s="213">
        <f>326102.309572</f>
        <v>326102.309572</v>
      </c>
      <c r="G21" s="213">
        <v>20093.719499999999</v>
      </c>
      <c r="H21" s="213"/>
      <c r="I21" s="219">
        <f>18927.628448</f>
        <v>18927.628447999999</v>
      </c>
      <c r="J21" s="219">
        <v>1700</v>
      </c>
      <c r="K21" s="213"/>
      <c r="L21" s="219">
        <f>16346.87843</f>
        <v>16346.878430000001</v>
      </c>
      <c r="M21" s="504">
        <v>2450.2168000000001</v>
      </c>
      <c r="N21" s="213"/>
      <c r="O21" s="279">
        <v>0</v>
      </c>
      <c r="P21" s="279">
        <v>0</v>
      </c>
      <c r="Q21" s="282"/>
      <c r="R21" s="103"/>
    </row>
    <row r="22" spans="1:20" ht="18" customHeight="1">
      <c r="A22" s="280" t="s">
        <v>276</v>
      </c>
      <c r="B22" s="281" t="s">
        <v>277</v>
      </c>
      <c r="C22" s="402">
        <v>0</v>
      </c>
      <c r="D22" s="279">
        <v>0</v>
      </c>
      <c r="E22" s="213">
        <f t="shared" si="0"/>
        <v>93159.991999999998</v>
      </c>
      <c r="F22" s="213">
        <f>23427.796</f>
        <v>23427.795999999998</v>
      </c>
      <c r="G22" s="213">
        <v>4914.5780000000004</v>
      </c>
      <c r="H22" s="213"/>
      <c r="I22" s="532">
        <v>1702.1959999999999</v>
      </c>
      <c r="J22" s="279"/>
      <c r="K22" s="279"/>
      <c r="L22" s="532">
        <v>68030</v>
      </c>
      <c r="M22" s="219"/>
      <c r="N22" s="213"/>
      <c r="O22" s="279">
        <v>0</v>
      </c>
      <c r="P22" s="279">
        <v>0</v>
      </c>
      <c r="Q22" s="282"/>
      <c r="R22" s="103"/>
    </row>
    <row r="23" spans="1:20" ht="18" customHeight="1">
      <c r="A23" s="280" t="s">
        <v>278</v>
      </c>
      <c r="B23" s="281" t="s">
        <v>279</v>
      </c>
      <c r="C23" s="402">
        <v>0</v>
      </c>
      <c r="D23" s="279">
        <v>0</v>
      </c>
      <c r="E23" s="213">
        <f>F23+I23+L23</f>
        <v>143204.246151</v>
      </c>
      <c r="F23" s="213">
        <v>143204.246151</v>
      </c>
      <c r="G23" s="213"/>
      <c r="H23" s="213"/>
      <c r="I23" s="279">
        <v>0</v>
      </c>
      <c r="J23" s="279"/>
      <c r="K23" s="279"/>
      <c r="L23" s="279">
        <v>0</v>
      </c>
      <c r="M23" s="219"/>
      <c r="N23" s="213"/>
      <c r="O23" s="279">
        <v>0</v>
      </c>
      <c r="P23" s="279">
        <v>0</v>
      </c>
      <c r="Q23" s="282"/>
      <c r="R23" s="103"/>
      <c r="S23" s="103"/>
    </row>
    <row r="24" spans="1:20" ht="33" customHeight="1">
      <c r="A24" s="270">
        <v>2</v>
      </c>
      <c r="B24" s="278" t="s">
        <v>280</v>
      </c>
      <c r="C24" s="402">
        <v>0</v>
      </c>
      <c r="D24" s="279">
        <v>0</v>
      </c>
      <c r="E24" s="273">
        <f>F24+I24+L24</f>
        <v>32774.400000000001</v>
      </c>
      <c r="F24" s="205">
        <v>32774.400000000001</v>
      </c>
      <c r="G24" s="205"/>
      <c r="H24" s="205"/>
      <c r="I24" s="279">
        <v>0</v>
      </c>
      <c r="J24" s="279"/>
      <c r="K24" s="279"/>
      <c r="L24" s="279">
        <v>0</v>
      </c>
      <c r="M24" s="273"/>
      <c r="N24" s="205"/>
      <c r="O24" s="279">
        <v>0</v>
      </c>
      <c r="P24" s="279">
        <v>0</v>
      </c>
      <c r="Q24" s="277"/>
      <c r="R24" s="103">
        <f>+'DAU TU'!V9/1000000</f>
        <v>2092180.7950250001</v>
      </c>
    </row>
    <row r="25" spans="1:20" ht="18" customHeight="1">
      <c r="A25" s="270">
        <v>3</v>
      </c>
      <c r="B25" s="275" t="s">
        <v>281</v>
      </c>
      <c r="C25" s="402">
        <v>0</v>
      </c>
      <c r="D25" s="279">
        <v>0</v>
      </c>
      <c r="E25" s="576">
        <f>F25+I25+L25</f>
        <v>69357.533684000009</v>
      </c>
      <c r="F25" s="582">
        <v>68634.278684000004</v>
      </c>
      <c r="G25" s="205"/>
      <c r="H25" s="205"/>
      <c r="I25" s="576">
        <v>723.255</v>
      </c>
      <c r="J25" s="279"/>
      <c r="K25" s="279"/>
      <c r="L25" s="279">
        <v>0</v>
      </c>
      <c r="M25" s="273"/>
      <c r="N25" s="205"/>
      <c r="O25" s="279">
        <v>0</v>
      </c>
      <c r="P25" s="279">
        <v>0</v>
      </c>
      <c r="Q25" s="277"/>
      <c r="R25" s="103">
        <f>+F10-R24</f>
        <v>143204.24615100003</v>
      </c>
      <c r="S25" s="102" t="s">
        <v>2721</v>
      </c>
    </row>
    <row r="26" spans="1:20" ht="18" customHeight="1">
      <c r="A26" s="270" t="s">
        <v>109</v>
      </c>
      <c r="B26" s="275" t="s">
        <v>1023</v>
      </c>
      <c r="C26" s="402">
        <v>800</v>
      </c>
      <c r="D26" s="465">
        <f>1783</f>
        <v>1783</v>
      </c>
      <c r="E26" s="205">
        <f>F26+I26+L26</f>
        <v>403.904653</v>
      </c>
      <c r="F26" s="205">
        <f>403.904653</f>
        <v>403.904653</v>
      </c>
      <c r="G26" s="205"/>
      <c r="H26" s="205"/>
      <c r="I26" s="279">
        <v>0</v>
      </c>
      <c r="J26" s="279"/>
      <c r="K26" s="279"/>
      <c r="L26" s="279">
        <v>0</v>
      </c>
      <c r="M26" s="273"/>
      <c r="N26" s="205"/>
      <c r="O26" s="273">
        <f t="shared" ref="O26:O73" si="1">E26/C26*100</f>
        <v>50.488081625000007</v>
      </c>
      <c r="P26" s="273">
        <f t="shared" ref="P26:P73" si="2">E26/D26*100</f>
        <v>22.65309326977005</v>
      </c>
      <c r="Q26" s="277"/>
      <c r="R26" s="103"/>
    </row>
    <row r="27" spans="1:20" ht="18" hidden="1" customHeight="1">
      <c r="A27" s="270"/>
      <c r="B27" s="275"/>
      <c r="C27" s="402"/>
      <c r="D27" s="276"/>
      <c r="E27" s="205"/>
      <c r="F27" s="205"/>
      <c r="G27" s="205"/>
      <c r="H27" s="205"/>
      <c r="I27" s="273"/>
      <c r="J27" s="273"/>
      <c r="K27" s="205"/>
      <c r="L27" s="273"/>
      <c r="M27" s="273"/>
      <c r="N27" s="205"/>
      <c r="O27" s="273" t="e">
        <f t="shared" si="1"/>
        <v>#DIV/0!</v>
      </c>
      <c r="P27" s="273" t="e">
        <f t="shared" si="2"/>
        <v>#DIV/0!</v>
      </c>
      <c r="Q27" s="277"/>
      <c r="R27" s="103"/>
    </row>
    <row r="28" spans="1:20" ht="18" hidden="1" customHeight="1">
      <c r="A28" s="270"/>
      <c r="B28" s="275"/>
      <c r="C28" s="402"/>
      <c r="D28" s="276"/>
      <c r="E28" s="205"/>
      <c r="F28" s="205"/>
      <c r="G28" s="205"/>
      <c r="H28" s="205"/>
      <c r="I28" s="273"/>
      <c r="J28" s="273"/>
      <c r="K28" s="205"/>
      <c r="L28" s="273"/>
      <c r="M28" s="273"/>
      <c r="N28" s="205"/>
      <c r="O28" s="273" t="e">
        <f t="shared" si="1"/>
        <v>#DIV/0!</v>
      </c>
      <c r="P28" s="273" t="e">
        <f t="shared" si="2"/>
        <v>#DIV/0!</v>
      </c>
      <c r="Q28" s="277"/>
      <c r="R28" s="103"/>
    </row>
    <row r="29" spans="1:20" ht="15" hidden="1" customHeight="1">
      <c r="A29" s="281"/>
      <c r="B29" s="283" t="s">
        <v>282</v>
      </c>
      <c r="C29" s="402"/>
      <c r="D29" s="284"/>
      <c r="E29" s="285">
        <f>F29+I29+L29</f>
        <v>0</v>
      </c>
      <c r="F29" s="286"/>
      <c r="G29" s="286"/>
      <c r="H29" s="286"/>
      <c r="I29" s="285"/>
      <c r="J29" s="285">
        <f>J31</f>
        <v>0</v>
      </c>
      <c r="K29" s="286"/>
      <c r="L29" s="285"/>
      <c r="M29" s="285"/>
      <c r="N29" s="286"/>
      <c r="O29" s="273" t="e">
        <f t="shared" si="1"/>
        <v>#DIV/0!</v>
      </c>
      <c r="P29" s="273" t="e">
        <f t="shared" si="2"/>
        <v>#DIV/0!</v>
      </c>
      <c r="Q29" s="287"/>
      <c r="R29" s="103"/>
      <c r="T29" s="103"/>
    </row>
    <row r="30" spans="1:20" ht="15" hidden="1" customHeight="1">
      <c r="A30" s="281"/>
      <c r="B30" s="283" t="s">
        <v>283</v>
      </c>
      <c r="C30" s="402"/>
      <c r="D30" s="284"/>
      <c r="E30" s="285">
        <f>F30+I30+L30</f>
        <v>0</v>
      </c>
      <c r="F30" s="286"/>
      <c r="G30" s="286"/>
      <c r="H30" s="286"/>
      <c r="I30" s="285"/>
      <c r="J30" s="285"/>
      <c r="K30" s="286"/>
      <c r="L30" s="285"/>
      <c r="M30" s="285"/>
      <c r="N30" s="286"/>
      <c r="O30" s="273" t="e">
        <f t="shared" si="1"/>
        <v>#DIV/0!</v>
      </c>
      <c r="P30" s="273" t="e">
        <f t="shared" si="2"/>
        <v>#DIV/0!</v>
      </c>
      <c r="Q30" s="287"/>
      <c r="R30" s="103"/>
      <c r="T30" s="103"/>
    </row>
    <row r="31" spans="1:20" s="117" customFormat="1" ht="15" hidden="1" customHeight="1">
      <c r="A31" s="288">
        <v>1</v>
      </c>
      <c r="B31" s="281" t="s">
        <v>284</v>
      </c>
      <c r="C31" s="402"/>
      <c r="D31" s="289"/>
      <c r="E31" s="219">
        <f>F31+I31+L31</f>
        <v>0</v>
      </c>
      <c r="F31" s="213"/>
      <c r="G31" s="213"/>
      <c r="H31" s="213"/>
      <c r="I31" s="219"/>
      <c r="J31" s="219"/>
      <c r="K31" s="213"/>
      <c r="L31" s="219"/>
      <c r="M31" s="219"/>
      <c r="N31" s="213"/>
      <c r="O31" s="273" t="e">
        <f t="shared" si="1"/>
        <v>#DIV/0!</v>
      </c>
      <c r="P31" s="273" t="e">
        <f t="shared" si="2"/>
        <v>#DIV/0!</v>
      </c>
      <c r="Q31" s="282" t="e">
        <f>+E31/"#REF!*100"</f>
        <v>#VALUE!</v>
      </c>
      <c r="R31" s="290"/>
    </row>
    <row r="32" spans="1:20" s="293" customFormat="1" ht="15" hidden="1" customHeight="1">
      <c r="A32" s="291"/>
      <c r="B32" s="283" t="s">
        <v>285</v>
      </c>
      <c r="C32" s="402"/>
      <c r="D32" s="284"/>
      <c r="E32" s="285">
        <f>F32+I32+L32</f>
        <v>0</v>
      </c>
      <c r="F32" s="286"/>
      <c r="G32" s="286"/>
      <c r="H32" s="286"/>
      <c r="I32" s="285"/>
      <c r="J32" s="285"/>
      <c r="K32" s="286"/>
      <c r="L32" s="285"/>
      <c r="M32" s="285"/>
      <c r="N32" s="286"/>
      <c r="O32" s="273" t="e">
        <f t="shared" si="1"/>
        <v>#DIV/0!</v>
      </c>
      <c r="P32" s="273" t="e">
        <f t="shared" si="2"/>
        <v>#DIV/0!</v>
      </c>
      <c r="Q32" s="287"/>
      <c r="R32" s="292"/>
      <c r="T32" s="294"/>
    </row>
    <row r="33" spans="1:20" s="293" customFormat="1" ht="15" hidden="1" customHeight="1">
      <c r="A33" s="291">
        <v>2</v>
      </c>
      <c r="B33" s="281" t="s">
        <v>286</v>
      </c>
      <c r="C33" s="402"/>
      <c r="D33" s="284"/>
      <c r="E33" s="285">
        <f>+F33</f>
        <v>0</v>
      </c>
      <c r="F33" s="286"/>
      <c r="G33" s="286"/>
      <c r="H33" s="286"/>
      <c r="I33" s="285"/>
      <c r="J33" s="285"/>
      <c r="K33" s="286"/>
      <c r="L33" s="285"/>
      <c r="M33" s="285"/>
      <c r="N33" s="286"/>
      <c r="O33" s="273" t="e">
        <f t="shared" si="1"/>
        <v>#DIV/0!</v>
      </c>
      <c r="P33" s="273" t="e">
        <f t="shared" si="2"/>
        <v>#DIV/0!</v>
      </c>
      <c r="Q33" s="287"/>
      <c r="R33" s="292"/>
      <c r="T33" s="294"/>
    </row>
    <row r="34" spans="1:20" ht="15" hidden="1" customHeight="1">
      <c r="A34" s="281">
        <v>3</v>
      </c>
      <c r="B34" s="281" t="s">
        <v>287</v>
      </c>
      <c r="C34" s="402"/>
      <c r="D34" s="295"/>
      <c r="E34" s="219">
        <f>+F34+I34+L34</f>
        <v>0</v>
      </c>
      <c r="F34" s="213"/>
      <c r="G34" s="213"/>
      <c r="H34" s="213"/>
      <c r="I34" s="219"/>
      <c r="J34" s="219"/>
      <c r="K34" s="213"/>
      <c r="L34" s="219"/>
      <c r="M34" s="219"/>
      <c r="N34" s="213"/>
      <c r="O34" s="273" t="e">
        <f t="shared" si="1"/>
        <v>#DIV/0!</v>
      </c>
      <c r="P34" s="273" t="e">
        <f t="shared" si="2"/>
        <v>#DIV/0!</v>
      </c>
      <c r="Q34" s="282"/>
      <c r="T34" s="103"/>
    </row>
    <row r="35" spans="1:20" ht="17.25" customHeight="1">
      <c r="A35" s="270" t="s">
        <v>118</v>
      </c>
      <c r="B35" s="275" t="s">
        <v>66</v>
      </c>
      <c r="C35" s="402">
        <f>5409477</f>
        <v>5409477</v>
      </c>
      <c r="D35" s="466">
        <f>+D36+D37+D38+D39+D40+D41+D42+D43+D44+D45+D46+D47+D48-1</f>
        <v>5676262</v>
      </c>
      <c r="E35" s="273">
        <f>+F35+I35+L35</f>
        <v>6374277.4269839991</v>
      </c>
      <c r="F35" s="205">
        <f t="shared" ref="F35:M35" si="3">+F36+F37+F38+F39+F40+F41+F42+F43+F44+F45+F46+F47+F48</f>
        <v>2144082.4393250002</v>
      </c>
      <c r="G35" s="205">
        <f t="shared" si="3"/>
        <v>0</v>
      </c>
      <c r="H35" s="205">
        <f t="shared" si="3"/>
        <v>50721.842969999998</v>
      </c>
      <c r="I35" s="205">
        <f t="shared" si="3"/>
        <v>3361203.6795069994</v>
      </c>
      <c r="J35" s="205">
        <f t="shared" si="3"/>
        <v>0</v>
      </c>
      <c r="K35" s="205">
        <f t="shared" si="3"/>
        <v>61956.748729999992</v>
      </c>
      <c r="L35" s="205">
        <f t="shared" si="3"/>
        <v>868991.30815199995</v>
      </c>
      <c r="M35" s="205">
        <f t="shared" si="3"/>
        <v>0</v>
      </c>
      <c r="N35" s="505">
        <f>+N36+N37+N38+N39+N40+N41+N42+N43+N44+N45+N46+N47+N48</f>
        <v>20865.08339</v>
      </c>
      <c r="O35" s="273">
        <f t="shared" si="1"/>
        <v>117.83537349329703</v>
      </c>
      <c r="P35" s="273">
        <f t="shared" si="2"/>
        <v>112.29709669821442</v>
      </c>
      <c r="Q35" s="282" t="e">
        <f>+E35/"#REF!*100"</f>
        <v>#VALUE!</v>
      </c>
      <c r="R35" s="103"/>
      <c r="T35" s="103"/>
    </row>
    <row r="36" spans="1:20" ht="17.25" customHeight="1">
      <c r="A36" s="280" t="s">
        <v>291</v>
      </c>
      <c r="B36" s="281" t="s">
        <v>255</v>
      </c>
      <c r="C36" s="402">
        <v>0</v>
      </c>
      <c r="D36" s="467">
        <v>118253</v>
      </c>
      <c r="E36" s="219">
        <f>F36+I36+L36</f>
        <v>165017.61423400001</v>
      </c>
      <c r="F36" s="213">
        <f>53784.131</f>
        <v>53784.131000000001</v>
      </c>
      <c r="G36" s="213"/>
      <c r="H36" s="213">
        <v>3850</v>
      </c>
      <c r="I36" s="213">
        <v>52944.2713</v>
      </c>
      <c r="J36" s="219"/>
      <c r="K36" s="213"/>
      <c r="L36" s="213">
        <v>58289.211933999999</v>
      </c>
      <c r="M36" s="219"/>
      <c r="N36" s="503"/>
      <c r="O36" s="279">
        <v>0</v>
      </c>
      <c r="P36" s="219">
        <f t="shared" si="2"/>
        <v>139.54623919393165</v>
      </c>
      <c r="Q36" s="282"/>
      <c r="R36" s="134"/>
      <c r="T36" s="103"/>
    </row>
    <row r="37" spans="1:20" ht="17.25" customHeight="1">
      <c r="A37" s="280" t="s">
        <v>293</v>
      </c>
      <c r="B37" s="281" t="s">
        <v>257</v>
      </c>
      <c r="C37" s="402">
        <v>0</v>
      </c>
      <c r="D37" s="467">
        <v>36701</v>
      </c>
      <c r="E37" s="219">
        <f>F37+I37+L37</f>
        <v>68215.654710000003</v>
      </c>
      <c r="F37" s="213">
        <f>26569</f>
        <v>26569</v>
      </c>
      <c r="G37" s="213"/>
      <c r="H37" s="583">
        <f>3600+9153</f>
        <v>12753</v>
      </c>
      <c r="I37" s="213">
        <f>21476.2549</f>
        <v>21476.2549</v>
      </c>
      <c r="J37" s="219"/>
      <c r="K37" s="583">
        <v>8942</v>
      </c>
      <c r="L37" s="213">
        <v>20170.399809999999</v>
      </c>
      <c r="M37" s="219"/>
      <c r="N37" s="503"/>
      <c r="O37" s="279">
        <v>0</v>
      </c>
      <c r="P37" s="219">
        <f t="shared" si="2"/>
        <v>185.86865401487697</v>
      </c>
      <c r="Q37" s="282"/>
      <c r="R37" s="134"/>
      <c r="T37" s="103"/>
    </row>
    <row r="38" spans="1:20" ht="17.25" customHeight="1">
      <c r="A38" s="280" t="s">
        <v>295</v>
      </c>
      <c r="B38" s="281" t="s">
        <v>259</v>
      </c>
      <c r="C38" s="533">
        <v>1989752</v>
      </c>
      <c r="D38" s="467">
        <v>2211146</v>
      </c>
      <c r="E38" s="219">
        <f t="shared" ref="E38:E48" si="4">F38+I38+L38</f>
        <v>2318915.1501199999</v>
      </c>
      <c r="F38" s="213">
        <f>390261.912639+14950.371</f>
        <v>405212.28363899997</v>
      </c>
      <c r="G38" s="213"/>
      <c r="H38" s="213">
        <v>7363.59</v>
      </c>
      <c r="I38" s="213">
        <f>1906544.311852</f>
        <v>1906544.311852</v>
      </c>
      <c r="J38" s="219"/>
      <c r="K38" s="213">
        <v>3444.8213799999999</v>
      </c>
      <c r="L38" s="213">
        <v>7158.5546290000002</v>
      </c>
      <c r="M38" s="219"/>
      <c r="N38" s="503"/>
      <c r="O38" s="219">
        <f t="shared" si="1"/>
        <v>116.54292344573594</v>
      </c>
      <c r="P38" s="219">
        <f t="shared" si="2"/>
        <v>104.87390475888974</v>
      </c>
      <c r="Q38" s="282"/>
      <c r="T38" s="103"/>
    </row>
    <row r="39" spans="1:20" ht="17.25" customHeight="1">
      <c r="A39" s="280" t="s">
        <v>473</v>
      </c>
      <c r="B39" s="281" t="s">
        <v>261</v>
      </c>
      <c r="C39" s="533">
        <v>24374</v>
      </c>
      <c r="D39" s="467">
        <v>24734</v>
      </c>
      <c r="E39" s="219">
        <f t="shared" si="4"/>
        <v>26009.921506999999</v>
      </c>
      <c r="F39" s="213">
        <v>20562.415843999999</v>
      </c>
      <c r="G39" s="213"/>
      <c r="H39" s="213"/>
      <c r="I39" s="213">
        <v>5447.5056629999999</v>
      </c>
      <c r="J39" s="219"/>
      <c r="K39" s="213"/>
      <c r="L39" s="213">
        <v>0</v>
      </c>
      <c r="M39" s="219"/>
      <c r="N39" s="503"/>
      <c r="O39" s="219">
        <f t="shared" si="1"/>
        <v>106.7117482030032</v>
      </c>
      <c r="P39" s="219">
        <f t="shared" si="2"/>
        <v>105.15857324735182</v>
      </c>
      <c r="Q39" s="282"/>
      <c r="R39" s="134"/>
      <c r="T39" s="103"/>
    </row>
    <row r="40" spans="1:20" ht="17.25" customHeight="1">
      <c r="A40" s="280" t="s">
        <v>1026</v>
      </c>
      <c r="B40" s="281" t="s">
        <v>263</v>
      </c>
      <c r="C40" s="402">
        <v>0</v>
      </c>
      <c r="D40" s="467">
        <v>621908</v>
      </c>
      <c r="E40" s="219">
        <f>F40+I40+L40</f>
        <v>676920.76709199999</v>
      </c>
      <c r="F40" s="213">
        <f>467840.685991</f>
        <v>467840.68599099998</v>
      </c>
      <c r="G40" s="213"/>
      <c r="H40" s="213">
        <v>6840.5094760000002</v>
      </c>
      <c r="I40" s="213">
        <f>208724.727101</f>
        <v>208724.727101</v>
      </c>
      <c r="J40" s="219"/>
      <c r="K40" s="213">
        <v>7295.7678699999997</v>
      </c>
      <c r="L40" s="213">
        <v>355.35399999999998</v>
      </c>
      <c r="M40" s="219"/>
      <c r="N40" s="503"/>
      <c r="O40" s="279">
        <v>0</v>
      </c>
      <c r="P40" s="219">
        <f t="shared" si="2"/>
        <v>108.84580469973051</v>
      </c>
      <c r="Q40" s="282"/>
      <c r="T40" s="103"/>
    </row>
    <row r="41" spans="1:20" ht="17.25" customHeight="1">
      <c r="A41" s="280" t="s">
        <v>1027</v>
      </c>
      <c r="B41" s="281" t="s">
        <v>265</v>
      </c>
      <c r="C41" s="402">
        <v>0</v>
      </c>
      <c r="D41" s="467">
        <v>50008</v>
      </c>
      <c r="E41" s="219">
        <f t="shared" si="4"/>
        <v>60383.107226</v>
      </c>
      <c r="F41" s="213">
        <f>36982.112458</f>
        <v>36982.112458000003</v>
      </c>
      <c r="G41" s="213"/>
      <c r="H41" s="583">
        <f>3230.7281+560+110</f>
        <v>3900.7280999999998</v>
      </c>
      <c r="I41" s="213">
        <v>15276.693449</v>
      </c>
      <c r="J41" s="219"/>
      <c r="K41" s="213"/>
      <c r="L41" s="213">
        <v>8124.3013190000001</v>
      </c>
      <c r="M41" s="219"/>
      <c r="N41" s="503"/>
      <c r="O41" s="279">
        <v>0</v>
      </c>
      <c r="P41" s="219">
        <f t="shared" si="2"/>
        <v>120.74689494880819</v>
      </c>
      <c r="Q41" s="282"/>
      <c r="T41" s="103"/>
    </row>
    <row r="42" spans="1:20" ht="17.25" customHeight="1">
      <c r="A42" s="280" t="s">
        <v>1028</v>
      </c>
      <c r="B42" s="281" t="s">
        <v>267</v>
      </c>
      <c r="C42" s="402">
        <v>0</v>
      </c>
      <c r="D42" s="467">
        <v>21684</v>
      </c>
      <c r="E42" s="219">
        <f t="shared" si="4"/>
        <v>21874.774257999998</v>
      </c>
      <c r="F42" s="213">
        <f>9079.918921</f>
        <v>9079.9189210000004</v>
      </c>
      <c r="G42" s="213"/>
      <c r="H42" s="213">
        <v>297.64547599999997</v>
      </c>
      <c r="I42" s="213">
        <v>10946.435269</v>
      </c>
      <c r="J42" s="219"/>
      <c r="K42" s="213"/>
      <c r="L42" s="213">
        <v>1848.4200679999999</v>
      </c>
      <c r="M42" s="219"/>
      <c r="N42" s="503"/>
      <c r="O42" s="279">
        <v>0</v>
      </c>
      <c r="P42" s="219">
        <f t="shared" si="2"/>
        <v>100.87979274119165</v>
      </c>
      <c r="Q42" s="282"/>
      <c r="T42" s="103"/>
    </row>
    <row r="43" spans="1:20" ht="17.25" customHeight="1">
      <c r="A43" s="280" t="s">
        <v>1029</v>
      </c>
      <c r="B43" s="281" t="s">
        <v>269</v>
      </c>
      <c r="C43" s="402">
        <v>0</v>
      </c>
      <c r="D43" s="467">
        <v>27184</v>
      </c>
      <c r="E43" s="219">
        <f t="shared" si="4"/>
        <v>26468.646970999998</v>
      </c>
      <c r="F43" s="213">
        <f>15925.384912</f>
        <v>15925.384912</v>
      </c>
      <c r="G43" s="213"/>
      <c r="H43" s="213">
        <v>250</v>
      </c>
      <c r="I43" s="213">
        <v>8491.1910590000007</v>
      </c>
      <c r="J43" s="219"/>
      <c r="K43" s="213"/>
      <c r="L43" s="213">
        <v>2052.0709999999999</v>
      </c>
      <c r="M43" s="219"/>
      <c r="N43" s="503"/>
      <c r="O43" s="279">
        <v>0</v>
      </c>
      <c r="P43" s="219">
        <f t="shared" si="2"/>
        <v>97.36847767436727</v>
      </c>
      <c r="Q43" s="282"/>
      <c r="T43" s="103"/>
    </row>
    <row r="44" spans="1:20" ht="17.25" customHeight="1">
      <c r="A44" s="280" t="s">
        <v>1030</v>
      </c>
      <c r="B44" s="281" t="s">
        <v>271</v>
      </c>
      <c r="C44" s="518">
        <v>66148</v>
      </c>
      <c r="D44" s="467">
        <v>89277</v>
      </c>
      <c r="E44" s="219">
        <f t="shared" si="4"/>
        <v>90212.974799000018</v>
      </c>
      <c r="F44" s="213">
        <v>45648.319447000002</v>
      </c>
      <c r="G44" s="213"/>
      <c r="H44" s="213"/>
      <c r="I44" s="213">
        <v>35848.912273000002</v>
      </c>
      <c r="J44" s="219"/>
      <c r="K44" s="213"/>
      <c r="L44" s="213">
        <v>8715.7430789999999</v>
      </c>
      <c r="M44" s="219"/>
      <c r="N44" s="503"/>
      <c r="O44" s="219">
        <f t="shared" si="1"/>
        <v>136.38050250801237</v>
      </c>
      <c r="P44" s="219">
        <f t="shared" si="2"/>
        <v>101.04839409814399</v>
      </c>
      <c r="Q44" s="282"/>
      <c r="T44" s="103"/>
    </row>
    <row r="45" spans="1:20" ht="17.25" customHeight="1">
      <c r="A45" s="280" t="s">
        <v>1031</v>
      </c>
      <c r="B45" s="281" t="s">
        <v>273</v>
      </c>
      <c r="C45" s="402">
        <v>0</v>
      </c>
      <c r="D45" s="467">
        <v>987914</v>
      </c>
      <c r="E45" s="219">
        <f t="shared" si="4"/>
        <v>1091664.961652</v>
      </c>
      <c r="F45" s="213">
        <f>558837.754607</f>
        <v>558837.75460700004</v>
      </c>
      <c r="G45" s="213"/>
      <c r="H45" s="213">
        <v>11537.677468</v>
      </c>
      <c r="I45" s="213">
        <f>404030.089274</f>
        <v>404030.08927400003</v>
      </c>
      <c r="J45" s="219"/>
      <c r="K45" s="213">
        <v>3482.1950000000002</v>
      </c>
      <c r="L45" s="213">
        <f>128797.117771</f>
        <v>128797.117771</v>
      </c>
      <c r="M45" s="219"/>
      <c r="N45" s="503">
        <v>11183.3217</v>
      </c>
      <c r="O45" s="279">
        <v>0</v>
      </c>
      <c r="P45" s="219">
        <f t="shared" si="2"/>
        <v>110.502023622704</v>
      </c>
      <c r="Q45" s="282"/>
      <c r="R45" s="116"/>
      <c r="T45" s="103"/>
    </row>
    <row r="46" spans="1:20" ht="29.25" customHeight="1">
      <c r="A46" s="280" t="s">
        <v>1032</v>
      </c>
      <c r="B46" s="296" t="s">
        <v>495</v>
      </c>
      <c r="C46" s="402">
        <v>0</v>
      </c>
      <c r="D46" s="467">
        <v>1176865</v>
      </c>
      <c r="E46" s="219">
        <f t="shared" si="4"/>
        <v>1291919.8150829999</v>
      </c>
      <c r="F46" s="213">
        <f>341255.44615</f>
        <v>341255.44614999997</v>
      </c>
      <c r="G46" s="213"/>
      <c r="H46" s="213">
        <v>3317.8814499999999</v>
      </c>
      <c r="I46" s="213">
        <f>379436.689603</f>
        <v>379436.68960300001</v>
      </c>
      <c r="J46" s="219"/>
      <c r="K46" s="213">
        <v>1298.9644800000001</v>
      </c>
      <c r="L46" s="213">
        <f>571227.67933</f>
        <v>571227.67932999996</v>
      </c>
      <c r="M46" s="219"/>
      <c r="N46" s="503">
        <v>7229.4616900000001</v>
      </c>
      <c r="O46" s="279">
        <v>0</v>
      </c>
      <c r="P46" s="219">
        <f t="shared" si="2"/>
        <v>109.77638175007327</v>
      </c>
      <c r="Q46" s="282"/>
      <c r="R46" s="116"/>
      <c r="T46" s="103"/>
    </row>
    <row r="47" spans="1:20" ht="17.25" customHeight="1">
      <c r="A47" s="280" t="s">
        <v>1033</v>
      </c>
      <c r="B47" s="281" t="s">
        <v>277</v>
      </c>
      <c r="C47" s="402">
        <v>0</v>
      </c>
      <c r="D47" s="467">
        <v>253368</v>
      </c>
      <c r="E47" s="219">
        <f t="shared" si="4"/>
        <v>448584.35448099999</v>
      </c>
      <c r="F47" s="213">
        <f>111091.244776</f>
        <v>111091.24477600001</v>
      </c>
      <c r="G47" s="213"/>
      <c r="H47" s="213">
        <v>610.81100000000004</v>
      </c>
      <c r="I47" s="213">
        <f>279403.056498</f>
        <v>279403.05649799999</v>
      </c>
      <c r="J47" s="219"/>
      <c r="K47" s="583">
        <v>37493</v>
      </c>
      <c r="L47" s="213">
        <f>58090.053207</f>
        <v>58090.053206999997</v>
      </c>
      <c r="M47" s="219"/>
      <c r="N47" s="538">
        <f>981.3+1471</f>
        <v>2452.3000000000002</v>
      </c>
      <c r="O47" s="279">
        <v>0</v>
      </c>
      <c r="P47" s="219">
        <f t="shared" si="2"/>
        <v>177.04854381018913</v>
      </c>
      <c r="Q47" s="282"/>
      <c r="R47" s="205"/>
      <c r="T47" s="103"/>
    </row>
    <row r="48" spans="1:20" ht="17.25" customHeight="1">
      <c r="A48" s="280" t="s">
        <v>1034</v>
      </c>
      <c r="B48" s="281" t="s">
        <v>288</v>
      </c>
      <c r="C48" s="402">
        <v>0</v>
      </c>
      <c r="D48" s="467">
        <v>57221</v>
      </c>
      <c r="E48" s="219">
        <f t="shared" si="4"/>
        <v>88089.684850999998</v>
      </c>
      <c r="F48" s="213">
        <f>50888.279525+405.462055</f>
        <v>51293.741580000002</v>
      </c>
      <c r="G48" s="213"/>
      <c r="H48" s="213"/>
      <c r="I48" s="213">
        <v>32633.541266</v>
      </c>
      <c r="J48" s="219"/>
      <c r="K48" s="213"/>
      <c r="L48" s="213">
        <v>4162.4020049999999</v>
      </c>
      <c r="M48" s="219"/>
      <c r="N48" s="213"/>
      <c r="O48" s="279">
        <v>0</v>
      </c>
      <c r="P48" s="219">
        <f t="shared" si="2"/>
        <v>153.94642675066845</v>
      </c>
      <c r="Q48" s="282"/>
      <c r="T48" s="103"/>
    </row>
    <row r="49" spans="1:20" ht="17.25" hidden="1" customHeight="1">
      <c r="A49" s="270"/>
      <c r="B49" s="275"/>
      <c r="C49" s="517"/>
      <c r="D49" s="466"/>
      <c r="E49" s="273"/>
      <c r="F49" s="205"/>
      <c r="G49" s="205"/>
      <c r="H49" s="205"/>
      <c r="I49" s="205"/>
      <c r="J49" s="273"/>
      <c r="K49" s="205"/>
      <c r="L49" s="205"/>
      <c r="M49" s="273"/>
      <c r="N49" s="205"/>
      <c r="O49" s="273" t="e">
        <f t="shared" si="1"/>
        <v>#DIV/0!</v>
      </c>
      <c r="P49" s="273" t="e">
        <f t="shared" si="2"/>
        <v>#DIV/0!</v>
      </c>
      <c r="Q49" s="282"/>
      <c r="T49" s="103"/>
    </row>
    <row r="50" spans="1:20" ht="17.25" hidden="1" customHeight="1">
      <c r="A50" s="270"/>
      <c r="B50" s="275"/>
      <c r="C50" s="517"/>
      <c r="D50" s="466"/>
      <c r="E50" s="273"/>
      <c r="F50" s="205"/>
      <c r="G50" s="205"/>
      <c r="H50" s="205"/>
      <c r="I50" s="205"/>
      <c r="J50" s="273"/>
      <c r="K50" s="205"/>
      <c r="L50" s="205"/>
      <c r="M50" s="273"/>
      <c r="N50" s="205"/>
      <c r="O50" s="273" t="e">
        <f t="shared" si="1"/>
        <v>#DIV/0!</v>
      </c>
      <c r="P50" s="273" t="e">
        <f t="shared" si="2"/>
        <v>#DIV/0!</v>
      </c>
      <c r="Q50" s="282"/>
      <c r="T50" s="103"/>
    </row>
    <row r="51" spans="1:20" ht="18.75" hidden="1" customHeight="1">
      <c r="A51" s="281">
        <v>1</v>
      </c>
      <c r="B51" s="281" t="s">
        <v>289</v>
      </c>
      <c r="C51" s="518"/>
      <c r="D51" s="289"/>
      <c r="E51" s="219">
        <f>F51+I51+L51</f>
        <v>0</v>
      </c>
      <c r="F51" s="213"/>
      <c r="G51" s="213"/>
      <c r="H51" s="213"/>
      <c r="I51" s="219"/>
      <c r="J51" s="219"/>
      <c r="K51" s="213"/>
      <c r="L51" s="219"/>
      <c r="M51" s="219"/>
      <c r="N51" s="213"/>
      <c r="O51" s="273" t="e">
        <f t="shared" si="1"/>
        <v>#DIV/0!</v>
      </c>
      <c r="P51" s="273" t="e">
        <f t="shared" si="2"/>
        <v>#DIV/0!</v>
      </c>
      <c r="Q51" s="282"/>
      <c r="T51" s="103"/>
    </row>
    <row r="52" spans="1:20" ht="15.75" hidden="1" customHeight="1">
      <c r="A52" s="281">
        <v>2</v>
      </c>
      <c r="B52" s="281" t="s">
        <v>290</v>
      </c>
      <c r="C52" s="518"/>
      <c r="D52" s="289"/>
      <c r="E52" s="219">
        <f>SUM(E53:E55)</f>
        <v>0</v>
      </c>
      <c r="F52" s="213">
        <f t="shared" ref="F52:N52" si="5">+F53+F54+F55</f>
        <v>0</v>
      </c>
      <c r="G52" s="213">
        <f t="shared" si="5"/>
        <v>0</v>
      </c>
      <c r="H52" s="213">
        <f t="shared" si="5"/>
        <v>0</v>
      </c>
      <c r="I52" s="219">
        <f t="shared" si="5"/>
        <v>0</v>
      </c>
      <c r="J52" s="219">
        <f t="shared" si="5"/>
        <v>0</v>
      </c>
      <c r="K52" s="213">
        <f t="shared" si="5"/>
        <v>0</v>
      </c>
      <c r="L52" s="219">
        <f t="shared" si="5"/>
        <v>0</v>
      </c>
      <c r="M52" s="219">
        <f t="shared" si="5"/>
        <v>0</v>
      </c>
      <c r="N52" s="213">
        <f t="shared" si="5"/>
        <v>0</v>
      </c>
      <c r="O52" s="273" t="e">
        <f t="shared" si="1"/>
        <v>#DIV/0!</v>
      </c>
      <c r="P52" s="273" t="e">
        <f t="shared" si="2"/>
        <v>#DIV/0!</v>
      </c>
      <c r="Q52" s="282"/>
      <c r="T52" s="297"/>
    </row>
    <row r="53" spans="1:20" ht="15.75" hidden="1" customHeight="1">
      <c r="A53" s="291" t="s">
        <v>291</v>
      </c>
      <c r="B53" s="283" t="s">
        <v>292</v>
      </c>
      <c r="C53" s="519"/>
      <c r="D53" s="284"/>
      <c r="E53" s="285">
        <f t="shared" ref="E53:E66" si="6">F53+I53+L53</f>
        <v>0</v>
      </c>
      <c r="F53" s="286"/>
      <c r="G53" s="286"/>
      <c r="H53" s="286"/>
      <c r="I53" s="285"/>
      <c r="J53" s="285"/>
      <c r="K53" s="286"/>
      <c r="L53" s="285"/>
      <c r="M53" s="285"/>
      <c r="N53" s="286"/>
      <c r="O53" s="273" t="e">
        <f t="shared" si="1"/>
        <v>#DIV/0!</v>
      </c>
      <c r="P53" s="273" t="e">
        <f t="shared" si="2"/>
        <v>#DIV/0!</v>
      </c>
      <c r="Q53" s="282"/>
      <c r="R53" s="103"/>
    </row>
    <row r="54" spans="1:20" ht="15.75" hidden="1" customHeight="1">
      <c r="A54" s="291" t="s">
        <v>293</v>
      </c>
      <c r="B54" s="283" t="s">
        <v>294</v>
      </c>
      <c r="C54" s="519"/>
      <c r="D54" s="284"/>
      <c r="E54" s="285">
        <f t="shared" si="6"/>
        <v>0</v>
      </c>
      <c r="F54" s="286"/>
      <c r="G54" s="286"/>
      <c r="H54" s="286"/>
      <c r="I54" s="285"/>
      <c r="J54" s="285"/>
      <c r="K54" s="286"/>
      <c r="L54" s="285"/>
      <c r="M54" s="285"/>
      <c r="N54" s="286"/>
      <c r="O54" s="273" t="e">
        <f t="shared" si="1"/>
        <v>#DIV/0!</v>
      </c>
      <c r="P54" s="273" t="e">
        <f t="shared" si="2"/>
        <v>#DIV/0!</v>
      </c>
      <c r="Q54" s="282"/>
    </row>
    <row r="55" spans="1:20" ht="15.75" hidden="1" customHeight="1">
      <c r="A55" s="291" t="s">
        <v>295</v>
      </c>
      <c r="B55" s="283" t="s">
        <v>296</v>
      </c>
      <c r="C55" s="519"/>
      <c r="D55" s="284"/>
      <c r="E55" s="285">
        <f t="shared" si="6"/>
        <v>0</v>
      </c>
      <c r="F55" s="286"/>
      <c r="G55" s="286"/>
      <c r="H55" s="286"/>
      <c r="I55" s="285"/>
      <c r="J55" s="468"/>
      <c r="K55" s="286"/>
      <c r="L55" s="285"/>
      <c r="M55" s="285"/>
      <c r="N55" s="286"/>
      <c r="O55" s="273" t="e">
        <f t="shared" si="1"/>
        <v>#DIV/0!</v>
      </c>
      <c r="P55" s="273" t="e">
        <f t="shared" si="2"/>
        <v>#DIV/0!</v>
      </c>
      <c r="Q55" s="282"/>
    </row>
    <row r="56" spans="1:20" ht="15.75" hidden="1" customHeight="1">
      <c r="A56" s="281">
        <v>3</v>
      </c>
      <c r="B56" s="281" t="s">
        <v>297</v>
      </c>
      <c r="C56" s="518"/>
      <c r="D56" s="289"/>
      <c r="E56" s="213">
        <f t="shared" si="6"/>
        <v>0</v>
      </c>
      <c r="F56" s="213">
        <f>+F57+F58+F59</f>
        <v>0</v>
      </c>
      <c r="G56" s="213">
        <f>+G57+G58+G59</f>
        <v>0</v>
      </c>
      <c r="H56" s="213">
        <f>+H57</f>
        <v>0</v>
      </c>
      <c r="I56" s="219">
        <f>+I57+I58+I59</f>
        <v>0</v>
      </c>
      <c r="J56" s="219">
        <f>+J57</f>
        <v>0</v>
      </c>
      <c r="K56" s="213">
        <f>+K57</f>
        <v>0</v>
      </c>
      <c r="L56" s="219">
        <f>+L57+L58+L59</f>
        <v>0</v>
      </c>
      <c r="M56" s="219">
        <f>+M57+M58+M59</f>
        <v>0</v>
      </c>
      <c r="N56" s="213"/>
      <c r="O56" s="273" t="e">
        <f t="shared" si="1"/>
        <v>#DIV/0!</v>
      </c>
      <c r="P56" s="273" t="e">
        <f t="shared" si="2"/>
        <v>#DIV/0!</v>
      </c>
      <c r="Q56" s="282"/>
    </row>
    <row r="57" spans="1:20" ht="15.75" hidden="1" customHeight="1">
      <c r="A57" s="291" t="s">
        <v>298</v>
      </c>
      <c r="B57" s="283" t="s">
        <v>299</v>
      </c>
      <c r="C57" s="519"/>
      <c r="D57" s="284"/>
      <c r="E57" s="285">
        <f t="shared" si="6"/>
        <v>0</v>
      </c>
      <c r="F57" s="286"/>
      <c r="G57" s="286"/>
      <c r="H57" s="286"/>
      <c r="I57" s="285"/>
      <c r="J57" s="285"/>
      <c r="K57" s="286"/>
      <c r="L57" s="285"/>
      <c r="M57" s="285"/>
      <c r="N57" s="286"/>
      <c r="O57" s="273" t="e">
        <f t="shared" si="1"/>
        <v>#DIV/0!</v>
      </c>
      <c r="P57" s="273" t="e">
        <f t="shared" si="2"/>
        <v>#DIV/0!</v>
      </c>
      <c r="Q57" s="282"/>
    </row>
    <row r="58" spans="1:20" ht="15.75" hidden="1" customHeight="1">
      <c r="A58" s="291" t="s">
        <v>300</v>
      </c>
      <c r="B58" s="283" t="s">
        <v>301</v>
      </c>
      <c r="C58" s="519"/>
      <c r="D58" s="284"/>
      <c r="E58" s="285">
        <f t="shared" si="6"/>
        <v>0</v>
      </c>
      <c r="F58" s="286"/>
      <c r="G58" s="286"/>
      <c r="H58" s="286"/>
      <c r="I58" s="285"/>
      <c r="J58" s="285"/>
      <c r="K58" s="286"/>
      <c r="L58" s="285"/>
      <c r="M58" s="285"/>
      <c r="N58" s="286"/>
      <c r="O58" s="273" t="e">
        <f t="shared" si="1"/>
        <v>#DIV/0!</v>
      </c>
      <c r="P58" s="273" t="e">
        <f t="shared" si="2"/>
        <v>#DIV/0!</v>
      </c>
      <c r="Q58" s="282"/>
    </row>
    <row r="59" spans="1:20" ht="15.75" hidden="1" customHeight="1">
      <c r="A59" s="291" t="s">
        <v>302</v>
      </c>
      <c r="B59" s="283" t="s">
        <v>303</v>
      </c>
      <c r="C59" s="519"/>
      <c r="D59" s="284"/>
      <c r="E59" s="285">
        <f t="shared" si="6"/>
        <v>0</v>
      </c>
      <c r="F59" s="286"/>
      <c r="G59" s="286"/>
      <c r="H59" s="286"/>
      <c r="I59" s="285"/>
      <c r="J59" s="469"/>
      <c r="K59" s="286"/>
      <c r="L59" s="285"/>
      <c r="M59" s="285"/>
      <c r="N59" s="286"/>
      <c r="O59" s="273" t="e">
        <f t="shared" si="1"/>
        <v>#DIV/0!</v>
      </c>
      <c r="P59" s="273" t="e">
        <f t="shared" si="2"/>
        <v>#DIV/0!</v>
      </c>
      <c r="Q59" s="282"/>
    </row>
    <row r="60" spans="1:20" ht="15.75" hidden="1" customHeight="1">
      <c r="A60" s="281">
        <v>4</v>
      </c>
      <c r="B60" s="281" t="s">
        <v>304</v>
      </c>
      <c r="C60" s="518"/>
      <c r="D60" s="289"/>
      <c r="E60" s="219">
        <f t="shared" si="6"/>
        <v>0</v>
      </c>
      <c r="F60" s="213"/>
      <c r="G60" s="213"/>
      <c r="H60" s="213"/>
      <c r="I60" s="219"/>
      <c r="J60" s="219"/>
      <c r="K60" s="213"/>
      <c r="L60" s="219"/>
      <c r="M60" s="219"/>
      <c r="N60" s="213"/>
      <c r="O60" s="273" t="e">
        <f t="shared" si="1"/>
        <v>#DIV/0!</v>
      </c>
      <c r="P60" s="273" t="e">
        <f t="shared" si="2"/>
        <v>#DIV/0!</v>
      </c>
      <c r="Q60" s="282"/>
    </row>
    <row r="61" spans="1:20" ht="15.75" hidden="1" customHeight="1">
      <c r="A61" s="281">
        <v>5</v>
      </c>
      <c r="B61" s="281" t="s">
        <v>305</v>
      </c>
      <c r="C61" s="518"/>
      <c r="D61" s="289"/>
      <c r="E61" s="219">
        <f t="shared" si="6"/>
        <v>0</v>
      </c>
      <c r="F61" s="213"/>
      <c r="G61" s="213"/>
      <c r="H61" s="213"/>
      <c r="I61" s="219"/>
      <c r="J61" s="219"/>
      <c r="K61" s="213"/>
      <c r="L61" s="219"/>
      <c r="M61" s="219"/>
      <c r="N61" s="213"/>
      <c r="O61" s="273" t="e">
        <f t="shared" si="1"/>
        <v>#DIV/0!</v>
      </c>
      <c r="P61" s="273" t="e">
        <f t="shared" si="2"/>
        <v>#DIV/0!</v>
      </c>
      <c r="Q61" s="282"/>
    </row>
    <row r="62" spans="1:20" ht="15.75" hidden="1" customHeight="1">
      <c r="A62" s="281">
        <v>6</v>
      </c>
      <c r="B62" s="281" t="s">
        <v>306</v>
      </c>
      <c r="C62" s="518"/>
      <c r="D62" s="289"/>
      <c r="E62" s="219">
        <f t="shared" si="6"/>
        <v>0</v>
      </c>
      <c r="F62" s="213"/>
      <c r="G62" s="213"/>
      <c r="H62" s="213"/>
      <c r="I62" s="219"/>
      <c r="J62" s="219"/>
      <c r="K62" s="213"/>
      <c r="L62" s="219"/>
      <c r="M62" s="219"/>
      <c r="N62" s="213"/>
      <c r="O62" s="273" t="e">
        <f t="shared" si="1"/>
        <v>#DIV/0!</v>
      </c>
      <c r="P62" s="273" t="e">
        <f t="shared" si="2"/>
        <v>#DIV/0!</v>
      </c>
      <c r="Q62" s="282"/>
    </row>
    <row r="63" spans="1:20" ht="15.75" hidden="1" customHeight="1">
      <c r="A63" s="288">
        <v>7</v>
      </c>
      <c r="B63" s="281" t="s">
        <v>307</v>
      </c>
      <c r="C63" s="518"/>
      <c r="D63" s="289"/>
      <c r="E63" s="219">
        <f t="shared" si="6"/>
        <v>0</v>
      </c>
      <c r="F63" s="213"/>
      <c r="G63" s="213"/>
      <c r="H63" s="213"/>
      <c r="I63" s="219"/>
      <c r="J63" s="219"/>
      <c r="K63" s="213"/>
      <c r="L63" s="219"/>
      <c r="M63" s="219"/>
      <c r="N63" s="213"/>
      <c r="O63" s="273" t="e">
        <f t="shared" si="1"/>
        <v>#DIV/0!</v>
      </c>
      <c r="P63" s="273" t="e">
        <f t="shared" si="2"/>
        <v>#DIV/0!</v>
      </c>
      <c r="Q63" s="282"/>
    </row>
    <row r="64" spans="1:20" ht="15.75" hidden="1" customHeight="1">
      <c r="A64" s="288">
        <v>8</v>
      </c>
      <c r="B64" s="281" t="s">
        <v>308</v>
      </c>
      <c r="C64" s="518"/>
      <c r="D64" s="289"/>
      <c r="E64" s="219">
        <f t="shared" si="6"/>
        <v>0</v>
      </c>
      <c r="F64" s="213"/>
      <c r="G64" s="213"/>
      <c r="H64" s="213"/>
      <c r="I64" s="219"/>
      <c r="J64" s="219"/>
      <c r="K64" s="213"/>
      <c r="L64" s="219"/>
      <c r="M64" s="219"/>
      <c r="N64" s="213"/>
      <c r="O64" s="273" t="e">
        <f t="shared" si="1"/>
        <v>#DIV/0!</v>
      </c>
      <c r="P64" s="273" t="e">
        <f t="shared" si="2"/>
        <v>#DIV/0!</v>
      </c>
      <c r="Q64" s="282"/>
    </row>
    <row r="65" spans="1:18" ht="15.75" hidden="1" customHeight="1">
      <c r="A65" s="281">
        <v>9</v>
      </c>
      <c r="B65" s="281" t="s">
        <v>309</v>
      </c>
      <c r="C65" s="518"/>
      <c r="D65" s="289"/>
      <c r="E65" s="219">
        <f t="shared" si="6"/>
        <v>0</v>
      </c>
      <c r="F65" s="213"/>
      <c r="G65" s="213"/>
      <c r="H65" s="213"/>
      <c r="I65" s="219"/>
      <c r="J65" s="219"/>
      <c r="K65" s="213"/>
      <c r="L65" s="219"/>
      <c r="M65" s="219"/>
      <c r="N65" s="213"/>
      <c r="O65" s="273" t="e">
        <f t="shared" si="1"/>
        <v>#DIV/0!</v>
      </c>
      <c r="P65" s="273" t="e">
        <f t="shared" si="2"/>
        <v>#DIV/0!</v>
      </c>
      <c r="Q65" s="282"/>
    </row>
    <row r="66" spans="1:18" ht="16.5" hidden="1" customHeight="1">
      <c r="A66" s="281">
        <v>10</v>
      </c>
      <c r="B66" s="281" t="s">
        <v>310</v>
      </c>
      <c r="C66" s="518"/>
      <c r="D66" s="295"/>
      <c r="E66" s="219">
        <f t="shared" si="6"/>
        <v>0</v>
      </c>
      <c r="F66" s="213"/>
      <c r="G66" s="213"/>
      <c r="H66" s="213"/>
      <c r="I66" s="219"/>
      <c r="J66" s="219"/>
      <c r="K66" s="213"/>
      <c r="L66" s="219"/>
      <c r="M66" s="219"/>
      <c r="N66" s="213"/>
      <c r="O66" s="273" t="e">
        <f t="shared" si="1"/>
        <v>#DIV/0!</v>
      </c>
      <c r="P66" s="273" t="e">
        <f t="shared" si="2"/>
        <v>#DIV/0!</v>
      </c>
      <c r="Q66" s="282"/>
    </row>
    <row r="67" spans="1:18" ht="16.5" hidden="1" customHeight="1">
      <c r="A67" s="281">
        <v>11</v>
      </c>
      <c r="B67" s="281" t="s">
        <v>311</v>
      </c>
      <c r="C67" s="518"/>
      <c r="D67" s="289"/>
      <c r="E67" s="219">
        <f>+E68+E69+E70</f>
        <v>0</v>
      </c>
      <c r="F67" s="213">
        <f>+F68+F69+F70</f>
        <v>0</v>
      </c>
      <c r="G67" s="213">
        <f>+G68+G69+G70</f>
        <v>0</v>
      </c>
      <c r="H67" s="213">
        <f>+H68+H69+H70</f>
        <v>0</v>
      </c>
      <c r="I67" s="219">
        <f>+I68+I69+I70</f>
        <v>0</v>
      </c>
      <c r="J67" s="219">
        <f>+J68</f>
        <v>0</v>
      </c>
      <c r="K67" s="213"/>
      <c r="L67" s="219">
        <f>+L68+L69+L70</f>
        <v>0</v>
      </c>
      <c r="M67" s="219">
        <f>+M68</f>
        <v>0</v>
      </c>
      <c r="N67" s="213"/>
      <c r="O67" s="273" t="e">
        <f t="shared" si="1"/>
        <v>#DIV/0!</v>
      </c>
      <c r="P67" s="273" t="e">
        <f t="shared" si="2"/>
        <v>#DIV/0!</v>
      </c>
      <c r="Q67" s="282"/>
    </row>
    <row r="68" spans="1:18" ht="16.5" hidden="1" customHeight="1">
      <c r="A68" s="291" t="s">
        <v>312</v>
      </c>
      <c r="B68" s="283" t="s">
        <v>313</v>
      </c>
      <c r="C68" s="519"/>
      <c r="D68" s="289"/>
      <c r="E68" s="285">
        <f t="shared" ref="E68:E75" si="7">F68+I68+L68</f>
        <v>0</v>
      </c>
      <c r="F68" s="286"/>
      <c r="G68" s="286"/>
      <c r="H68" s="286"/>
      <c r="I68" s="285"/>
      <c r="J68" s="285"/>
      <c r="K68" s="286"/>
      <c r="L68" s="285"/>
      <c r="M68" s="285"/>
      <c r="N68" s="286"/>
      <c r="O68" s="273" t="e">
        <f t="shared" si="1"/>
        <v>#DIV/0!</v>
      </c>
      <c r="P68" s="273" t="e">
        <f t="shared" si="2"/>
        <v>#DIV/0!</v>
      </c>
      <c r="Q68" s="282"/>
    </row>
    <row r="69" spans="1:18" ht="16.5" hidden="1" customHeight="1">
      <c r="A69" s="291" t="s">
        <v>314</v>
      </c>
      <c r="B69" s="283" t="s">
        <v>315</v>
      </c>
      <c r="C69" s="519"/>
      <c r="D69" s="284"/>
      <c r="E69" s="285">
        <f t="shared" si="7"/>
        <v>0</v>
      </c>
      <c r="F69" s="286"/>
      <c r="G69" s="286"/>
      <c r="H69" s="286"/>
      <c r="I69" s="285"/>
      <c r="J69" s="285"/>
      <c r="K69" s="286"/>
      <c r="L69" s="285"/>
      <c r="M69" s="285"/>
      <c r="N69" s="286"/>
      <c r="O69" s="273" t="e">
        <f t="shared" si="1"/>
        <v>#DIV/0!</v>
      </c>
      <c r="P69" s="273" t="e">
        <f t="shared" si="2"/>
        <v>#DIV/0!</v>
      </c>
      <c r="Q69" s="282"/>
    </row>
    <row r="70" spans="1:18" ht="16.5" hidden="1" customHeight="1">
      <c r="A70" s="291" t="s">
        <v>316</v>
      </c>
      <c r="B70" s="283" t="s">
        <v>317</v>
      </c>
      <c r="C70" s="519"/>
      <c r="D70" s="284"/>
      <c r="E70" s="285">
        <f t="shared" si="7"/>
        <v>0</v>
      </c>
      <c r="F70" s="286"/>
      <c r="G70" s="286"/>
      <c r="H70" s="286"/>
      <c r="I70" s="285"/>
      <c r="J70" s="285"/>
      <c r="K70" s="286"/>
      <c r="L70" s="285"/>
      <c r="M70" s="285"/>
      <c r="N70" s="286"/>
      <c r="O70" s="273" t="e">
        <f t="shared" si="1"/>
        <v>#DIV/0!</v>
      </c>
      <c r="P70" s="273" t="e">
        <f t="shared" si="2"/>
        <v>#DIV/0!</v>
      </c>
      <c r="Q70" s="282"/>
    </row>
    <row r="71" spans="1:18" ht="16.5" hidden="1" customHeight="1">
      <c r="A71" s="288">
        <v>12</v>
      </c>
      <c r="B71" s="281" t="s">
        <v>255</v>
      </c>
      <c r="C71" s="518"/>
      <c r="D71" s="289"/>
      <c r="E71" s="219">
        <f t="shared" si="7"/>
        <v>0</v>
      </c>
      <c r="F71" s="213"/>
      <c r="G71" s="213"/>
      <c r="H71" s="213"/>
      <c r="I71" s="219"/>
      <c r="J71" s="219"/>
      <c r="K71" s="213"/>
      <c r="L71" s="219"/>
      <c r="M71" s="219"/>
      <c r="N71" s="213"/>
      <c r="O71" s="273" t="e">
        <f t="shared" si="1"/>
        <v>#DIV/0!</v>
      </c>
      <c r="P71" s="273" t="e">
        <f t="shared" si="2"/>
        <v>#DIV/0!</v>
      </c>
      <c r="Q71" s="282" t="e">
        <f>+E71/"#REF!*100"</f>
        <v>#VALUE!</v>
      </c>
    </row>
    <row r="72" spans="1:18" ht="16.5" hidden="1" customHeight="1">
      <c r="A72" s="288">
        <v>13</v>
      </c>
      <c r="B72" s="281" t="s">
        <v>318</v>
      </c>
      <c r="C72" s="518"/>
      <c r="D72" s="295"/>
      <c r="E72" s="219">
        <f t="shared" si="7"/>
        <v>0</v>
      </c>
      <c r="F72" s="213"/>
      <c r="G72" s="213"/>
      <c r="H72" s="213"/>
      <c r="I72" s="219"/>
      <c r="J72" s="219"/>
      <c r="K72" s="213"/>
      <c r="L72" s="219"/>
      <c r="M72" s="219"/>
      <c r="N72" s="213"/>
      <c r="O72" s="273" t="e">
        <f t="shared" si="1"/>
        <v>#DIV/0!</v>
      </c>
      <c r="P72" s="273" t="e">
        <f t="shared" si="2"/>
        <v>#DIV/0!</v>
      </c>
      <c r="Q72" s="282" t="e">
        <f>+E72/"#REF!*100"</f>
        <v>#VALUE!</v>
      </c>
    </row>
    <row r="73" spans="1:18" s="299" customFormat="1" ht="15" hidden="1" customHeight="1">
      <c r="A73" s="281">
        <v>12</v>
      </c>
      <c r="B73" s="281" t="s">
        <v>288</v>
      </c>
      <c r="C73" s="518"/>
      <c r="D73" s="289"/>
      <c r="E73" s="219">
        <f t="shared" si="7"/>
        <v>0</v>
      </c>
      <c r="F73" s="213"/>
      <c r="G73" s="213"/>
      <c r="H73" s="213"/>
      <c r="I73" s="219"/>
      <c r="J73" s="219"/>
      <c r="K73" s="213"/>
      <c r="L73" s="219"/>
      <c r="M73" s="285"/>
      <c r="N73" s="213"/>
      <c r="O73" s="273" t="e">
        <f t="shared" si="1"/>
        <v>#DIV/0!</v>
      </c>
      <c r="P73" s="273" t="e">
        <f t="shared" si="2"/>
        <v>#DIV/0!</v>
      </c>
      <c r="Q73" s="298" t="e">
        <f>+E73/"#REF!*100"</f>
        <v>#VALUE!</v>
      </c>
    </row>
    <row r="74" spans="1:18" s="299" customFormat="1" ht="17.25" hidden="1" customHeight="1">
      <c r="A74" s="270" t="s">
        <v>118</v>
      </c>
      <c r="B74" s="275" t="s">
        <v>319</v>
      </c>
      <c r="C74" s="517"/>
      <c r="D74" s="276"/>
      <c r="E74" s="273">
        <f t="shared" si="7"/>
        <v>0</v>
      </c>
      <c r="F74" s="205"/>
      <c r="G74" s="205"/>
      <c r="H74" s="205"/>
      <c r="I74" s="273"/>
      <c r="J74" s="273"/>
      <c r="K74" s="205"/>
      <c r="L74" s="273"/>
      <c r="M74" s="273"/>
      <c r="N74" s="205"/>
      <c r="O74" s="273" t="e">
        <f>E74/C74*100</f>
        <v>#DIV/0!</v>
      </c>
      <c r="P74" s="273" t="e">
        <f>E74/D74*100</f>
        <v>#DIV/0!</v>
      </c>
      <c r="Q74" s="298"/>
    </row>
    <row r="75" spans="1:18" s="299" customFormat="1" ht="17.25" customHeight="1">
      <c r="A75" s="270" t="s">
        <v>320</v>
      </c>
      <c r="B75" s="275" t="s">
        <v>68</v>
      </c>
      <c r="C75" s="517">
        <v>1000</v>
      </c>
      <c r="D75" s="276">
        <v>1000</v>
      </c>
      <c r="E75" s="273">
        <f t="shared" si="7"/>
        <v>1000</v>
      </c>
      <c r="F75" s="205">
        <v>1000</v>
      </c>
      <c r="G75" s="205"/>
      <c r="H75" s="205"/>
      <c r="I75" s="402">
        <v>0</v>
      </c>
      <c r="J75" s="402"/>
      <c r="K75" s="402"/>
      <c r="L75" s="402">
        <v>0</v>
      </c>
      <c r="M75" s="273"/>
      <c r="N75" s="205"/>
      <c r="O75" s="273">
        <f>E75/C75*100</f>
        <v>100</v>
      </c>
      <c r="P75" s="273">
        <f>E75/D75*100</f>
        <v>100</v>
      </c>
      <c r="Q75" s="298"/>
      <c r="R75" s="300"/>
    </row>
    <row r="76" spans="1:18" s="302" customFormat="1" ht="17.25" customHeight="1">
      <c r="A76" s="548" t="s">
        <v>321</v>
      </c>
      <c r="B76" s="543" t="s">
        <v>322</v>
      </c>
      <c r="C76" s="517">
        <v>143210</v>
      </c>
      <c r="D76" s="465">
        <v>149400</v>
      </c>
      <c r="E76" s="402">
        <v>0</v>
      </c>
      <c r="F76" s="402">
        <v>0</v>
      </c>
      <c r="G76" s="402"/>
      <c r="H76" s="402"/>
      <c r="I76" s="402">
        <v>0</v>
      </c>
      <c r="J76" s="402"/>
      <c r="K76" s="402"/>
      <c r="L76" s="402">
        <v>0</v>
      </c>
      <c r="M76" s="205"/>
      <c r="N76" s="205"/>
      <c r="O76" s="205">
        <f>E76/C76*100</f>
        <v>0</v>
      </c>
      <c r="P76" s="205">
        <f>E76/D76*100</f>
        <v>0</v>
      </c>
      <c r="Q76" s="298"/>
    </row>
    <row r="77" spans="1:18" s="299" customFormat="1" ht="17.25" customHeight="1">
      <c r="A77" s="270" t="s">
        <v>323</v>
      </c>
      <c r="B77" s="275" t="s">
        <v>324</v>
      </c>
      <c r="C77" s="402">
        <v>0</v>
      </c>
      <c r="D77" s="402">
        <v>0</v>
      </c>
      <c r="E77" s="273">
        <f>F77+I77+L77</f>
        <v>1937171.8458830002</v>
      </c>
      <c r="F77" s="205">
        <f>1356884.374032+15074+352681-6143.397308+19245.629-1336.875703</f>
        <v>1736404.7300210001</v>
      </c>
      <c r="G77" s="205"/>
      <c r="H77" s="205"/>
      <c r="I77" s="205">
        <v>179265.12734599999</v>
      </c>
      <c r="J77" s="205"/>
      <c r="K77" s="205"/>
      <c r="L77" s="205">
        <v>21501.988516000001</v>
      </c>
      <c r="M77" s="273"/>
      <c r="N77" s="205"/>
      <c r="O77" s="273"/>
      <c r="P77" s="273"/>
      <c r="Q77" s="298"/>
      <c r="R77" s="299">
        <v>6143397308</v>
      </c>
    </row>
    <row r="78" spans="1:18" s="299" customFormat="1" ht="16.5" hidden="1" customHeight="1">
      <c r="A78" s="270" t="s">
        <v>325</v>
      </c>
      <c r="B78" s="275" t="s">
        <v>326</v>
      </c>
      <c r="C78" s="402">
        <v>0</v>
      </c>
      <c r="D78" s="279">
        <v>0</v>
      </c>
      <c r="E78" s="279">
        <v>0</v>
      </c>
      <c r="F78" s="402">
        <v>0</v>
      </c>
      <c r="G78" s="279"/>
      <c r="H78" s="279"/>
      <c r="I78" s="279">
        <v>0</v>
      </c>
      <c r="J78" s="279"/>
      <c r="K78" s="279"/>
      <c r="L78" s="279">
        <v>0</v>
      </c>
      <c r="M78" s="279"/>
      <c r="N78" s="279"/>
      <c r="O78" s="279">
        <v>0</v>
      </c>
      <c r="P78" s="279">
        <v>0</v>
      </c>
      <c r="Q78" s="298" t="e">
        <f>+E78/"#REF!*100"</f>
        <v>#VALUE!</v>
      </c>
    </row>
    <row r="79" spans="1:18" s="299" customFormat="1" ht="17.25" hidden="1" customHeight="1">
      <c r="A79" s="270" t="s">
        <v>325</v>
      </c>
      <c r="B79" s="275" t="s">
        <v>120</v>
      </c>
      <c r="C79" s="520"/>
      <c r="D79" s="276"/>
      <c r="E79" s="273"/>
      <c r="F79" s="205"/>
      <c r="G79" s="205"/>
      <c r="H79" s="205"/>
      <c r="I79" s="273"/>
      <c r="J79" s="273"/>
      <c r="K79" s="205"/>
      <c r="L79" s="273"/>
      <c r="M79" s="273"/>
      <c r="N79" s="205"/>
      <c r="O79" s="273"/>
      <c r="P79" s="273"/>
      <c r="Q79" s="282" t="e">
        <f>+E79/"#REF!*100"</f>
        <v>#VALUE!</v>
      </c>
    </row>
    <row r="80" spans="1:18" s="299" customFormat="1" ht="18" hidden="1" customHeight="1">
      <c r="A80" s="270" t="s">
        <v>986</v>
      </c>
      <c r="B80" s="275" t="s">
        <v>328</v>
      </c>
      <c r="C80" s="521"/>
      <c r="D80" s="470"/>
      <c r="E80" s="205">
        <f>F80+I80+L80</f>
        <v>0</v>
      </c>
      <c r="F80" s="205">
        <f t="shared" ref="F80:N80" si="8">F81+F100</f>
        <v>0</v>
      </c>
      <c r="G80" s="205">
        <f t="shared" si="8"/>
        <v>633340.47815500002</v>
      </c>
      <c r="H80" s="205">
        <f>H81+H100</f>
        <v>50721.842970000005</v>
      </c>
      <c r="I80" s="205">
        <f>I81+I100</f>
        <v>0</v>
      </c>
      <c r="J80" s="205">
        <f t="shared" si="8"/>
        <v>12853.423792</v>
      </c>
      <c r="K80" s="205">
        <f>K81+K100</f>
        <v>61956.748729999999</v>
      </c>
      <c r="L80" s="205">
        <f t="shared" si="8"/>
        <v>0</v>
      </c>
      <c r="M80" s="273">
        <f t="shared" si="8"/>
        <v>96203.247969000004</v>
      </c>
      <c r="N80" s="205">
        <f t="shared" si="8"/>
        <v>22336.08339</v>
      </c>
      <c r="O80" s="273" t="e">
        <f>E80/C80*100</f>
        <v>#DIV/0!</v>
      </c>
      <c r="P80" s="273" t="e">
        <f>E80/D80*100</f>
        <v>#DIV/0!</v>
      </c>
      <c r="Q80" s="282" t="e">
        <f>+E80/"#REF!*100"</f>
        <v>#VALUE!</v>
      </c>
      <c r="R80" s="301"/>
    </row>
    <row r="81" spans="1:17" s="299" customFormat="1" ht="16.5" hidden="1" customHeight="1">
      <c r="A81" s="280">
        <v>1</v>
      </c>
      <c r="B81" s="281" t="s">
        <v>983</v>
      </c>
      <c r="C81" s="522">
        <f>SUM(C82:C99)</f>
        <v>935083</v>
      </c>
      <c r="D81" s="467">
        <f>SUM(D82:D99)</f>
        <v>935083</v>
      </c>
      <c r="E81" s="219">
        <f>SUM(E82:E99)</f>
        <v>0</v>
      </c>
      <c r="F81" s="213">
        <f>SUM(F82:F99)</f>
        <v>0</v>
      </c>
      <c r="G81" s="213">
        <f t="shared" ref="G81:H81" si="9">SUM(G82:G99)</f>
        <v>467992.91798199998</v>
      </c>
      <c r="H81" s="213">
        <f t="shared" si="9"/>
        <v>37048.842970000005</v>
      </c>
      <c r="I81" s="219">
        <f>SUM(I82:I99)</f>
        <v>0</v>
      </c>
      <c r="J81" s="219">
        <f>SUM(J82:J99)</f>
        <v>12853.423792</v>
      </c>
      <c r="K81" s="213">
        <f>SUM(K82:K99)</f>
        <v>15521.748729999999</v>
      </c>
      <c r="L81" s="219">
        <f>SUM(L82:L99)</f>
        <v>0</v>
      </c>
      <c r="M81" s="504">
        <f>SUM(M82:M100)</f>
        <v>96203.247969000004</v>
      </c>
      <c r="N81" s="503">
        <f>SUM(N82:N100)</f>
        <v>20865.08339</v>
      </c>
      <c r="O81" s="539">
        <f>E81/C81*100</f>
        <v>0</v>
      </c>
      <c r="P81" s="539">
        <f>E81/D81*100</f>
        <v>0</v>
      </c>
      <c r="Q81" s="282"/>
    </row>
    <row r="82" spans="1:17" s="302" customFormat="1" ht="16.5" hidden="1" customHeight="1">
      <c r="A82" s="463" t="s">
        <v>254</v>
      </c>
      <c r="B82" s="217" t="s">
        <v>773</v>
      </c>
      <c r="C82" s="523">
        <v>47092</v>
      </c>
      <c r="D82" s="532">
        <v>47092</v>
      </c>
      <c r="E82" s="213">
        <f>+F82+I82+L82</f>
        <v>0</v>
      </c>
      <c r="F82" s="213"/>
      <c r="G82" s="213"/>
      <c r="H82" s="213">
        <v>2658.2200400000002</v>
      </c>
      <c r="I82" s="213"/>
      <c r="J82" s="213">
        <v>7649.3977919999998</v>
      </c>
      <c r="K82" s="213"/>
      <c r="L82" s="213"/>
      <c r="M82" s="503">
        <v>30685.071692000001</v>
      </c>
      <c r="N82" s="503">
        <v>15065.73749</v>
      </c>
      <c r="O82" s="539">
        <f>E82/C82*100</f>
        <v>0</v>
      </c>
      <c r="P82" s="539">
        <f t="shared" ref="P82:P83" si="10">E82/D82*100</f>
        <v>0</v>
      </c>
      <c r="Q82" s="282" t="e">
        <f>+E82/"#REF!*100"</f>
        <v>#VALUE!</v>
      </c>
    </row>
    <row r="83" spans="1:17" s="299" customFormat="1" ht="16.5" hidden="1" customHeight="1">
      <c r="A83" s="280" t="s">
        <v>256</v>
      </c>
      <c r="B83" s="281" t="s">
        <v>329</v>
      </c>
      <c r="C83" s="523">
        <v>82800</v>
      </c>
      <c r="D83" s="532">
        <v>82800</v>
      </c>
      <c r="E83" s="219">
        <f>+F83+I83+L83</f>
        <v>0</v>
      </c>
      <c r="F83" s="213"/>
      <c r="G83" s="213">
        <v>41.097000000000001</v>
      </c>
      <c r="H83" s="213">
        <v>11925.661426000001</v>
      </c>
      <c r="I83" s="213"/>
      <c r="J83" s="213">
        <v>5204.0259999999998</v>
      </c>
      <c r="K83" s="213">
        <v>7964.6998789999998</v>
      </c>
      <c r="L83" s="213"/>
      <c r="M83" s="504">
        <v>65518.176276999999</v>
      </c>
      <c r="N83" s="503">
        <v>4328.3459000000003</v>
      </c>
      <c r="O83" s="539">
        <f>E83/C83*100</f>
        <v>0</v>
      </c>
      <c r="P83" s="539">
        <f t="shared" si="10"/>
        <v>0</v>
      </c>
      <c r="Q83" s="282"/>
    </row>
    <row r="84" spans="1:17" s="299" customFormat="1" ht="16.5" hidden="1" customHeight="1">
      <c r="A84" s="280" t="s">
        <v>258</v>
      </c>
      <c r="B84" s="281" t="s">
        <v>959</v>
      </c>
      <c r="C84" s="402">
        <v>0</v>
      </c>
      <c r="D84" s="279">
        <v>0</v>
      </c>
      <c r="E84" s="504">
        <f>+F84+I84+L84</f>
        <v>0</v>
      </c>
      <c r="F84" s="213"/>
      <c r="G84" s="213">
        <v>140</v>
      </c>
      <c r="H84" s="213"/>
      <c r="I84" s="213"/>
      <c r="J84" s="219"/>
      <c r="K84" s="213"/>
      <c r="L84" s="518"/>
      <c r="M84" s="219"/>
      <c r="N84" s="213"/>
      <c r="O84" s="279">
        <v>0</v>
      </c>
      <c r="P84" s="279">
        <v>0</v>
      </c>
      <c r="Q84" s="282"/>
    </row>
    <row r="85" spans="1:17" s="299" customFormat="1" ht="16.5" hidden="1" customHeight="1">
      <c r="A85" s="463" t="s">
        <v>260</v>
      </c>
      <c r="B85" s="281" t="s">
        <v>977</v>
      </c>
      <c r="C85" s="402">
        <v>0</v>
      </c>
      <c r="D85" s="402">
        <v>0</v>
      </c>
      <c r="E85" s="504">
        <f t="shared" ref="E85:E99" si="11">+F85+I85+L85</f>
        <v>0</v>
      </c>
      <c r="F85" s="213"/>
      <c r="G85" s="213"/>
      <c r="H85" s="213"/>
      <c r="I85" s="213"/>
      <c r="J85" s="219"/>
      <c r="K85" s="213">
        <v>252.17198099999999</v>
      </c>
      <c r="L85" s="518"/>
      <c r="M85" s="219"/>
      <c r="N85" s="213"/>
      <c r="O85" s="279">
        <v>0</v>
      </c>
      <c r="P85" s="279">
        <v>0</v>
      </c>
      <c r="Q85" s="282"/>
    </row>
    <row r="86" spans="1:17" s="299" customFormat="1" ht="16.5" hidden="1" customHeight="1">
      <c r="A86" s="280" t="s">
        <v>262</v>
      </c>
      <c r="B86" s="281" t="s">
        <v>978</v>
      </c>
      <c r="C86" s="402">
        <v>0</v>
      </c>
      <c r="D86" s="402">
        <v>0</v>
      </c>
      <c r="E86" s="504">
        <f t="shared" si="11"/>
        <v>0</v>
      </c>
      <c r="F86" s="213"/>
      <c r="G86" s="213"/>
      <c r="H86" s="213"/>
      <c r="I86" s="213"/>
      <c r="J86" s="219"/>
      <c r="K86" s="213">
        <v>9.109</v>
      </c>
      <c r="L86" s="518"/>
      <c r="M86" s="219"/>
      <c r="N86" s="213"/>
      <c r="O86" s="279">
        <v>0</v>
      </c>
      <c r="P86" s="279">
        <v>0</v>
      </c>
      <c r="Q86" s="282"/>
    </row>
    <row r="87" spans="1:17" s="299" customFormat="1" ht="16.5" hidden="1" customHeight="1">
      <c r="A87" s="280" t="s">
        <v>264</v>
      </c>
      <c r="B87" s="281" t="s">
        <v>960</v>
      </c>
      <c r="C87" s="536">
        <v>6958</v>
      </c>
      <c r="D87" s="536">
        <v>6958</v>
      </c>
      <c r="E87" s="504">
        <f t="shared" si="11"/>
        <v>0</v>
      </c>
      <c r="F87" s="213"/>
      <c r="G87" s="213"/>
      <c r="H87" s="213">
        <v>6840.5094760000002</v>
      </c>
      <c r="I87" s="213"/>
      <c r="J87" s="219"/>
      <c r="K87" s="213">
        <v>7295.7678699999997</v>
      </c>
      <c r="L87" s="518"/>
      <c r="M87" s="219"/>
      <c r="N87" s="213"/>
      <c r="O87" s="539">
        <f>E87/C87*100</f>
        <v>0</v>
      </c>
      <c r="P87" s="539">
        <f t="shared" ref="P87:P99" si="12">E87/D87*100</f>
        <v>0</v>
      </c>
      <c r="Q87" s="282"/>
    </row>
    <row r="88" spans="1:17" s="299" customFormat="1" ht="16.5" hidden="1" customHeight="1">
      <c r="A88" s="463" t="s">
        <v>266</v>
      </c>
      <c r="B88" s="281" t="s">
        <v>979</v>
      </c>
      <c r="C88" s="536">
        <v>25000</v>
      </c>
      <c r="D88" s="537">
        <v>25000</v>
      </c>
      <c r="E88" s="504">
        <f t="shared" si="11"/>
        <v>0</v>
      </c>
      <c r="F88" s="213"/>
      <c r="G88" s="213">
        <v>15904.023847</v>
      </c>
      <c r="H88" s="213"/>
      <c r="I88" s="518"/>
      <c r="J88" s="219"/>
      <c r="K88" s="213"/>
      <c r="L88" s="518"/>
      <c r="M88" s="219"/>
      <c r="N88" s="213"/>
      <c r="O88" s="539">
        <f t="shared" ref="O88:O99" si="13">E88/C88*100</f>
        <v>0</v>
      </c>
      <c r="P88" s="539">
        <f t="shared" si="12"/>
        <v>0</v>
      </c>
      <c r="Q88" s="282"/>
    </row>
    <row r="89" spans="1:17" s="299" customFormat="1" ht="16.5" hidden="1" customHeight="1">
      <c r="A89" s="280" t="s">
        <v>268</v>
      </c>
      <c r="B89" s="281" t="s">
        <v>961</v>
      </c>
      <c r="C89" s="536">
        <v>30574</v>
      </c>
      <c r="D89" s="537">
        <v>30574</v>
      </c>
      <c r="E89" s="504">
        <f t="shared" si="11"/>
        <v>0</v>
      </c>
      <c r="F89" s="213"/>
      <c r="G89" s="213">
        <v>30216.262261</v>
      </c>
      <c r="H89" s="213">
        <v>2830.6399280000001</v>
      </c>
      <c r="I89" s="518"/>
      <c r="J89" s="219"/>
      <c r="K89" s="213"/>
      <c r="L89" s="518"/>
      <c r="M89" s="219"/>
      <c r="N89" s="213"/>
      <c r="O89" s="539">
        <f t="shared" si="13"/>
        <v>0</v>
      </c>
      <c r="P89" s="539">
        <f t="shared" si="12"/>
        <v>0</v>
      </c>
      <c r="Q89" s="282"/>
    </row>
    <row r="90" spans="1:17" s="299" customFormat="1" ht="16.5" hidden="1" customHeight="1">
      <c r="A90" s="280" t="s">
        <v>270</v>
      </c>
      <c r="B90" s="281" t="s">
        <v>962</v>
      </c>
      <c r="C90" s="536">
        <v>69232</v>
      </c>
      <c r="D90" s="537">
        <v>69232</v>
      </c>
      <c r="E90" s="504">
        <f t="shared" si="11"/>
        <v>0</v>
      </c>
      <c r="F90" s="213"/>
      <c r="G90" s="213">
        <v>52273.083454</v>
      </c>
      <c r="H90" s="213"/>
      <c r="I90" s="518"/>
      <c r="J90" s="219"/>
      <c r="K90" s="213"/>
      <c r="L90" s="518"/>
      <c r="M90" s="219"/>
      <c r="N90" s="213"/>
      <c r="O90" s="539">
        <f t="shared" si="13"/>
        <v>0</v>
      </c>
      <c r="P90" s="539">
        <f t="shared" si="12"/>
        <v>0</v>
      </c>
      <c r="Q90" s="282"/>
    </row>
    <row r="91" spans="1:17" s="299" customFormat="1" ht="16.5" hidden="1" customHeight="1">
      <c r="A91" s="463" t="s">
        <v>272</v>
      </c>
      <c r="B91" s="281" t="s">
        <v>963</v>
      </c>
      <c r="C91" s="536">
        <v>1380</v>
      </c>
      <c r="D91" s="536">
        <v>1380</v>
      </c>
      <c r="E91" s="504">
        <f t="shared" si="11"/>
        <v>0</v>
      </c>
      <c r="F91" s="213"/>
      <c r="G91" s="213"/>
      <c r="H91" s="213">
        <v>3600</v>
      </c>
      <c r="I91" s="518"/>
      <c r="J91" s="219"/>
      <c r="K91" s="213"/>
      <c r="L91" s="518"/>
      <c r="M91" s="219"/>
      <c r="N91" s="213"/>
      <c r="O91" s="539">
        <f t="shared" si="13"/>
        <v>0</v>
      </c>
      <c r="P91" s="539">
        <f t="shared" si="12"/>
        <v>0</v>
      </c>
      <c r="Q91" s="282"/>
    </row>
    <row r="92" spans="1:17" s="299" customFormat="1" ht="16.5" hidden="1" customHeight="1">
      <c r="A92" s="280" t="s">
        <v>274</v>
      </c>
      <c r="B92" s="281" t="s">
        <v>964</v>
      </c>
      <c r="C92" s="536">
        <v>3507</v>
      </c>
      <c r="D92" s="536">
        <v>3507</v>
      </c>
      <c r="E92" s="504">
        <f t="shared" si="11"/>
        <v>0</v>
      </c>
      <c r="F92" s="213"/>
      <c r="G92" s="213"/>
      <c r="H92" s="213">
        <v>6239.549</v>
      </c>
      <c r="I92" s="518"/>
      <c r="J92" s="219"/>
      <c r="K92" s="213"/>
      <c r="L92" s="518"/>
      <c r="M92" s="219"/>
      <c r="N92" s="213"/>
      <c r="O92" s="539">
        <f t="shared" si="13"/>
        <v>0</v>
      </c>
      <c r="P92" s="539">
        <f t="shared" si="12"/>
        <v>0</v>
      </c>
      <c r="Q92" s="282"/>
    </row>
    <row r="93" spans="1:17" s="299" customFormat="1" ht="16.5" hidden="1" customHeight="1">
      <c r="A93" s="280" t="s">
        <v>276</v>
      </c>
      <c r="B93" s="281" t="s">
        <v>965</v>
      </c>
      <c r="C93" s="536">
        <f>5458+1126</f>
        <v>6584</v>
      </c>
      <c r="D93" s="537">
        <f>5458+1126</f>
        <v>6584</v>
      </c>
      <c r="E93" s="504">
        <f t="shared" si="11"/>
        <v>0</v>
      </c>
      <c r="F93" s="213"/>
      <c r="G93" s="213">
        <v>4914.5780000000004</v>
      </c>
      <c r="H93" s="213">
        <v>610.81100000000004</v>
      </c>
      <c r="I93" s="518"/>
      <c r="J93" s="219"/>
      <c r="K93" s="213"/>
      <c r="L93" s="518"/>
      <c r="M93" s="219"/>
      <c r="N93" s="213"/>
      <c r="O93" s="539">
        <f t="shared" si="13"/>
        <v>0</v>
      </c>
      <c r="P93" s="539">
        <f t="shared" si="12"/>
        <v>0</v>
      </c>
      <c r="Q93" s="282"/>
    </row>
    <row r="94" spans="1:17" s="299" customFormat="1" ht="16.5" hidden="1" customHeight="1">
      <c r="A94" s="463" t="s">
        <v>278</v>
      </c>
      <c r="B94" s="281" t="s">
        <v>966</v>
      </c>
      <c r="C94" s="536">
        <v>1115</v>
      </c>
      <c r="D94" s="536">
        <v>1115</v>
      </c>
      <c r="E94" s="504">
        <f t="shared" si="11"/>
        <v>0</v>
      </c>
      <c r="F94" s="213"/>
      <c r="G94" s="213"/>
      <c r="H94" s="213">
        <v>2343.4521</v>
      </c>
      <c r="I94" s="518"/>
      <c r="J94" s="219"/>
      <c r="K94" s="213"/>
      <c r="L94" s="518"/>
      <c r="M94" s="219"/>
      <c r="N94" s="213"/>
      <c r="O94" s="539">
        <f t="shared" si="13"/>
        <v>0</v>
      </c>
      <c r="P94" s="539">
        <f t="shared" si="12"/>
        <v>0</v>
      </c>
      <c r="Q94" s="282"/>
    </row>
    <row r="95" spans="1:17" s="299" customFormat="1" ht="16.5" hidden="1" customHeight="1">
      <c r="A95" s="280" t="s">
        <v>972</v>
      </c>
      <c r="B95" s="281" t="s">
        <v>967</v>
      </c>
      <c r="C95" s="536">
        <v>398105</v>
      </c>
      <c r="D95" s="536">
        <v>398105</v>
      </c>
      <c r="E95" s="504">
        <f t="shared" si="11"/>
        <v>0</v>
      </c>
      <c r="F95" s="213"/>
      <c r="G95" s="213">
        <v>147456.36254599999</v>
      </c>
      <c r="H95" s="213"/>
      <c r="I95" s="518"/>
      <c r="J95" s="219"/>
      <c r="K95" s="213"/>
      <c r="L95" s="518"/>
      <c r="M95" s="219"/>
      <c r="N95" s="213"/>
      <c r="O95" s="539">
        <f t="shared" si="13"/>
        <v>0</v>
      </c>
      <c r="P95" s="539">
        <f t="shared" si="12"/>
        <v>0</v>
      </c>
      <c r="Q95" s="282"/>
    </row>
    <row r="96" spans="1:17" s="299" customFormat="1" ht="16.5" hidden="1" customHeight="1">
      <c r="A96" s="280" t="s">
        <v>973</v>
      </c>
      <c r="B96" s="281" t="s">
        <v>968</v>
      </c>
      <c r="C96" s="536">
        <v>135433</v>
      </c>
      <c r="D96" s="537">
        <v>135433</v>
      </c>
      <c r="E96" s="504">
        <f t="shared" si="11"/>
        <v>0</v>
      </c>
      <c r="F96" s="213"/>
      <c r="G96" s="213">
        <v>103542.33500000001</v>
      </c>
      <c r="H96" s="213"/>
      <c r="I96" s="518"/>
      <c r="J96" s="219"/>
      <c r="K96" s="213"/>
      <c r="L96" s="518"/>
      <c r="M96" s="219"/>
      <c r="N96" s="213"/>
      <c r="O96" s="539">
        <f t="shared" si="13"/>
        <v>0</v>
      </c>
      <c r="P96" s="539">
        <f t="shared" si="12"/>
        <v>0</v>
      </c>
      <c r="Q96" s="282"/>
    </row>
    <row r="97" spans="1:19" s="299" customFormat="1" ht="16.5" hidden="1" customHeight="1">
      <c r="A97" s="463" t="s">
        <v>980</v>
      </c>
      <c r="B97" s="281" t="s">
        <v>969</v>
      </c>
      <c r="C97" s="536">
        <v>26800</v>
      </c>
      <c r="D97" s="537">
        <v>26800</v>
      </c>
      <c r="E97" s="504">
        <f t="shared" si="11"/>
        <v>0</v>
      </c>
      <c r="F97" s="213"/>
      <c r="G97" s="213">
        <v>15100</v>
      </c>
      <c r="H97" s="213"/>
      <c r="I97" s="518"/>
      <c r="J97" s="219"/>
      <c r="K97" s="213"/>
      <c r="L97" s="518"/>
      <c r="M97" s="219"/>
      <c r="N97" s="213"/>
      <c r="O97" s="539">
        <f t="shared" si="13"/>
        <v>0</v>
      </c>
      <c r="P97" s="539">
        <f t="shared" si="12"/>
        <v>0</v>
      </c>
      <c r="Q97" s="282"/>
    </row>
    <row r="98" spans="1:19" s="299" customFormat="1" ht="16.5" hidden="1" customHeight="1">
      <c r="A98" s="280" t="s">
        <v>981</v>
      </c>
      <c r="B98" s="281" t="s">
        <v>970</v>
      </c>
      <c r="C98" s="536">
        <v>73503</v>
      </c>
      <c r="D98" s="537">
        <v>73503</v>
      </c>
      <c r="E98" s="504">
        <f t="shared" si="11"/>
        <v>0</v>
      </c>
      <c r="F98" s="213"/>
      <c r="G98" s="213">
        <v>72373.925873999993</v>
      </c>
      <c r="H98" s="213"/>
      <c r="I98" s="518"/>
      <c r="J98" s="219"/>
      <c r="K98" s="213"/>
      <c r="L98" s="518"/>
      <c r="M98" s="219"/>
      <c r="N98" s="213"/>
      <c r="O98" s="539">
        <f t="shared" si="13"/>
        <v>0</v>
      </c>
      <c r="P98" s="539">
        <f t="shared" si="12"/>
        <v>0</v>
      </c>
      <c r="Q98" s="282"/>
    </row>
    <row r="99" spans="1:19" s="299" customFormat="1" ht="16.5" hidden="1" customHeight="1">
      <c r="A99" s="280" t="s">
        <v>982</v>
      </c>
      <c r="B99" s="281" t="s">
        <v>971</v>
      </c>
      <c r="C99" s="536">
        <v>27000</v>
      </c>
      <c r="D99" s="537">
        <v>27000</v>
      </c>
      <c r="E99" s="504">
        <f t="shared" si="11"/>
        <v>0</v>
      </c>
      <c r="F99" s="213"/>
      <c r="G99" s="213">
        <v>26031.25</v>
      </c>
      <c r="H99" s="213"/>
      <c r="I99" s="518"/>
      <c r="J99" s="219"/>
      <c r="K99" s="213"/>
      <c r="L99" s="518"/>
      <c r="M99" s="219"/>
      <c r="N99" s="213"/>
      <c r="O99" s="539">
        <f t="shared" si="13"/>
        <v>0</v>
      </c>
      <c r="P99" s="539">
        <f t="shared" si="12"/>
        <v>0</v>
      </c>
      <c r="Q99" s="282"/>
    </row>
    <row r="100" spans="1:19" s="302" customFormat="1" ht="16.5" hidden="1" customHeight="1">
      <c r="A100" s="463">
        <v>2</v>
      </c>
      <c r="B100" s="217" t="s">
        <v>332</v>
      </c>
      <c r="C100" s="523">
        <f>340378+C101+1002164-135433-25000-69232-73503-5458-27000-30574-26800-6958-1115-1380-3507-1126</f>
        <v>1014468</v>
      </c>
      <c r="D100" s="471">
        <f>1674369-398105-135433-25000-69232-73503-5458-27000-30574-26800-6958-1115-1380-3507-1126</f>
        <v>869178</v>
      </c>
      <c r="E100" s="213">
        <f>F100+I100+L100</f>
        <v>0</v>
      </c>
      <c r="F100" s="213"/>
      <c r="G100" s="213">
        <f>165347.560173+G101</f>
        <v>165347.56017300001</v>
      </c>
      <c r="H100" s="213">
        <f>H101+560+110+9153+3850</f>
        <v>13673</v>
      </c>
      <c r="I100" s="213"/>
      <c r="J100" s="213"/>
      <c r="K100" s="213">
        <f>37493+8942</f>
        <v>46435</v>
      </c>
      <c r="L100" s="213"/>
      <c r="M100" s="213"/>
      <c r="N100" s="213">
        <v>1471</v>
      </c>
      <c r="O100" s="539">
        <f>E100/C100*100</f>
        <v>0</v>
      </c>
      <c r="P100" s="539">
        <f>E100/D100*100</f>
        <v>0</v>
      </c>
      <c r="Q100" s="282" t="e">
        <f>+E100/"#REF!*100"</f>
        <v>#VALUE!</v>
      </c>
      <c r="R100" s="403"/>
    </row>
    <row r="101" spans="1:19" s="117" customFormat="1" ht="15" hidden="1" customHeight="1">
      <c r="A101" s="217"/>
      <c r="B101" s="404" t="s">
        <v>941</v>
      </c>
      <c r="C101" s="519">
        <f>477117-398105</f>
        <v>79012</v>
      </c>
      <c r="D101" s="405">
        <f>477117-398105</f>
        <v>79012</v>
      </c>
      <c r="E101" s="518">
        <f>+F101</f>
        <v>0</v>
      </c>
      <c r="F101" s="518">
        <v>0</v>
      </c>
      <c r="G101" s="518"/>
      <c r="H101" s="518">
        <v>0</v>
      </c>
      <c r="I101" s="518">
        <v>0</v>
      </c>
      <c r="J101" s="518"/>
      <c r="K101" s="518"/>
      <c r="L101" s="518">
        <v>0</v>
      </c>
      <c r="M101" s="286"/>
      <c r="N101" s="286"/>
      <c r="O101" s="402">
        <v>0</v>
      </c>
      <c r="P101" s="402">
        <v>0</v>
      </c>
      <c r="Q101" s="350"/>
    </row>
    <row r="102" spans="1:19" ht="15" customHeight="1">
      <c r="A102" s="270" t="s">
        <v>80</v>
      </c>
      <c r="B102" s="271" t="s">
        <v>333</v>
      </c>
      <c r="C102" s="556">
        <f>+C103+C104</f>
        <v>1949551</v>
      </c>
      <c r="D102" s="557">
        <f>+D103+D104</f>
        <v>1804261</v>
      </c>
      <c r="E102" s="273">
        <f>F102+I102+L102</f>
        <v>5202830.0485070003</v>
      </c>
      <c r="F102" s="205">
        <f>+F103+F104</f>
        <v>4169359.5692720003</v>
      </c>
      <c r="G102" s="205">
        <f t="shared" ref="G102:M102" si="14">+G103+G104</f>
        <v>0</v>
      </c>
      <c r="H102" s="205">
        <f t="shared" si="14"/>
        <v>0</v>
      </c>
      <c r="I102" s="273">
        <f>+I103+I104</f>
        <v>1033470.479235</v>
      </c>
      <c r="J102" s="273">
        <f t="shared" si="14"/>
        <v>0</v>
      </c>
      <c r="K102" s="205">
        <f t="shared" si="14"/>
        <v>0</v>
      </c>
      <c r="L102" s="518">
        <f t="shared" si="14"/>
        <v>0</v>
      </c>
      <c r="M102" s="273">
        <f t="shared" si="14"/>
        <v>0</v>
      </c>
      <c r="N102" s="205"/>
      <c r="O102" s="279">
        <v>0</v>
      </c>
      <c r="P102" s="279">
        <v>0</v>
      </c>
      <c r="Q102" s="303" t="e">
        <f>+E102/"#REF!*100"</f>
        <v>#VALUE!</v>
      </c>
    </row>
    <row r="103" spans="1:19" ht="15" customHeight="1">
      <c r="A103" s="304">
        <v>1</v>
      </c>
      <c r="B103" s="281" t="s">
        <v>334</v>
      </c>
      <c r="C103" s="518">
        <v>0</v>
      </c>
      <c r="D103" s="305">
        <v>0</v>
      </c>
      <c r="E103" s="219">
        <f>F103+I103+L103</f>
        <v>3379385.2131139999</v>
      </c>
      <c r="F103" s="213">
        <v>2795442.0380000002</v>
      </c>
      <c r="G103" s="213"/>
      <c r="H103" s="213"/>
      <c r="I103" s="218">
        <v>583943.17511399998</v>
      </c>
      <c r="J103" s="219"/>
      <c r="K103" s="213"/>
      <c r="L103" s="518">
        <v>0</v>
      </c>
      <c r="M103" s="219"/>
      <c r="N103" s="213"/>
      <c r="O103" s="279">
        <v>0</v>
      </c>
      <c r="P103" s="279">
        <v>0</v>
      </c>
      <c r="Q103" s="303" t="e">
        <f>+E103/"#REF!*100"</f>
        <v>#VALUE!</v>
      </c>
      <c r="R103" s="102">
        <v>45511.124296998598</v>
      </c>
    </row>
    <row r="104" spans="1:19" ht="15.75" customHeight="1">
      <c r="A104" s="304">
        <v>2</v>
      </c>
      <c r="B104" s="281" t="s">
        <v>335</v>
      </c>
      <c r="C104" s="556">
        <f>+C105+C106</f>
        <v>1949551</v>
      </c>
      <c r="D104" s="557">
        <f>+D105+D106</f>
        <v>1804261</v>
      </c>
      <c r="E104" s="219">
        <f>F104+I104+L104</f>
        <v>1823444.8353929999</v>
      </c>
      <c r="F104" s="213">
        <f>+F105+F106</f>
        <v>1373917.5312719999</v>
      </c>
      <c r="G104" s="213"/>
      <c r="H104" s="213"/>
      <c r="I104" s="213">
        <f>+I105+I106</f>
        <v>449527.30412099999</v>
      </c>
      <c r="J104" s="219"/>
      <c r="K104" s="213"/>
      <c r="L104" s="518">
        <f>+L105+L106</f>
        <v>0</v>
      </c>
      <c r="M104" s="219"/>
      <c r="N104" s="213"/>
      <c r="O104" s="279">
        <v>0</v>
      </c>
      <c r="P104" s="279">
        <v>0</v>
      </c>
      <c r="Q104" s="303"/>
    </row>
    <row r="105" spans="1:19" s="568" customFormat="1" ht="15.75" customHeight="1">
      <c r="A105" s="561"/>
      <c r="B105" s="562" t="s">
        <v>1035</v>
      </c>
      <c r="C105" s="565">
        <v>1949551</v>
      </c>
      <c r="D105" s="569">
        <v>1804261</v>
      </c>
      <c r="E105" s="285">
        <f>F105+I105+L105</f>
        <v>1823444.8353929999</v>
      </c>
      <c r="F105" s="286">
        <v>1373917.5312719999</v>
      </c>
      <c r="G105" s="286"/>
      <c r="H105" s="286"/>
      <c r="I105" s="584">
        <v>449527.30412099999</v>
      </c>
      <c r="J105" s="285"/>
      <c r="K105" s="286"/>
      <c r="L105" s="519">
        <v>0</v>
      </c>
      <c r="M105" s="564"/>
      <c r="N105" s="563"/>
      <c r="O105" s="566">
        <v>0</v>
      </c>
      <c r="P105" s="566">
        <v>0</v>
      </c>
      <c r="Q105" s="567"/>
    </row>
    <row r="106" spans="1:19" s="568" customFormat="1" ht="14.25" customHeight="1">
      <c r="A106" s="561"/>
      <c r="B106" s="562" t="s">
        <v>1036</v>
      </c>
      <c r="C106" s="565">
        <v>0</v>
      </c>
      <c r="D106" s="569">
        <v>0</v>
      </c>
      <c r="E106" s="585">
        <v>0</v>
      </c>
      <c r="F106" s="569">
        <v>0</v>
      </c>
      <c r="G106" s="569"/>
      <c r="H106" s="569"/>
      <c r="I106" s="569">
        <v>0</v>
      </c>
      <c r="J106" s="564"/>
      <c r="K106" s="563"/>
      <c r="L106" s="565">
        <v>0</v>
      </c>
      <c r="M106" s="564"/>
      <c r="N106" s="563"/>
      <c r="O106" s="566">
        <v>0</v>
      </c>
      <c r="P106" s="566">
        <v>0</v>
      </c>
      <c r="Q106" s="570"/>
      <c r="S106" s="571"/>
    </row>
    <row r="107" spans="1:19" s="119" customFormat="1" ht="14.25" customHeight="1">
      <c r="A107" s="270" t="s">
        <v>121</v>
      </c>
      <c r="B107" s="275" t="s">
        <v>338</v>
      </c>
      <c r="C107" s="518">
        <v>0</v>
      </c>
      <c r="D107" s="305">
        <v>0</v>
      </c>
      <c r="E107" s="273">
        <f>F107+I107+L107</f>
        <v>32846.826802000003</v>
      </c>
      <c r="F107" s="205">
        <f>5214+25817</f>
        <v>31031</v>
      </c>
      <c r="G107" s="205"/>
      <c r="H107" s="205"/>
      <c r="I107" s="273">
        <v>1815.826802</v>
      </c>
      <c r="J107" s="273"/>
      <c r="K107" s="205"/>
      <c r="L107" s="518">
        <v>0</v>
      </c>
      <c r="M107" s="273"/>
      <c r="N107" s="205"/>
      <c r="O107" s="279">
        <v>0</v>
      </c>
      <c r="P107" s="279">
        <v>0</v>
      </c>
      <c r="Q107" s="308"/>
    </row>
    <row r="108" spans="1:19" s="126" customFormat="1" ht="17.25" customHeight="1">
      <c r="A108" s="281"/>
      <c r="B108" s="270" t="s">
        <v>339</v>
      </c>
      <c r="C108" s="517">
        <f>+C8+C105</f>
        <v>9160828</v>
      </c>
      <c r="D108" s="276">
        <f>+D8+D102</f>
        <v>9418496</v>
      </c>
      <c r="E108" s="273">
        <f>+F108+I108+L108</f>
        <v>16564755.349519003</v>
      </c>
      <c r="F108" s="205">
        <f>F8+F102+F107</f>
        <v>10419075.363131002</v>
      </c>
      <c r="G108" s="205">
        <f>+G102+G8</f>
        <v>0</v>
      </c>
      <c r="H108" s="205">
        <f>+H102+H8</f>
        <v>0</v>
      </c>
      <c r="I108" s="205">
        <f>I8+I102+I107</f>
        <v>4987347.1970930006</v>
      </c>
      <c r="J108" s="205">
        <f>+J102+J8</f>
        <v>0</v>
      </c>
      <c r="K108" s="205">
        <f>+K102+K8</f>
        <v>0</v>
      </c>
      <c r="L108" s="205">
        <f>L8+L102+L107</f>
        <v>1158332.789295</v>
      </c>
      <c r="M108" s="273"/>
      <c r="N108" s="205"/>
      <c r="O108" s="273">
        <f>E108/C108*100</f>
        <v>180.82159548808255</v>
      </c>
      <c r="P108" s="273">
        <f>E108/D108*100</f>
        <v>175.87473997460955</v>
      </c>
      <c r="Q108" s="551"/>
      <c r="S108" s="309"/>
    </row>
    <row r="109" spans="1:19" s="126" customFormat="1" ht="16.5" customHeight="1">
      <c r="A109" s="310"/>
      <c r="B109" s="311"/>
      <c r="C109" s="312"/>
      <c r="D109" s="313"/>
      <c r="E109" s="312"/>
      <c r="F109" s="314"/>
      <c r="G109" s="314"/>
      <c r="H109" s="314"/>
      <c r="I109" s="314"/>
      <c r="J109" s="314"/>
      <c r="K109" s="314"/>
      <c r="L109" s="314"/>
      <c r="M109" s="314"/>
      <c r="N109" s="314"/>
      <c r="O109" s="312"/>
      <c r="P109" s="312"/>
      <c r="Q109" s="551"/>
    </row>
    <row r="110" spans="1:19" s="126" customFormat="1" ht="16.5">
      <c r="A110" s="315"/>
      <c r="B110" s="316" t="s">
        <v>1046</v>
      </c>
      <c r="C110" s="1681" t="s">
        <v>2720</v>
      </c>
      <c r="D110" s="1681"/>
      <c r="E110" s="1681"/>
      <c r="F110" s="1681"/>
      <c r="G110" s="317"/>
      <c r="H110" s="399"/>
      <c r="I110" s="1682" t="s">
        <v>2720</v>
      </c>
      <c r="J110" s="1682"/>
      <c r="K110" s="1682"/>
      <c r="L110" s="1682"/>
      <c r="M110" s="1682"/>
      <c r="N110" s="1682"/>
      <c r="O110" s="1682"/>
      <c r="P110" s="1682"/>
      <c r="Q110" s="551"/>
    </row>
    <row r="111" spans="1:19" s="126" customFormat="1" ht="16.5">
      <c r="A111" s="315"/>
      <c r="B111" s="318" t="s">
        <v>340</v>
      </c>
      <c r="C111" s="1675" t="s">
        <v>239</v>
      </c>
      <c r="D111" s="1675"/>
      <c r="E111" s="1675"/>
      <c r="F111" s="1675"/>
      <c r="G111" s="317"/>
      <c r="H111" s="317"/>
      <c r="I111" s="1676" t="s">
        <v>85</v>
      </c>
      <c r="J111" s="1676"/>
      <c r="K111" s="1676"/>
      <c r="L111" s="1676"/>
      <c r="M111" s="1676"/>
      <c r="N111" s="1676"/>
      <c r="O111" s="1676"/>
      <c r="P111" s="1676"/>
      <c r="Q111" s="551"/>
      <c r="S111" s="959">
        <v>10505673049838</v>
      </c>
    </row>
    <row r="112" spans="1:19" s="126" customFormat="1" ht="16.5">
      <c r="A112" s="315"/>
      <c r="B112" s="318"/>
      <c r="C112" s="319"/>
      <c r="D112" s="320"/>
      <c r="E112" s="319"/>
      <c r="F112" s="472"/>
      <c r="G112" s="399"/>
      <c r="H112" s="399"/>
      <c r="I112" s="1676" t="s">
        <v>86</v>
      </c>
      <c r="J112" s="1676"/>
      <c r="K112" s="1676"/>
      <c r="L112" s="1676"/>
      <c r="M112" s="1676"/>
      <c r="N112" s="1676"/>
      <c r="O112" s="1676"/>
      <c r="P112" s="1676"/>
      <c r="Q112" s="551"/>
    </row>
    <row r="113" spans="1:20" s="126" customFormat="1" ht="22.5" customHeight="1">
      <c r="A113" s="310"/>
      <c r="B113" s="558">
        <v>9504996</v>
      </c>
      <c r="C113" s="312"/>
      <c r="D113" s="313"/>
      <c r="E113" s="472">
        <v>16231065.309237</v>
      </c>
      <c r="F113" s="534">
        <v>10085385.322849</v>
      </c>
      <c r="G113" s="314"/>
      <c r="H113" s="399"/>
      <c r="I113" s="314">
        <v>4987347.1970929997</v>
      </c>
      <c r="J113" s="314"/>
      <c r="K113" s="314"/>
      <c r="L113" s="314"/>
      <c r="M113" s="314"/>
      <c r="N113" s="314"/>
      <c r="O113" s="312"/>
      <c r="P113" s="312"/>
      <c r="Q113" s="551"/>
    </row>
    <row r="114" spans="1:20" ht="16.5">
      <c r="B114" s="559">
        <f>+B113-D108</f>
        <v>86500</v>
      </c>
      <c r="C114" s="325"/>
      <c r="D114" s="321"/>
      <c r="E114" s="572">
        <f>+E108-E113</f>
        <v>333690.04028200358</v>
      </c>
      <c r="F114" s="572">
        <f>+F113-F108</f>
        <v>-333690.04028200172</v>
      </c>
      <c r="G114" s="322"/>
      <c r="H114" s="323"/>
      <c r="I114" s="535">
        <f>+I108-I113</f>
        <v>0</v>
      </c>
      <c r="J114" s="551"/>
      <c r="K114" s="324"/>
      <c r="L114" s="448">
        <v>1158332.789295</v>
      </c>
      <c r="M114" s="551"/>
      <c r="N114" s="324"/>
      <c r="O114" s="551"/>
      <c r="P114" s="551"/>
      <c r="Q114" s="130"/>
      <c r="R114" s="103"/>
      <c r="T114" s="506"/>
    </row>
    <row r="115" spans="1:20">
      <c r="B115" s="129"/>
      <c r="C115" s="324"/>
      <c r="D115" s="130"/>
      <c r="E115" s="103"/>
      <c r="F115" s="509"/>
      <c r="G115" s="325"/>
      <c r="H115" s="325"/>
      <c r="I115" s="131"/>
      <c r="J115" s="129"/>
      <c r="K115" s="326"/>
      <c r="L115" s="535">
        <f>+L108-L114</f>
        <v>0</v>
      </c>
      <c r="M115" s="129"/>
      <c r="N115" s="326"/>
      <c r="O115" s="129"/>
      <c r="P115" s="129"/>
    </row>
    <row r="116" spans="1:20" ht="15" customHeight="1">
      <c r="E116" s="125"/>
      <c r="F116" s="327">
        <f>+'TRA NO VAY'!E13</f>
        <v>86597.686707000001</v>
      </c>
      <c r="G116" s="327"/>
      <c r="H116" s="327"/>
      <c r="I116" s="130"/>
      <c r="J116" s="130"/>
      <c r="K116" s="328"/>
      <c r="L116" s="130"/>
      <c r="M116" s="130"/>
      <c r="N116" s="328"/>
      <c r="O116" s="130"/>
      <c r="P116" s="130"/>
    </row>
    <row r="117" spans="1:20">
      <c r="E117" s="329"/>
      <c r="F117" s="327">
        <f>+F108+F116</f>
        <v>10505673.049838001</v>
      </c>
      <c r="I117" s="506"/>
      <c r="L117" s="103"/>
    </row>
    <row r="118" spans="1:20">
      <c r="E118" s="125"/>
      <c r="F118" s="330"/>
      <c r="I118" s="103"/>
      <c r="L118" s="103"/>
      <c r="R118" s="103"/>
    </row>
    <row r="119" spans="1:20">
      <c r="E119" s="103"/>
      <c r="I119" s="103"/>
      <c r="K119" s="330"/>
      <c r="L119" s="103"/>
    </row>
    <row r="120" spans="1:20">
      <c r="F120" s="330"/>
      <c r="I120" s="103"/>
    </row>
    <row r="121" spans="1:20">
      <c r="E121" s="103"/>
      <c r="F121" s="330"/>
    </row>
    <row r="122" spans="1:20">
      <c r="F122" s="330"/>
      <c r="I122" s="103"/>
    </row>
    <row r="123" spans="1:20">
      <c r="F123" s="330"/>
    </row>
    <row r="127" spans="1:20">
      <c r="B127" s="103">
        <v>123456789</v>
      </c>
    </row>
  </sheetData>
  <sheetProtection selectLockedCells="1" selectUnlockedCells="1"/>
  <mergeCells count="10">
    <mergeCell ref="C111:F111"/>
    <mergeCell ref="I111:P111"/>
    <mergeCell ref="I112:P112"/>
    <mergeCell ref="B2:P2"/>
    <mergeCell ref="C4:D4"/>
    <mergeCell ref="E4:L4"/>
    <mergeCell ref="O4:P4"/>
    <mergeCell ref="F5:L5"/>
    <mergeCell ref="C110:F110"/>
    <mergeCell ref="I110:P110"/>
  </mergeCells>
  <pageMargins left="0.25" right="0" top="0.25" bottom="0.25" header="0.51180555555555596" footer="0.51180555555555596"/>
  <pageSetup paperSize="9" firstPageNumber="0" orientation="landscape"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9"/>
  <sheetViews>
    <sheetView zoomScale="120" zoomScaleNormal="120" workbookViewId="0">
      <selection activeCell="B29" sqref="B29"/>
    </sheetView>
  </sheetViews>
  <sheetFormatPr defaultRowHeight="15.75"/>
  <cols>
    <col min="1" max="1" width="4.7109375" style="102" customWidth="1"/>
    <col min="2" max="2" width="50.42578125" style="102" customWidth="1"/>
    <col min="3" max="3" width="12.140625" style="102" hidden="1" customWidth="1"/>
    <col min="4" max="4" width="12" style="102" customWidth="1"/>
    <col min="5" max="5" width="14.28515625" style="103" customWidth="1"/>
    <col min="6" max="6" width="10.42578125" style="102" hidden="1" customWidth="1"/>
    <col min="7" max="7" width="13.5703125" style="102" customWidth="1"/>
    <col min="8" max="8" width="23.42578125" style="102" hidden="1" customWidth="1"/>
    <col min="9" max="9" width="20.7109375" style="102" hidden="1" customWidth="1"/>
    <col min="10" max="16384" width="9.140625" style="102"/>
  </cols>
  <sheetData>
    <row r="1" spans="1:9" s="1142" customFormat="1" ht="17.100000000000001" customHeight="1">
      <c r="A1" s="1141" t="s">
        <v>3110</v>
      </c>
      <c r="E1" s="1683" t="s">
        <v>3111</v>
      </c>
      <c r="F1" s="1683"/>
      <c r="G1" s="1683"/>
      <c r="H1" s="1144"/>
    </row>
    <row r="2" spans="1:9" s="1142" customFormat="1" ht="17.100000000000001" customHeight="1">
      <c r="A2" s="1141" t="s">
        <v>2878</v>
      </c>
      <c r="E2" s="1143"/>
      <c r="F2" s="1145"/>
      <c r="G2" s="1145"/>
      <c r="H2" s="1144"/>
    </row>
    <row r="3" spans="1:9" ht="38.25" customHeight="1">
      <c r="F3" s="1146"/>
      <c r="G3" s="1146"/>
      <c r="H3" s="1147"/>
    </row>
    <row r="4" spans="1:9" ht="21.75" customHeight="1">
      <c r="A4" s="1685" t="s">
        <v>3112</v>
      </c>
      <c r="B4" s="1685"/>
      <c r="C4" s="1685"/>
      <c r="D4" s="1685"/>
      <c r="E4" s="1685"/>
      <c r="F4" s="1685"/>
      <c r="G4" s="1685"/>
    </row>
    <row r="5" spans="1:9" ht="21.75" customHeight="1">
      <c r="A5" s="1694" t="s">
        <v>3118</v>
      </c>
      <c r="B5" s="1694"/>
      <c r="C5" s="1694"/>
      <c r="D5" s="1694"/>
      <c r="E5" s="1694"/>
      <c r="F5" s="1694"/>
      <c r="G5" s="1694"/>
    </row>
    <row r="6" spans="1:9" ht="24.75" customHeight="1">
      <c r="A6" s="1148"/>
      <c r="B6" s="1148"/>
      <c r="C6" s="1148"/>
      <c r="D6" s="1148"/>
      <c r="E6" s="1148"/>
      <c r="F6" s="1148"/>
      <c r="G6" s="1148"/>
    </row>
    <row r="7" spans="1:9" ht="24.95" customHeight="1">
      <c r="B7" s="105"/>
      <c r="C7" s="105"/>
      <c r="D7" s="106"/>
      <c r="E7" s="544"/>
      <c r="F7" s="1695" t="s">
        <v>44</v>
      </c>
      <c r="G7" s="1695"/>
      <c r="H7" s="1695"/>
    </row>
    <row r="8" spans="1:9" ht="21.95" customHeight="1">
      <c r="A8" s="1696" t="s">
        <v>45</v>
      </c>
      <c r="B8" s="1697" t="s">
        <v>98</v>
      </c>
      <c r="C8" s="1697" t="s">
        <v>1011</v>
      </c>
      <c r="D8" s="1697"/>
      <c r="E8" s="1698" t="s">
        <v>2826</v>
      </c>
      <c r="F8" s="1623"/>
      <c r="G8" s="1697" t="s">
        <v>2857</v>
      </c>
      <c r="H8" s="1150"/>
    </row>
    <row r="9" spans="1:9" ht="21.95" customHeight="1">
      <c r="A9" s="1696"/>
      <c r="B9" s="1697"/>
      <c r="C9" s="1697"/>
      <c r="D9" s="1697"/>
      <c r="E9" s="1698"/>
      <c r="F9" s="1624" t="s">
        <v>2863</v>
      </c>
      <c r="G9" s="1697"/>
      <c r="H9" s="1152" t="s">
        <v>2880</v>
      </c>
    </row>
    <row r="10" spans="1:9" ht="24.75" hidden="1" customHeight="1">
      <c r="A10" s="1165"/>
      <c r="B10" s="1166"/>
      <c r="C10" s="1166"/>
      <c r="D10" s="1167"/>
      <c r="E10" s="1168"/>
      <c r="F10" s="1169"/>
      <c r="G10" s="1169"/>
      <c r="H10" s="1149"/>
    </row>
    <row r="11" spans="1:9" ht="18.75" hidden="1" customHeight="1">
      <c r="A11" s="1170"/>
      <c r="B11" s="1171"/>
      <c r="C11" s="1688" t="s">
        <v>1011</v>
      </c>
      <c r="D11" s="1689"/>
      <c r="E11" s="1172" t="s">
        <v>96</v>
      </c>
      <c r="F11" s="1686" t="s">
        <v>124</v>
      </c>
      <c r="G11" s="1687"/>
      <c r="H11" s="116"/>
    </row>
    <row r="12" spans="1:9" ht="19.5" hidden="1" customHeight="1">
      <c r="A12" s="1173" t="s">
        <v>45</v>
      </c>
      <c r="B12" s="1174" t="s">
        <v>355</v>
      </c>
      <c r="C12" s="1690"/>
      <c r="D12" s="1691"/>
      <c r="E12" s="1175" t="s">
        <v>100</v>
      </c>
      <c r="F12" s="1176" t="s">
        <v>1012</v>
      </c>
      <c r="G12" s="1177" t="s">
        <v>1014</v>
      </c>
    </row>
    <row r="13" spans="1:9" ht="19.5" hidden="1" customHeight="1">
      <c r="A13" s="1178"/>
      <c r="B13" s="1179"/>
      <c r="C13" s="1692"/>
      <c r="D13" s="1693"/>
      <c r="E13" s="1180">
        <v>2018</v>
      </c>
      <c r="F13" s="1181" t="s">
        <v>1013</v>
      </c>
      <c r="G13" s="1182" t="s">
        <v>1015</v>
      </c>
    </row>
    <row r="14" spans="1:9" ht="21.95" customHeight="1">
      <c r="A14" s="1186" t="s">
        <v>57</v>
      </c>
      <c r="B14" s="1186" t="s">
        <v>80</v>
      </c>
      <c r="C14" s="1186" t="s">
        <v>104</v>
      </c>
      <c r="D14" s="1186" t="s">
        <v>104</v>
      </c>
      <c r="E14" s="1187" t="s">
        <v>105</v>
      </c>
      <c r="F14" s="1186" t="s">
        <v>868</v>
      </c>
      <c r="G14" s="1186" t="s">
        <v>2856</v>
      </c>
    </row>
    <row r="15" spans="1:9" ht="21.95" customHeight="1">
      <c r="A15" s="1183" t="s">
        <v>57</v>
      </c>
      <c r="B15" s="1202" t="s">
        <v>987</v>
      </c>
      <c r="C15" s="556">
        <f>C16+C19+C30+C29+C31+C32</f>
        <v>9247328</v>
      </c>
      <c r="D15" s="1188">
        <f>+D16+D19+D32+D29+D30+D31</f>
        <v>9504996</v>
      </c>
      <c r="E15" s="1189">
        <f>E16+E19+E29+E30+E31+E32+E33+E34</f>
        <v>11571247.355690001</v>
      </c>
      <c r="F15" s="1190">
        <f>E15-D15</f>
        <v>2066251.3556900006</v>
      </c>
      <c r="G15" s="1191">
        <f>E15/D15*100</f>
        <v>121.73858206452692</v>
      </c>
      <c r="H15" s="401"/>
      <c r="I15" s="116"/>
    </row>
    <row r="16" spans="1:9" s="545" customFormat="1" ht="21.95" customHeight="1">
      <c r="A16" s="1183" t="s">
        <v>108</v>
      </c>
      <c r="B16" s="1203" t="s">
        <v>110</v>
      </c>
      <c r="C16" s="1154">
        <f>+C17+C18</f>
        <v>3762000</v>
      </c>
      <c r="D16" s="1188">
        <f>D17+D18</f>
        <v>3922000</v>
      </c>
      <c r="E16" s="1189">
        <f>E17+E18</f>
        <v>4357005.0339459991</v>
      </c>
      <c r="F16" s="1190">
        <f t="shared" ref="F16:F47" si="0">E16-D16</f>
        <v>435005.03394599911</v>
      </c>
      <c r="G16" s="1191">
        <f t="shared" ref="G16:G19" si="1">E16/D16*100</f>
        <v>111.0914083107088</v>
      </c>
    </row>
    <row r="17" spans="1:9" ht="21.95" customHeight="1">
      <c r="A17" s="1160">
        <v>1</v>
      </c>
      <c r="B17" s="1592" t="s">
        <v>3107</v>
      </c>
      <c r="C17" s="1155">
        <v>1388900</v>
      </c>
      <c r="D17" s="1161">
        <v>1544455</v>
      </c>
      <c r="E17" s="1163">
        <f>'TH THU_61_342_50_31'!O9</f>
        <v>1653659.9229969992</v>
      </c>
      <c r="F17" s="1192">
        <f t="shared" si="0"/>
        <v>109204.92299699923</v>
      </c>
      <c r="G17" s="1193">
        <f t="shared" si="1"/>
        <v>107.07077402688969</v>
      </c>
      <c r="H17" s="116"/>
      <c r="I17" s="116"/>
    </row>
    <row r="18" spans="1:9" s="117" customFormat="1" ht="21.95" customHeight="1">
      <c r="A18" s="1184">
        <v>2</v>
      </c>
      <c r="B18" s="1592" t="s">
        <v>3108</v>
      </c>
      <c r="C18" s="1155">
        <v>2373100</v>
      </c>
      <c r="D18" s="1161">
        <v>2377545</v>
      </c>
      <c r="E18" s="1163">
        <f>'TH THU_61_342_50_31'!O10</f>
        <v>2703345.1109489999</v>
      </c>
      <c r="F18" s="1192">
        <f t="shared" si="0"/>
        <v>325800.11094899988</v>
      </c>
      <c r="G18" s="1193">
        <f t="shared" si="1"/>
        <v>113.70321533131865</v>
      </c>
    </row>
    <row r="19" spans="1:9" s="545" customFormat="1" ht="21.95" customHeight="1">
      <c r="A19" s="1183" t="s">
        <v>109</v>
      </c>
      <c r="B19" s="1202" t="s">
        <v>3113</v>
      </c>
      <c r="C19" s="556">
        <f>+C20+C25</f>
        <v>5347828</v>
      </c>
      <c r="D19" s="1188">
        <f>+D20+D25</f>
        <v>5445496</v>
      </c>
      <c r="E19" s="1189">
        <f>+E20+E25</f>
        <v>5829813</v>
      </c>
      <c r="F19" s="1190">
        <f t="shared" si="0"/>
        <v>384317</v>
      </c>
      <c r="G19" s="1191">
        <f t="shared" si="1"/>
        <v>107.05752056378334</v>
      </c>
    </row>
    <row r="20" spans="1:9" ht="21.95" customHeight="1">
      <c r="A20" s="1160">
        <v>1</v>
      </c>
      <c r="B20" s="1205" t="s">
        <v>990</v>
      </c>
      <c r="C20" s="1157">
        <f>+C21+C22+C23+C24</f>
        <v>3196428</v>
      </c>
      <c r="D20" s="1194">
        <f>+D21+D22+D23+D24+201849</f>
        <v>3398277</v>
      </c>
      <c r="E20" s="1163">
        <f>+'TH THU_61_342_50_31'!F100</f>
        <v>3398277</v>
      </c>
      <c r="F20" s="1188">
        <f t="shared" si="0"/>
        <v>0</v>
      </c>
      <c r="G20" s="1193">
        <f>E20/D21*100</f>
        <v>106.31483017918752</v>
      </c>
      <c r="H20" s="103"/>
    </row>
    <row r="21" spans="1:9" ht="20.100000000000001" hidden="1" customHeight="1">
      <c r="A21" s="1160"/>
      <c r="B21" s="1206" t="s">
        <v>111</v>
      </c>
      <c r="C21" s="1158">
        <v>3196428</v>
      </c>
      <c r="D21" s="1195">
        <v>3196428</v>
      </c>
      <c r="E21" s="1196">
        <f>'TH THU_61_342_50_31'!F100</f>
        <v>3398277</v>
      </c>
      <c r="F21" s="1192">
        <f t="shared" si="0"/>
        <v>201849</v>
      </c>
      <c r="G21" s="1197"/>
    </row>
    <row r="22" spans="1:9" ht="20.100000000000001" hidden="1" customHeight="1">
      <c r="A22" s="1160"/>
      <c r="B22" s="1206" t="s">
        <v>112</v>
      </c>
      <c r="C22" s="1158"/>
      <c r="D22" s="1195"/>
      <c r="E22" s="1196"/>
      <c r="F22" s="1192">
        <f t="shared" si="0"/>
        <v>0</v>
      </c>
      <c r="G22" s="1197"/>
      <c r="H22" s="116"/>
    </row>
    <row r="23" spans="1:9" ht="20.100000000000001" hidden="1" customHeight="1">
      <c r="A23" s="1160"/>
      <c r="B23" s="1206" t="s">
        <v>113</v>
      </c>
      <c r="C23" s="1158"/>
      <c r="D23" s="1195"/>
      <c r="E23" s="1196"/>
      <c r="F23" s="1192">
        <f t="shared" si="0"/>
        <v>0</v>
      </c>
      <c r="G23" s="1197"/>
      <c r="H23" s="116"/>
    </row>
    <row r="24" spans="1:9" ht="20.100000000000001" hidden="1" customHeight="1">
      <c r="A24" s="1160"/>
      <c r="B24" s="1206" t="s">
        <v>114</v>
      </c>
      <c r="C24" s="1158"/>
      <c r="D24" s="1195"/>
      <c r="E24" s="1196"/>
      <c r="F24" s="1192">
        <f t="shared" si="0"/>
        <v>0</v>
      </c>
      <c r="G24" s="1197"/>
    </row>
    <row r="25" spans="1:9" ht="21.95" customHeight="1">
      <c r="A25" s="1160">
        <v>2</v>
      </c>
      <c r="B25" s="1205" t="s">
        <v>991</v>
      </c>
      <c r="C25" s="1155">
        <f>201849+1949551</f>
        <v>2151400</v>
      </c>
      <c r="D25" s="1161">
        <f>1949551+97668</f>
        <v>2047219</v>
      </c>
      <c r="E25" s="1163">
        <f>'TH THU_61_342_50_31'!F101</f>
        <v>2431536</v>
      </c>
      <c r="F25" s="1192">
        <f t="shared" si="0"/>
        <v>384317</v>
      </c>
      <c r="G25" s="1193">
        <f>E25/D25*100</f>
        <v>118.77263741690555</v>
      </c>
    </row>
    <row r="26" spans="1:9" ht="20.100000000000001" hidden="1" customHeight="1">
      <c r="A26" s="1160"/>
      <c r="B26" s="1206" t="s">
        <v>115</v>
      </c>
      <c r="C26" s="1159">
        <v>507420</v>
      </c>
      <c r="D26" s="1162"/>
      <c r="E26" s="1163">
        <f>'TH THU_61_342_50_31'!F102</f>
        <v>2431536</v>
      </c>
      <c r="F26" s="1190">
        <f t="shared" si="0"/>
        <v>2431536</v>
      </c>
      <c r="G26" s="1193" t="e">
        <f t="shared" ref="G26:G32" si="2">E26/D26*100</f>
        <v>#DIV/0!</v>
      </c>
    </row>
    <row r="27" spans="1:9" ht="20.100000000000001" hidden="1" customHeight="1">
      <c r="A27" s="1160"/>
      <c r="B27" s="1206" t="s">
        <v>116</v>
      </c>
      <c r="C27" s="1156">
        <v>125042</v>
      </c>
      <c r="D27" s="1198"/>
      <c r="E27" s="1163"/>
      <c r="F27" s="1190">
        <f t="shared" si="0"/>
        <v>0</v>
      </c>
      <c r="G27" s="1193" t="e">
        <f t="shared" si="2"/>
        <v>#DIV/0!</v>
      </c>
    </row>
    <row r="28" spans="1:9" s="118" customFormat="1" hidden="1">
      <c r="A28" s="1160"/>
      <c r="B28" s="1206" t="s">
        <v>117</v>
      </c>
      <c r="C28" s="1161"/>
      <c r="D28" s="1162"/>
      <c r="E28" s="1163"/>
      <c r="F28" s="1190">
        <f t="shared" si="0"/>
        <v>0</v>
      </c>
      <c r="G28" s="1193" t="e">
        <f t="shared" si="2"/>
        <v>#DIV/0!</v>
      </c>
    </row>
    <row r="29" spans="1:9" s="545" customFormat="1" ht="21.95" customHeight="1">
      <c r="A29" s="1183" t="s">
        <v>118</v>
      </c>
      <c r="B29" s="1202" t="s">
        <v>64</v>
      </c>
      <c r="C29" s="556"/>
      <c r="D29" s="1188">
        <v>0</v>
      </c>
      <c r="E29" s="1189">
        <f>'TH THU_61_342_50_31'!D88</f>
        <v>19472</v>
      </c>
      <c r="F29" s="1190">
        <f t="shared" si="0"/>
        <v>19472</v>
      </c>
      <c r="G29" s="1193">
        <v>0</v>
      </c>
    </row>
    <row r="30" spans="1:9" s="545" customFormat="1" ht="21.95" customHeight="1">
      <c r="A30" s="1183" t="s">
        <v>320</v>
      </c>
      <c r="B30" s="1202" t="s">
        <v>993</v>
      </c>
      <c r="C30" s="556"/>
      <c r="D30" s="1188">
        <v>0</v>
      </c>
      <c r="E30" s="1189">
        <f>'TH THU_61_342_50_31'!D106</f>
        <v>269730.17774000001</v>
      </c>
      <c r="F30" s="1190">
        <f t="shared" si="0"/>
        <v>269730.17774000001</v>
      </c>
      <c r="G30" s="1193">
        <v>0</v>
      </c>
      <c r="H30" s="546"/>
    </row>
    <row r="31" spans="1:9" s="545" customFormat="1" ht="21.95" customHeight="1">
      <c r="A31" s="1183" t="s">
        <v>321</v>
      </c>
      <c r="B31" s="1202" t="s">
        <v>992</v>
      </c>
      <c r="C31" s="1164"/>
      <c r="D31" s="1188">
        <v>0</v>
      </c>
      <c r="E31" s="1199">
        <f>'TH THU_61_342_50_31'!D105</f>
        <v>1076220.2512020001</v>
      </c>
      <c r="F31" s="1190">
        <f>E31-D31</f>
        <v>1076220.2512020001</v>
      </c>
      <c r="G31" s="1193">
        <v>0</v>
      </c>
      <c r="H31" s="547"/>
    </row>
    <row r="32" spans="1:9" s="545" customFormat="1" ht="21.95" customHeight="1">
      <c r="A32" s="1183" t="s">
        <v>323</v>
      </c>
      <c r="B32" s="1202" t="s">
        <v>1010</v>
      </c>
      <c r="C32" s="1154">
        <v>137500</v>
      </c>
      <c r="D32" s="1188">
        <v>137500</v>
      </c>
      <c r="E32" s="1188">
        <v>0</v>
      </c>
      <c r="F32" s="1190">
        <f t="shared" si="0"/>
        <v>-137500</v>
      </c>
      <c r="G32" s="1193">
        <f t="shared" si="2"/>
        <v>0</v>
      </c>
      <c r="H32" s="547"/>
    </row>
    <row r="33" spans="1:9" s="545" customFormat="1" ht="21.95" customHeight="1">
      <c r="A33" s="1183" t="s">
        <v>325</v>
      </c>
      <c r="B33" s="1202" t="s">
        <v>77</v>
      </c>
      <c r="C33" s="1164"/>
      <c r="D33" s="1188">
        <v>0</v>
      </c>
      <c r="E33" s="1199">
        <f>'TH THU_61_342_50_31'!D85</f>
        <v>17191.065999999999</v>
      </c>
      <c r="F33" s="1190">
        <f t="shared" si="0"/>
        <v>17191.065999999999</v>
      </c>
      <c r="G33" s="1193">
        <v>0</v>
      </c>
      <c r="H33" s="547"/>
    </row>
    <row r="34" spans="1:9" s="545" customFormat="1" ht="21.95" customHeight="1">
      <c r="A34" s="1183" t="s">
        <v>360</v>
      </c>
      <c r="B34" s="1202" t="s">
        <v>69</v>
      </c>
      <c r="C34" s="1164"/>
      <c r="D34" s="1188">
        <v>0</v>
      </c>
      <c r="E34" s="1199">
        <f>+'TH THU_61_342_50_31'!F104</f>
        <v>1815.826802</v>
      </c>
      <c r="F34" s="1190">
        <f t="shared" si="0"/>
        <v>1815.826802</v>
      </c>
      <c r="G34" s="1193">
        <v>0</v>
      </c>
      <c r="H34" s="547"/>
    </row>
    <row r="35" spans="1:9" ht="21.95" customHeight="1">
      <c r="A35" s="1183" t="s">
        <v>80</v>
      </c>
      <c r="B35" s="1202" t="s">
        <v>994</v>
      </c>
      <c r="C35" s="556">
        <f>+C36+C43+C46+C47</f>
        <v>9247328</v>
      </c>
      <c r="D35" s="1188">
        <f>+D36+D43+D46+D47</f>
        <v>9418496</v>
      </c>
      <c r="E35" s="1199">
        <f>+E36+E43+E46+E47+E48</f>
        <v>11448522.987718999</v>
      </c>
      <c r="F35" s="1190">
        <f t="shared" si="0"/>
        <v>2030026.9877189994</v>
      </c>
      <c r="G35" s="1191">
        <f>E35/D35*100</f>
        <v>121.55362159435008</v>
      </c>
    </row>
    <row r="36" spans="1:9" ht="21.95" customHeight="1">
      <c r="A36" s="1183" t="s">
        <v>108</v>
      </c>
      <c r="B36" s="1202" t="s">
        <v>3114</v>
      </c>
      <c r="C36" s="556">
        <f>+C37+C38+C39+C40+C41+C42</f>
        <v>7211277</v>
      </c>
      <c r="D36" s="1188">
        <f>+D37+D38+D39+D40+D41+D42</f>
        <v>7614235</v>
      </c>
      <c r="E36" s="1199">
        <f>+E37+E38+E39+E40+E41+E42</f>
        <v>8515965.8033209983</v>
      </c>
      <c r="F36" s="1190">
        <f t="shared" si="0"/>
        <v>901730.80332099833</v>
      </c>
      <c r="G36" s="1191">
        <v>0</v>
      </c>
    </row>
    <row r="37" spans="1:9" ht="21.95" customHeight="1">
      <c r="A37" s="1160">
        <v>1</v>
      </c>
      <c r="B37" s="1205" t="s">
        <v>59</v>
      </c>
      <c r="C37" s="1156">
        <f>1656790</f>
        <v>1656790</v>
      </c>
      <c r="D37" s="1161">
        <v>1785790</v>
      </c>
      <c r="E37" s="1163">
        <f>'TH CHI_62_342_51_52_53_31'!E9</f>
        <v>2273828.1467739996</v>
      </c>
      <c r="F37" s="1192">
        <f t="shared" si="0"/>
        <v>488038.14677399956</v>
      </c>
      <c r="G37" s="1193">
        <f>E37/D37*100</f>
        <v>127.32897747069923</v>
      </c>
      <c r="I37" s="103"/>
    </row>
    <row r="38" spans="1:9" ht="21.95" customHeight="1">
      <c r="A38" s="1160">
        <v>2</v>
      </c>
      <c r="B38" s="1205" t="s">
        <v>66</v>
      </c>
      <c r="C38" s="1156">
        <v>5409477</v>
      </c>
      <c r="D38" s="1161">
        <v>5676262</v>
      </c>
      <c r="E38" s="1200">
        <f>'TH CHI_62_342_51_52_53_31'!E35</f>
        <v>6240733.7518939991</v>
      </c>
      <c r="F38" s="1192">
        <f t="shared" si="0"/>
        <v>564471.75189399906</v>
      </c>
      <c r="G38" s="1193">
        <f>E38/D38*100</f>
        <v>109.94442736952593</v>
      </c>
    </row>
    <row r="39" spans="1:9" ht="21.95" customHeight="1">
      <c r="A39" s="1160">
        <v>3</v>
      </c>
      <c r="B39" s="1205" t="s">
        <v>996</v>
      </c>
      <c r="C39" s="1156">
        <v>800</v>
      </c>
      <c r="D39" s="1161">
        <v>1783</v>
      </c>
      <c r="E39" s="1200">
        <v>403.904653</v>
      </c>
      <c r="F39" s="1192">
        <f>E39-D39</f>
        <v>-1379.0953469999999</v>
      </c>
      <c r="G39" s="1193">
        <v>0</v>
      </c>
    </row>
    <row r="40" spans="1:9" ht="21.95" customHeight="1">
      <c r="A40" s="1160">
        <v>4</v>
      </c>
      <c r="B40" s="1205" t="s">
        <v>68</v>
      </c>
      <c r="C40" s="1156">
        <v>1000</v>
      </c>
      <c r="D40" s="1161">
        <v>1000</v>
      </c>
      <c r="E40" s="1200">
        <v>1000</v>
      </c>
      <c r="F40" s="1192">
        <f t="shared" si="0"/>
        <v>0</v>
      </c>
      <c r="G40" s="1193">
        <v>0</v>
      </c>
      <c r="I40" s="134">
        <v>16759003404197</v>
      </c>
    </row>
    <row r="41" spans="1:9" ht="21.95" customHeight="1">
      <c r="A41" s="1160">
        <v>5</v>
      </c>
      <c r="B41" s="1205" t="s">
        <v>120</v>
      </c>
      <c r="C41" s="1156">
        <v>143210</v>
      </c>
      <c r="D41" s="1161">
        <v>149400</v>
      </c>
      <c r="E41" s="1193">
        <v>0</v>
      </c>
      <c r="F41" s="1192">
        <f t="shared" si="0"/>
        <v>-149400</v>
      </c>
      <c r="G41" s="1193">
        <v>0</v>
      </c>
      <c r="I41" s="134">
        <v>16231065309237</v>
      </c>
    </row>
    <row r="42" spans="1:9" ht="21.95" customHeight="1">
      <c r="A42" s="1160">
        <v>6</v>
      </c>
      <c r="B42" s="1205" t="s">
        <v>997</v>
      </c>
      <c r="C42" s="1156"/>
      <c r="D42" s="1161">
        <v>0</v>
      </c>
      <c r="E42" s="1193">
        <v>0</v>
      </c>
      <c r="F42" s="1192">
        <f t="shared" si="0"/>
        <v>0</v>
      </c>
      <c r="G42" s="1193">
        <v>0</v>
      </c>
      <c r="I42" s="134">
        <f>+I40-I41</f>
        <v>527938094960</v>
      </c>
    </row>
    <row r="43" spans="1:9" s="545" customFormat="1" ht="21.95" customHeight="1">
      <c r="A43" s="1183" t="s">
        <v>109</v>
      </c>
      <c r="B43" s="1202" t="s">
        <v>998</v>
      </c>
      <c r="C43" s="556">
        <f>+C44+C45</f>
        <v>1949551</v>
      </c>
      <c r="D43" s="1188">
        <f>+D44+D45</f>
        <v>1804261</v>
      </c>
      <c r="E43" s="1201">
        <f>+'TH CHI_62_342_51_52_53_31'!E80</f>
        <v>875940.825006</v>
      </c>
      <c r="F43" s="1190">
        <f t="shared" si="0"/>
        <v>-928320.174994</v>
      </c>
      <c r="G43" s="1191">
        <v>0</v>
      </c>
      <c r="I43" s="550"/>
    </row>
    <row r="44" spans="1:9" ht="21.95" customHeight="1">
      <c r="A44" s="1160">
        <v>1</v>
      </c>
      <c r="B44" s="1205" t="s">
        <v>999</v>
      </c>
      <c r="C44" s="1156">
        <v>129892</v>
      </c>
      <c r="D44" s="1161">
        <v>129892</v>
      </c>
      <c r="E44" s="1200">
        <f>+'TH CHI_62_342_51_52_53_31'!E82+'TH CHI_62_342_51_52_53_31'!E83+'TH CHI_62_342_51_52_53_31'!E84+'TH CHI_62_342_51_52_53_31'!E85</f>
        <v>151432.605477</v>
      </c>
      <c r="F44" s="1192">
        <f t="shared" si="0"/>
        <v>21540.605477000005</v>
      </c>
      <c r="G44" s="1193">
        <v>0</v>
      </c>
    </row>
    <row r="45" spans="1:9" ht="21.95" customHeight="1">
      <c r="A45" s="1160">
        <v>2</v>
      </c>
      <c r="B45" s="1205" t="s">
        <v>1000</v>
      </c>
      <c r="C45" s="1156">
        <f>477117+1002164+340378</f>
        <v>1819659</v>
      </c>
      <c r="D45" s="1161">
        <v>1674369</v>
      </c>
      <c r="E45" s="1200">
        <f>E43-E44</f>
        <v>724508.21952899999</v>
      </c>
      <c r="F45" s="1192">
        <f t="shared" si="0"/>
        <v>-949860.78047100001</v>
      </c>
      <c r="G45" s="1193">
        <v>0</v>
      </c>
      <c r="I45" s="134"/>
    </row>
    <row r="46" spans="1:9" s="545" customFormat="1" ht="21.95" customHeight="1">
      <c r="A46" s="1183" t="s">
        <v>118</v>
      </c>
      <c r="B46" s="1202" t="s">
        <v>74</v>
      </c>
      <c r="C46" s="556"/>
      <c r="D46" s="1188">
        <v>0</v>
      </c>
      <c r="E46" s="1201">
        <f>'TH CHI_62_342_51_52_53_31'!E77</f>
        <v>1937171.8458830002</v>
      </c>
      <c r="F46" s="1190">
        <f t="shared" si="0"/>
        <v>1937171.8458830002</v>
      </c>
      <c r="G46" s="1191">
        <v>0</v>
      </c>
    </row>
    <row r="47" spans="1:9" s="545" customFormat="1" ht="21.95" customHeight="1">
      <c r="A47" s="1183" t="s">
        <v>320</v>
      </c>
      <c r="B47" s="1202" t="s">
        <v>1009</v>
      </c>
      <c r="C47" s="556">
        <v>86500</v>
      </c>
      <c r="D47" s="1188">
        <v>0</v>
      </c>
      <c r="E47" s="1201">
        <v>86597.686707000001</v>
      </c>
      <c r="F47" s="1190">
        <f t="shared" si="0"/>
        <v>86597.686707000001</v>
      </c>
      <c r="G47" s="1191">
        <v>0</v>
      </c>
    </row>
    <row r="48" spans="1:9" s="545" customFormat="1" ht="21.95" customHeight="1">
      <c r="A48" s="1183" t="s">
        <v>321</v>
      </c>
      <c r="B48" s="1202" t="s">
        <v>76</v>
      </c>
      <c r="C48" s="556"/>
      <c r="D48" s="1188">
        <v>0</v>
      </c>
      <c r="E48" s="1201">
        <f>+'TH CHI_62_342_51_52_53_31'!E107</f>
        <v>32846.826802000003</v>
      </c>
      <c r="F48" s="1190">
        <f>E48-D48</f>
        <v>32846.826802000003</v>
      </c>
      <c r="G48" s="1191">
        <v>0</v>
      </c>
    </row>
    <row r="49" spans="1:9" s="545" customFormat="1" ht="21.95" customHeight="1">
      <c r="A49" s="1185" t="s">
        <v>121</v>
      </c>
      <c r="B49" s="1203" t="s">
        <v>1001</v>
      </c>
      <c r="C49" s="556"/>
      <c r="D49" s="1188">
        <v>0</v>
      </c>
      <c r="E49" s="1189">
        <f>E15-E35</f>
        <v>122724.36797100119</v>
      </c>
      <c r="F49" s="1191">
        <v>0</v>
      </c>
      <c r="G49" s="1191">
        <v>0</v>
      </c>
      <c r="H49" s="545">
        <v>527938.09495999897</v>
      </c>
      <c r="I49" s="546">
        <f>+H49-E49</f>
        <v>405213.72698899778</v>
      </c>
    </row>
    <row r="50" spans="1:9" s="545" customFormat="1" ht="21.95" customHeight="1">
      <c r="A50" s="1183" t="s">
        <v>428</v>
      </c>
      <c r="B50" s="1202" t="s">
        <v>1002</v>
      </c>
      <c r="C50" s="556"/>
      <c r="D50" s="1201">
        <f>+D51+D52</f>
        <v>86500</v>
      </c>
      <c r="E50" s="1201">
        <f>+E51+E52</f>
        <v>86597.686707000001</v>
      </c>
      <c r="F50" s="1188">
        <v>0</v>
      </c>
      <c r="G50" s="1188">
        <v>0</v>
      </c>
    </row>
    <row r="51" spans="1:9" s="545" customFormat="1" ht="21.95" customHeight="1">
      <c r="A51" s="1183" t="s">
        <v>108</v>
      </c>
      <c r="B51" s="1202" t="s">
        <v>1003</v>
      </c>
      <c r="C51" s="556"/>
      <c r="D51" s="1188">
        <v>0</v>
      </c>
      <c r="E51" s="1188">
        <v>0</v>
      </c>
      <c r="F51" s="1188">
        <v>0</v>
      </c>
      <c r="G51" s="1188">
        <v>0</v>
      </c>
    </row>
    <row r="52" spans="1:9" s="545" customFormat="1" ht="38.1" customHeight="1">
      <c r="A52" s="1183" t="s">
        <v>109</v>
      </c>
      <c r="B52" s="1202" t="s">
        <v>1004</v>
      </c>
      <c r="C52" s="556"/>
      <c r="D52" s="1201">
        <v>86500</v>
      </c>
      <c r="E52" s="1201">
        <f>+E47</f>
        <v>86597.686707000001</v>
      </c>
      <c r="F52" s="1190">
        <f>E52-D52</f>
        <v>97.686707000000752</v>
      </c>
      <c r="G52" s="1193">
        <f>E52/D52*100</f>
        <v>100.11293260924856</v>
      </c>
    </row>
    <row r="53" spans="1:9" s="545" customFormat="1" ht="21.95" customHeight="1">
      <c r="A53" s="1183" t="s">
        <v>454</v>
      </c>
      <c r="B53" s="1202" t="s">
        <v>1005</v>
      </c>
      <c r="C53" s="556"/>
      <c r="D53" s="1201">
        <f>D54+D55</f>
        <v>137500</v>
      </c>
      <c r="E53" s="1188">
        <v>0</v>
      </c>
      <c r="F53" s="1190">
        <f t="shared" ref="F53:F55" si="3">E53-D53</f>
        <v>-137500</v>
      </c>
      <c r="G53" s="1188">
        <v>0</v>
      </c>
    </row>
    <row r="54" spans="1:9" s="545" customFormat="1" ht="21.95" customHeight="1">
      <c r="A54" s="1183" t="s">
        <v>108</v>
      </c>
      <c r="B54" s="1202" t="s">
        <v>1006</v>
      </c>
      <c r="C54" s="556"/>
      <c r="D54" s="1201">
        <v>51000</v>
      </c>
      <c r="E54" s="1188">
        <v>0</v>
      </c>
      <c r="F54" s="1190">
        <f t="shared" si="3"/>
        <v>-51000</v>
      </c>
      <c r="G54" s="1188">
        <v>0</v>
      </c>
    </row>
    <row r="55" spans="1:9" s="545" customFormat="1" ht="21.95" customHeight="1">
      <c r="A55" s="1153" t="s">
        <v>109</v>
      </c>
      <c r="B55" s="1202" t="s">
        <v>1007</v>
      </c>
      <c r="C55" s="556"/>
      <c r="D55" s="1201">
        <v>86500</v>
      </c>
      <c r="E55" s="1188">
        <v>0</v>
      </c>
      <c r="F55" s="1190">
        <f t="shared" si="3"/>
        <v>-86500</v>
      </c>
      <c r="G55" s="1188">
        <v>0</v>
      </c>
    </row>
    <row r="56" spans="1:9" s="545" customFormat="1" ht="21.95" customHeight="1">
      <c r="A56" s="1625" t="s">
        <v>819</v>
      </c>
      <c r="B56" s="1202" t="s">
        <v>1008</v>
      </c>
      <c r="C56" s="556"/>
      <c r="D56" s="1201">
        <v>249491</v>
      </c>
      <c r="E56" s="1201">
        <v>111893.31</v>
      </c>
      <c r="F56" s="1190">
        <f>E56-D56</f>
        <v>-137597.69</v>
      </c>
      <c r="G56" s="1193">
        <f>E56/D56*100</f>
        <v>44.848635822534675</v>
      </c>
    </row>
    <row r="57" spans="1:9" s="126" customFormat="1" ht="16.5" hidden="1">
      <c r="B57" s="127"/>
      <c r="C57" s="541"/>
      <c r="D57" s="1684" t="s">
        <v>1070</v>
      </c>
      <c r="E57" s="1684"/>
      <c r="F57" s="1684"/>
      <c r="G57" s="1684"/>
    </row>
    <row r="58" spans="1:9" hidden="1">
      <c r="B58" s="129"/>
      <c r="C58" s="127"/>
      <c r="D58" s="130"/>
      <c r="E58" s="131"/>
      <c r="F58" s="129" t="s">
        <v>85</v>
      </c>
      <c r="G58" s="132"/>
    </row>
    <row r="59" spans="1:9" hidden="1">
      <c r="E59" s="131"/>
      <c r="F59" s="130" t="s">
        <v>86</v>
      </c>
      <c r="H59" s="103"/>
    </row>
  </sheetData>
  <sheetProtection selectLockedCells="1" selectUnlockedCells="1"/>
  <mergeCells count="12">
    <mergeCell ref="E1:G1"/>
    <mergeCell ref="D57:G57"/>
    <mergeCell ref="A4:G4"/>
    <mergeCell ref="F11:G11"/>
    <mergeCell ref="C11:D13"/>
    <mergeCell ref="A5:G5"/>
    <mergeCell ref="F7:H7"/>
    <mergeCell ref="A8:A9"/>
    <mergeCell ref="B8:B9"/>
    <mergeCell ref="C8:D9"/>
    <mergeCell ref="E8:E9"/>
    <mergeCell ref="G8:G9"/>
  </mergeCells>
  <phoneticPr fontId="160" type="noConversion"/>
  <printOptions horizontalCentered="1"/>
  <pageMargins left="0.19685039370078741" right="0.19685039370078741" top="0.59055118110236227" bottom="0.59055118110236227" header="0.51181102362204722" footer="0.23622047244094491"/>
  <pageSetup paperSize="9" firstPageNumber="0" orientation="portrait" r:id="rId1"/>
  <headerFooter differentFirst="1" alignWithMargins="0">
    <oddFooter>&amp;C&amp;"Times New Roman,Regular"&amp;12&amp;P</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48"/>
  <sheetViews>
    <sheetView zoomScale="110" zoomScaleNormal="110" workbookViewId="0">
      <selection activeCell="E6" sqref="E6:E7"/>
    </sheetView>
  </sheetViews>
  <sheetFormatPr defaultRowHeight="15.75"/>
  <cols>
    <col min="1" max="1" width="40.7109375" style="154" customWidth="1"/>
    <col min="2" max="2" width="13.28515625" style="154" hidden="1" customWidth="1"/>
    <col min="3" max="3" width="12.28515625" style="154" customWidth="1"/>
    <col min="4" max="4" width="13.28515625" style="154" customWidth="1"/>
    <col min="5" max="5" width="12.5703125" style="154" customWidth="1"/>
    <col min="6" max="6" width="13" style="154" customWidth="1"/>
    <col min="7" max="7" width="12" style="154" hidden="1" customWidth="1"/>
    <col min="8" max="8" width="14" style="154" hidden="1" customWidth="1"/>
    <col min="9" max="9" width="13" style="154" hidden="1" customWidth="1"/>
    <col min="10" max="10" width="13.42578125" style="154" hidden="1" customWidth="1"/>
    <col min="11" max="11" width="7.5703125" style="154" customWidth="1"/>
    <col min="12" max="12" width="8.140625" style="155" customWidth="1"/>
    <col min="13" max="13" width="0" style="155" hidden="1" customWidth="1"/>
    <col min="14" max="14" width="16" style="155" hidden="1" customWidth="1"/>
    <col min="15" max="15" width="17" style="155" hidden="1" customWidth="1"/>
    <col min="16" max="16" width="17.5703125" style="155" hidden="1" customWidth="1"/>
    <col min="17" max="17" width="16" style="155" hidden="1" customWidth="1"/>
    <col min="18" max="19" width="13.7109375" style="155" hidden="1" customWidth="1"/>
    <col min="20" max="20" width="0" style="155" hidden="1" customWidth="1"/>
    <col min="21" max="16384" width="9.140625" style="155"/>
  </cols>
  <sheetData>
    <row r="1" spans="1:19" ht="42.75" customHeight="1">
      <c r="A1" s="1107" t="s">
        <v>3115</v>
      </c>
      <c r="F1" s="1699" t="s">
        <v>3116</v>
      </c>
      <c r="G1" s="1699"/>
      <c r="H1" s="1699"/>
      <c r="I1" s="1699"/>
      <c r="J1" s="1699"/>
      <c r="K1" s="1699"/>
      <c r="L1" s="1699"/>
      <c r="M1" s="156"/>
      <c r="N1" s="158">
        <v>14244945.773980999</v>
      </c>
      <c r="O1" s="158">
        <v>8530937.6147980001</v>
      </c>
      <c r="P1" s="158">
        <f>+O2-O1</f>
        <v>21016.874656999484</v>
      </c>
      <c r="Q1" s="158">
        <f>+H9-O1</f>
        <v>1980878.8323480021</v>
      </c>
    </row>
    <row r="2" spans="1:19" ht="29.25" customHeight="1">
      <c r="A2" s="1673" t="s">
        <v>3119</v>
      </c>
      <c r="B2" s="1673"/>
      <c r="C2" s="1673"/>
      <c r="D2" s="1673"/>
      <c r="E2" s="1673"/>
      <c r="F2" s="1673"/>
      <c r="G2" s="1673"/>
      <c r="H2" s="1673"/>
      <c r="I2" s="1673"/>
      <c r="J2" s="1673"/>
      <c r="K2" s="1673"/>
      <c r="L2" s="1673"/>
      <c r="M2" s="1123"/>
      <c r="N2" s="446">
        <f>E9-N1</f>
        <v>-8164473.0924840001</v>
      </c>
      <c r="O2" s="155">
        <v>8551954.4894549996</v>
      </c>
      <c r="P2" s="155">
        <v>3214</v>
      </c>
    </row>
    <row r="3" spans="1:19" ht="24" customHeight="1">
      <c r="A3" s="1700" t="s">
        <v>3117</v>
      </c>
      <c r="B3" s="1700"/>
      <c r="C3" s="1700"/>
      <c r="D3" s="1700"/>
      <c r="E3" s="1700"/>
      <c r="F3" s="1700"/>
      <c r="G3" s="1700"/>
      <c r="H3" s="1700"/>
      <c r="I3" s="1700"/>
      <c r="J3" s="1700"/>
      <c r="K3" s="1700"/>
      <c r="L3" s="1700"/>
      <c r="M3" s="1123"/>
      <c r="N3" s="446"/>
    </row>
    <row r="4" spans="1:19" ht="22.5" customHeight="1">
      <c r="F4" s="1707" t="s">
        <v>134</v>
      </c>
      <c r="G4" s="1707"/>
      <c r="H4" s="1707"/>
      <c r="I4" s="1707"/>
      <c r="J4" s="1707"/>
      <c r="K4" s="1707"/>
      <c r="L4" s="1707"/>
      <c r="M4" s="156"/>
      <c r="O4" s="158">
        <f>+H9-O1</f>
        <v>1980878.8323480021</v>
      </c>
      <c r="P4" s="158">
        <f>+P1+P2</f>
        <v>24230.874656999484</v>
      </c>
    </row>
    <row r="5" spans="1:19">
      <c r="A5" s="159"/>
      <c r="B5" s="1023"/>
      <c r="C5" s="1708" t="s">
        <v>939</v>
      </c>
      <c r="D5" s="1708"/>
      <c r="E5" s="1708" t="s">
        <v>2833</v>
      </c>
      <c r="F5" s="1708"/>
      <c r="G5" s="1709" t="s">
        <v>135</v>
      </c>
      <c r="H5" s="1674"/>
      <c r="I5" s="1674"/>
      <c r="J5" s="1674"/>
      <c r="K5" s="1674" t="s">
        <v>544</v>
      </c>
      <c r="L5" s="1674"/>
      <c r="M5" s="161"/>
      <c r="N5" s="155">
        <v>1695</v>
      </c>
      <c r="O5" s="155">
        <f>+P5+Q5+R5+S5</f>
        <v>17122262.622806001</v>
      </c>
      <c r="P5" s="155">
        <v>363259.21860899997</v>
      </c>
      <c r="Q5" s="155">
        <v>10496742.447146</v>
      </c>
      <c r="R5" s="155">
        <v>5077232.2499320004</v>
      </c>
      <c r="S5" s="155">
        <v>1185028.7071189999</v>
      </c>
    </row>
    <row r="6" spans="1:19" ht="22.5" customHeight="1">
      <c r="A6" s="162" t="s">
        <v>355</v>
      </c>
      <c r="B6" s="1024" t="s">
        <v>101</v>
      </c>
      <c r="C6" s="1701" t="s">
        <v>2843</v>
      </c>
      <c r="D6" s="1701" t="s">
        <v>2844</v>
      </c>
      <c r="E6" s="1701" t="s">
        <v>2832</v>
      </c>
      <c r="F6" s="1703" t="s">
        <v>2834</v>
      </c>
      <c r="G6" s="1025" t="s">
        <v>137</v>
      </c>
      <c r="H6" s="163" t="s">
        <v>137</v>
      </c>
      <c r="I6" s="163" t="s">
        <v>137</v>
      </c>
      <c r="J6" s="163" t="s">
        <v>137</v>
      </c>
      <c r="K6" s="1705" t="s">
        <v>2843</v>
      </c>
      <c r="L6" s="1705" t="s">
        <v>2834</v>
      </c>
      <c r="M6" s="163" t="s">
        <v>138</v>
      </c>
      <c r="N6" s="158">
        <f>+E11-N5</f>
        <v>4684272.9937059991</v>
      </c>
      <c r="O6" s="158">
        <f>+C9+50000</f>
        <v>4252000</v>
      </c>
      <c r="P6" s="158">
        <f>+P5-G9</f>
        <v>0</v>
      </c>
      <c r="Q6" s="158">
        <f>+Q5-H9</f>
        <v>-15074.000000001863</v>
      </c>
      <c r="R6" s="158">
        <f>+R5-I9</f>
        <v>0</v>
      </c>
      <c r="S6" s="158">
        <f>+S5-J9</f>
        <v>0</v>
      </c>
    </row>
    <row r="7" spans="1:19" ht="24" customHeight="1">
      <c r="A7" s="164"/>
      <c r="B7" s="1024" t="s">
        <v>102</v>
      </c>
      <c r="C7" s="1702"/>
      <c r="D7" s="1702"/>
      <c r="E7" s="1702"/>
      <c r="F7" s="1704"/>
      <c r="G7" s="1025" t="s">
        <v>101</v>
      </c>
      <c r="H7" s="163" t="s">
        <v>139</v>
      </c>
      <c r="I7" s="163" t="s">
        <v>140</v>
      </c>
      <c r="J7" s="163" t="s">
        <v>141</v>
      </c>
      <c r="K7" s="1706"/>
      <c r="L7" s="1706"/>
      <c r="M7" s="1123">
        <v>2009</v>
      </c>
      <c r="N7" s="155">
        <v>4387998.603162</v>
      </c>
      <c r="O7" s="158">
        <f>I9-N7</f>
        <v>689233.64677000046</v>
      </c>
      <c r="R7" s="158"/>
    </row>
    <row r="8" spans="1:19">
      <c r="A8" s="165" t="s">
        <v>57</v>
      </c>
      <c r="B8" s="165">
        <v>1</v>
      </c>
      <c r="C8" s="1026">
        <v>1</v>
      </c>
      <c r="D8" s="1026">
        <v>2</v>
      </c>
      <c r="E8" s="1026">
        <v>3</v>
      </c>
      <c r="F8" s="1026">
        <v>4</v>
      </c>
      <c r="G8" s="1027"/>
      <c r="H8" s="1027"/>
      <c r="I8" s="1027"/>
      <c r="J8" s="1027"/>
      <c r="K8" s="1027" t="s">
        <v>2845</v>
      </c>
      <c r="L8" s="1027" t="s">
        <v>2846</v>
      </c>
      <c r="M8" s="169"/>
      <c r="O8" s="158"/>
      <c r="Q8" s="158"/>
      <c r="R8" s="158"/>
    </row>
    <row r="9" spans="1:19" ht="18" customHeight="1">
      <c r="A9" s="170" t="s">
        <v>2835</v>
      </c>
      <c r="B9" s="171">
        <f>B10+B93+B100+B107+B108+B131</f>
        <v>4042000</v>
      </c>
      <c r="C9" s="171">
        <f>C10+C93+C100+C107+C108</f>
        <v>4202000</v>
      </c>
      <c r="D9" s="171">
        <f>D10+D93+D100+D107+D108</f>
        <v>3922000</v>
      </c>
      <c r="E9" s="171">
        <f>+E10+E90+E107+E108</f>
        <v>6080472.6814969992</v>
      </c>
      <c r="F9" s="171">
        <f>+F10+F90+F107+F108</f>
        <v>5722427.4628880005</v>
      </c>
      <c r="G9" s="171">
        <f>G10+G93+G100+G107+G108+G131</f>
        <v>363259.21860900003</v>
      </c>
      <c r="H9" s="171">
        <f>H10+H93+H100+H107+H108+H131</f>
        <v>10511816.447146002</v>
      </c>
      <c r="I9" s="171">
        <f>I10+I93+I100+I107+I108+I131</f>
        <v>5077232.2499320004</v>
      </c>
      <c r="J9" s="171">
        <f>J10+J93+J100+J107+J108+J131</f>
        <v>1185028.7071189999</v>
      </c>
      <c r="K9" s="172">
        <f>E9/C9*100</f>
        <v>144.70425229645406</v>
      </c>
      <c r="L9" s="172">
        <f>F9/D9*100</f>
        <v>145.90585066007139</v>
      </c>
      <c r="M9" s="173"/>
      <c r="O9" s="158" t="s">
        <v>953</v>
      </c>
      <c r="P9" s="158"/>
      <c r="Q9" s="158">
        <f>E11-G11</f>
        <v>4357005.0339459991</v>
      </c>
    </row>
    <row r="10" spans="1:19" ht="18" customHeight="1">
      <c r="A10" s="174" t="s">
        <v>2842</v>
      </c>
      <c r="B10" s="172">
        <f>B11+B79+B86+B87+B90</f>
        <v>4042000</v>
      </c>
      <c r="C10" s="172">
        <f>+C11+C79</f>
        <v>4202000</v>
      </c>
      <c r="D10" s="172">
        <f>+D11+D79</f>
        <v>3922000</v>
      </c>
      <c r="E10" s="172">
        <f>+E11+E79+E86</f>
        <v>4715050.2525549987</v>
      </c>
      <c r="F10" s="172">
        <f>+F11+F79+F86</f>
        <v>4357005.033946</v>
      </c>
      <c r="G10" s="1021">
        <f>G11+G79+G86+G87+G90</f>
        <v>358045.21860900003</v>
      </c>
      <c r="H10" s="172">
        <f>H11+H79+H86+H87+H90</f>
        <v>3650425.3862910001</v>
      </c>
      <c r="I10" s="172">
        <f>I11+I79+I86+I87+I90</f>
        <v>659396.85408099997</v>
      </c>
      <c r="J10" s="172">
        <f>J11+J79+J86+J87+J90</f>
        <v>83845.859574000002</v>
      </c>
      <c r="K10" s="172">
        <f t="shared" ref="K10:L24" si="0">E10/C10*100</f>
        <v>112.20966807603519</v>
      </c>
      <c r="L10" s="172">
        <f t="shared" si="0"/>
        <v>111.09140831070883</v>
      </c>
      <c r="M10" s="175">
        <f>+(E11+E79)/(C11+C79)*100</f>
        <v>112.20966807603519</v>
      </c>
      <c r="N10" s="176"/>
      <c r="O10" s="176" t="s">
        <v>950</v>
      </c>
      <c r="P10" s="158"/>
      <c r="Q10" s="158">
        <f>+Q9-Q11</f>
        <v>1653659.9229969992</v>
      </c>
      <c r="R10" s="158"/>
    </row>
    <row r="11" spans="1:19" s="177" customFormat="1" ht="18" customHeight="1">
      <c r="A11" s="174" t="s">
        <v>148</v>
      </c>
      <c r="B11" s="172">
        <f>B12+B21+B30+B38+B46+B47+B48+B49+B50+B53+B54+B58+B59+B61+B63+B64+B45+B70+B62</f>
        <v>4031000</v>
      </c>
      <c r="C11" s="172">
        <f>+C12+C21+C30+C38+C45+C46+C47+C48+C49+C50+C53+C54+C59+C61+C63+C64+C62+C77</f>
        <v>4191000</v>
      </c>
      <c r="D11" s="172">
        <f>+D12+D21+D30+D38+D45+D46+D47+D48+D49+D50+D53+D54+D59+D61+D63+D64+D62+D77</f>
        <v>3922000</v>
      </c>
      <c r="E11" s="172">
        <f>E12+E21+E30+E38+E46+E47+E48+E49+E50+E53+E54+E58+E59+E61+E63+E64+E45+E70+E55+E56+E57+E60+E62</f>
        <v>4685967.9937059991</v>
      </c>
      <c r="F11" s="172">
        <f t="shared" ref="F11:J11" si="1">F12+F21+F30+F38+F46+F47+F48+F49+F50+F53+F54+F58+F59+F61+F63+F64+F45+F70+F55+F56+F57+F60+F62</f>
        <v>4357005.033946</v>
      </c>
      <c r="G11" s="172">
        <f t="shared" si="1"/>
        <v>328962.95976000006</v>
      </c>
      <c r="H11" s="172">
        <f t="shared" si="1"/>
        <v>3630953.3862910001</v>
      </c>
      <c r="I11" s="172">
        <f t="shared" si="1"/>
        <v>653749.42008099996</v>
      </c>
      <c r="J11" s="172">
        <f t="shared" si="1"/>
        <v>72302.227574000004</v>
      </c>
      <c r="K11" s="172">
        <f t="shared" si="0"/>
        <v>111.81025993094724</v>
      </c>
      <c r="L11" s="172">
        <f t="shared" si="0"/>
        <v>111.09140831070883</v>
      </c>
      <c r="M11" s="175" t="e">
        <f>E11/"#REF!*100"</f>
        <v>#VALUE!</v>
      </c>
      <c r="N11" s="528"/>
      <c r="O11" s="529" t="s">
        <v>954</v>
      </c>
      <c r="P11" s="180"/>
      <c r="Q11" s="930">
        <f>H13+H14+H15+H22+H23+H24+I22+I23+H31+H32+H39+I39+H40+H41+I40+H48+H49</f>
        <v>2703345.1109489999</v>
      </c>
      <c r="R11" s="180"/>
    </row>
    <row r="12" spans="1:19" s="177" customFormat="1" ht="18" customHeight="1">
      <c r="A12" s="174" t="s">
        <v>913</v>
      </c>
      <c r="B12" s="172">
        <f>SUM(B13:B20)</f>
        <v>1191000</v>
      </c>
      <c r="C12" s="172">
        <f>SUM(C13:C20)</f>
        <v>1191000</v>
      </c>
      <c r="D12" s="172">
        <f>C12</f>
        <v>1191000</v>
      </c>
      <c r="E12" s="172">
        <f>+G12+H12+I12+J12</f>
        <v>1546024.2765840001</v>
      </c>
      <c r="F12" s="172">
        <f>H12+I12+J12</f>
        <v>1546024.2765840001</v>
      </c>
      <c r="G12" s="172">
        <f>SUM(G13:G20)</f>
        <v>0</v>
      </c>
      <c r="H12" s="178">
        <f>SUM(H13:H20)</f>
        <v>1546024.2765840001</v>
      </c>
      <c r="I12" s="183">
        <f>SUM(I13:I20)</f>
        <v>0</v>
      </c>
      <c r="J12" s="183">
        <f>SUM(J13:J20)</f>
        <v>0</v>
      </c>
      <c r="K12" s="172">
        <f>E12/C12*100</f>
        <v>129.80892330680101</v>
      </c>
      <c r="L12" s="172">
        <f t="shared" si="0"/>
        <v>129.80892330680101</v>
      </c>
      <c r="M12" s="175" t="e">
        <f>E12/"#REF!*100"</f>
        <v>#VALUE!</v>
      </c>
      <c r="N12" s="179"/>
      <c r="P12" s="180"/>
    </row>
    <row r="13" spans="1:19">
      <c r="A13" s="181" t="s">
        <v>916</v>
      </c>
      <c r="B13" s="182">
        <v>963150</v>
      </c>
      <c r="C13" s="182">
        <v>963150</v>
      </c>
      <c r="D13" s="1022">
        <f t="shared" ref="D13:D20" si="2">C13</f>
        <v>963150</v>
      </c>
      <c r="E13" s="182">
        <f>+G13+H13+I13+J13</f>
        <v>1228346.5174159999</v>
      </c>
      <c r="F13" s="1022">
        <f>H13+I13+J13</f>
        <v>1228346.5174159999</v>
      </c>
      <c r="G13" s="183">
        <v>0</v>
      </c>
      <c r="H13" s="182">
        <v>1228346.5174159999</v>
      </c>
      <c r="I13" s="183">
        <v>0</v>
      </c>
      <c r="J13" s="183">
        <v>0</v>
      </c>
      <c r="K13" s="1022">
        <f>E13/C13*100</f>
        <v>127.53429034065304</v>
      </c>
      <c r="L13" s="1022">
        <f t="shared" si="0"/>
        <v>127.53429034065304</v>
      </c>
      <c r="M13" s="184" t="e">
        <f>E13/"#REF!*100"</f>
        <v>#VALUE!</v>
      </c>
      <c r="N13" s="185"/>
      <c r="O13" s="441" t="s">
        <v>958</v>
      </c>
      <c r="Q13" s="158">
        <f>+H11</f>
        <v>3630953.3862910001</v>
      </c>
      <c r="R13" s="158"/>
      <c r="S13" s="155">
        <v>4751713.32</v>
      </c>
    </row>
    <row r="14" spans="1:19" ht="18" customHeight="1">
      <c r="A14" s="186" t="s">
        <v>914</v>
      </c>
      <c r="B14" s="501">
        <v>227000</v>
      </c>
      <c r="C14" s="501">
        <v>227000</v>
      </c>
      <c r="D14" s="1022">
        <f t="shared" si="2"/>
        <v>227000</v>
      </c>
      <c r="E14" s="182">
        <f>+G14+H14+I14+J14</f>
        <v>314104.28264500003</v>
      </c>
      <c r="F14" s="1022">
        <f>H14+I14+J14</f>
        <v>314104.28264500003</v>
      </c>
      <c r="G14" s="183">
        <v>0</v>
      </c>
      <c r="H14" s="182">
        <v>314104.28264500003</v>
      </c>
      <c r="I14" s="183">
        <v>0</v>
      </c>
      <c r="J14" s="183">
        <v>0</v>
      </c>
      <c r="K14" s="1022">
        <f>E14/C14*100</f>
        <v>138.37193068061674</v>
      </c>
      <c r="L14" s="1022">
        <f t="shared" si="0"/>
        <v>138.37193068061674</v>
      </c>
      <c r="M14" s="184"/>
      <c r="N14" s="526"/>
      <c r="O14" s="446" t="s">
        <v>951</v>
      </c>
      <c r="P14" s="158"/>
      <c r="Q14" s="158">
        <f>+Q10-Q17</f>
        <v>1223411.8926109993</v>
      </c>
      <c r="R14" s="158"/>
      <c r="S14" s="158">
        <f>+S13-E10</f>
        <v>36663.067445001565</v>
      </c>
    </row>
    <row r="15" spans="1:19" ht="18" customHeight="1">
      <c r="A15" s="186" t="s">
        <v>915</v>
      </c>
      <c r="B15" s="183">
        <v>0</v>
      </c>
      <c r="C15" s="183">
        <v>0</v>
      </c>
      <c r="D15" s="1022">
        <f t="shared" si="2"/>
        <v>0</v>
      </c>
      <c r="E15" s="183">
        <f t="shared" ref="E15:E69" si="3">+G15+H15+I15+J15</f>
        <v>0</v>
      </c>
      <c r="F15" s="1022">
        <f t="shared" ref="F15:F77" si="4">H15+I15+J15</f>
        <v>0</v>
      </c>
      <c r="G15" s="183">
        <v>0</v>
      </c>
      <c r="H15" s="183">
        <v>0</v>
      </c>
      <c r="I15" s="183">
        <v>0</v>
      </c>
      <c r="J15" s="183">
        <v>0</v>
      </c>
      <c r="K15" s="1022">
        <v>0</v>
      </c>
      <c r="L15" s="1022">
        <v>0</v>
      </c>
      <c r="M15" s="184" t="e">
        <f>E15/"#REF!*100"</f>
        <v>#VALUE!</v>
      </c>
      <c r="N15" s="185"/>
      <c r="O15" s="530" t="s">
        <v>952</v>
      </c>
      <c r="Q15" s="158">
        <f>+Q11-Q18</f>
        <v>2407541.4936799998</v>
      </c>
      <c r="R15" s="158">
        <f>+H13+H14+H15+H22+H23+H24+H31+H32+H39+H40+H41+H48+H49</f>
        <v>2407541.4936800003</v>
      </c>
    </row>
    <row r="16" spans="1:19" ht="18" customHeight="1">
      <c r="A16" s="186" t="s">
        <v>149</v>
      </c>
      <c r="B16" s="183">
        <v>0</v>
      </c>
      <c r="C16" s="183">
        <v>0</v>
      </c>
      <c r="D16" s="1022">
        <f t="shared" si="2"/>
        <v>0</v>
      </c>
      <c r="E16" s="183">
        <f t="shared" si="3"/>
        <v>0</v>
      </c>
      <c r="F16" s="1022">
        <f t="shared" si="4"/>
        <v>0</v>
      </c>
      <c r="G16" s="183">
        <v>0</v>
      </c>
      <c r="H16" s="183">
        <v>0</v>
      </c>
      <c r="I16" s="183">
        <v>0</v>
      </c>
      <c r="J16" s="183">
        <v>0</v>
      </c>
      <c r="K16" s="1022">
        <v>0</v>
      </c>
      <c r="L16" s="1022">
        <v>0</v>
      </c>
      <c r="M16" s="184"/>
      <c r="N16" s="527"/>
      <c r="O16" s="158" t="s">
        <v>957</v>
      </c>
      <c r="P16" s="158"/>
      <c r="Q16" s="158">
        <f>+I11+J11</f>
        <v>726051.64765499998</v>
      </c>
      <c r="S16" s="155">
        <f>17191.07+19472</f>
        <v>36663.07</v>
      </c>
    </row>
    <row r="17" spans="1:18" ht="18" customHeight="1">
      <c r="A17" s="186" t="s">
        <v>150</v>
      </c>
      <c r="B17" s="182">
        <v>850</v>
      </c>
      <c r="C17" s="182">
        <v>850</v>
      </c>
      <c r="D17" s="1022">
        <f t="shared" si="2"/>
        <v>850</v>
      </c>
      <c r="E17" s="182">
        <f t="shared" si="3"/>
        <v>3573.4765229999998</v>
      </c>
      <c r="F17" s="1022">
        <f t="shared" si="4"/>
        <v>3573.4765229999998</v>
      </c>
      <c r="G17" s="183">
        <v>0</v>
      </c>
      <c r="H17" s="182">
        <v>3573.4765229999998</v>
      </c>
      <c r="I17" s="183">
        <v>0</v>
      </c>
      <c r="J17" s="183">
        <v>0</v>
      </c>
      <c r="K17" s="1022">
        <f t="shared" ref="K17:L77" si="5">E17/C17*100</f>
        <v>420.40900270588236</v>
      </c>
      <c r="L17" s="1022">
        <f t="shared" si="0"/>
        <v>420.40900270588236</v>
      </c>
      <c r="M17" s="184"/>
      <c r="O17" s="155" t="s">
        <v>955</v>
      </c>
      <c r="P17" s="158"/>
      <c r="Q17" s="158">
        <f>+Q16-Q18</f>
        <v>430248.030386</v>
      </c>
    </row>
    <row r="18" spans="1:18" ht="18" customHeight="1">
      <c r="A18" s="186" t="s">
        <v>151</v>
      </c>
      <c r="B18" s="183">
        <v>0</v>
      </c>
      <c r="C18" s="183">
        <v>0</v>
      </c>
      <c r="D18" s="1022">
        <f t="shared" si="2"/>
        <v>0</v>
      </c>
      <c r="E18" s="183">
        <f t="shared" si="3"/>
        <v>0</v>
      </c>
      <c r="F18" s="1022">
        <f t="shared" si="4"/>
        <v>0</v>
      </c>
      <c r="G18" s="183">
        <v>0</v>
      </c>
      <c r="H18" s="183">
        <v>0</v>
      </c>
      <c r="I18" s="183">
        <v>0</v>
      </c>
      <c r="J18" s="183">
        <v>0</v>
      </c>
      <c r="K18" s="1022">
        <v>0</v>
      </c>
      <c r="L18" s="1022">
        <v>0</v>
      </c>
      <c r="M18" s="184" t="e">
        <f>E18/"#REF!*100"</f>
        <v>#VALUE!</v>
      </c>
      <c r="O18" s="158" t="s">
        <v>956</v>
      </c>
      <c r="P18" s="158"/>
      <c r="Q18" s="158">
        <f>+I22+I23+I39+I40</f>
        <v>295803.61726899998</v>
      </c>
      <c r="R18" s="158"/>
    </row>
    <row r="19" spans="1:18" ht="18" customHeight="1">
      <c r="A19" s="186" t="s">
        <v>152</v>
      </c>
      <c r="B19" s="183">
        <v>0</v>
      </c>
      <c r="C19" s="183">
        <v>0</v>
      </c>
      <c r="D19" s="1022">
        <f t="shared" si="2"/>
        <v>0</v>
      </c>
      <c r="E19" s="183">
        <f t="shared" si="3"/>
        <v>0</v>
      </c>
      <c r="F19" s="1022">
        <f t="shared" si="4"/>
        <v>0</v>
      </c>
      <c r="G19" s="183">
        <v>0</v>
      </c>
      <c r="H19" s="183">
        <v>0</v>
      </c>
      <c r="I19" s="183">
        <v>0</v>
      </c>
      <c r="J19" s="183">
        <v>0</v>
      </c>
      <c r="K19" s="1022">
        <v>0</v>
      </c>
      <c r="L19" s="1022">
        <v>0</v>
      </c>
      <c r="M19" s="184"/>
    </row>
    <row r="20" spans="1:18" ht="18" customHeight="1">
      <c r="A20" s="186" t="s">
        <v>153</v>
      </c>
      <c r="B20" s="183">
        <v>0</v>
      </c>
      <c r="C20" s="183">
        <v>0</v>
      </c>
      <c r="D20" s="1022">
        <f t="shared" si="2"/>
        <v>0</v>
      </c>
      <c r="E20" s="183">
        <f>+G20+H20+I20+J20</f>
        <v>0</v>
      </c>
      <c r="F20" s="1022">
        <f t="shared" si="4"/>
        <v>0</v>
      </c>
      <c r="G20" s="183">
        <v>0</v>
      </c>
      <c r="H20" s="183">
        <v>0</v>
      </c>
      <c r="I20" s="183">
        <v>0</v>
      </c>
      <c r="J20" s="183">
        <v>0</v>
      </c>
      <c r="K20" s="1022">
        <v>0</v>
      </c>
      <c r="L20" s="1022">
        <v>0</v>
      </c>
      <c r="M20" s="184" t="e">
        <f>E20/"#REF!*100"</f>
        <v>#VALUE!</v>
      </c>
      <c r="N20" s="158"/>
      <c r="O20" s="158">
        <f>+D10-3922000</f>
        <v>0</v>
      </c>
      <c r="P20" s="158"/>
    </row>
    <row r="21" spans="1:18" s="177" customFormat="1" ht="18" customHeight="1">
      <c r="A21" s="174" t="s">
        <v>917</v>
      </c>
      <c r="B21" s="172">
        <f>SUM(B22:B29)</f>
        <v>155000</v>
      </c>
      <c r="C21" s="172">
        <f>SUM(C22:C29)</f>
        <v>155000</v>
      </c>
      <c r="D21" s="172">
        <f>+C21</f>
        <v>155000</v>
      </c>
      <c r="E21" s="172">
        <f>+G21+H21+I21+J21</f>
        <v>84102.993558999995</v>
      </c>
      <c r="F21" s="172">
        <f t="shared" si="4"/>
        <v>84102.993558999995</v>
      </c>
      <c r="G21" s="183">
        <f>SUM(G22:G29)</f>
        <v>0</v>
      </c>
      <c r="H21" s="178">
        <f>SUM(H22:H29)</f>
        <v>82776.833870000002</v>
      </c>
      <c r="I21" s="172">
        <f>SUM(I22:I29)</f>
        <v>1326.1596890000001</v>
      </c>
      <c r="J21" s="183">
        <f>SUM(J22:J29)</f>
        <v>0</v>
      </c>
      <c r="K21" s="918">
        <f t="shared" si="5"/>
        <v>54.259995844516126</v>
      </c>
      <c r="L21" s="172">
        <f t="shared" si="0"/>
        <v>54.259995844516126</v>
      </c>
      <c r="M21" s="175" t="e">
        <f>E21/"#REF!*100"</f>
        <v>#VALUE!</v>
      </c>
      <c r="O21" s="180">
        <f>+E9-F9</f>
        <v>358045.21860899869</v>
      </c>
      <c r="P21" s="180"/>
    </row>
    <row r="22" spans="1:18" ht="18" customHeight="1">
      <c r="A22" s="186" t="s">
        <v>918</v>
      </c>
      <c r="B22" s="182">
        <v>72200</v>
      </c>
      <c r="C22" s="182">
        <v>72200</v>
      </c>
      <c r="D22" s="1022">
        <f t="shared" ref="D22:D29" si="6">+C22</f>
        <v>72200</v>
      </c>
      <c r="E22" s="182">
        <f>+G22+H22+I22+J22</f>
        <v>45091.352215999999</v>
      </c>
      <c r="F22" s="1022">
        <f t="shared" si="4"/>
        <v>45091.352215999999</v>
      </c>
      <c r="G22" s="183">
        <v>0</v>
      </c>
      <c r="H22" s="182">
        <v>44770.108957999997</v>
      </c>
      <c r="I22" s="182">
        <v>321.24325800000003</v>
      </c>
      <c r="J22" s="183">
        <v>0</v>
      </c>
      <c r="K22" s="1022">
        <f t="shared" si="5"/>
        <v>62.453396421052631</v>
      </c>
      <c r="L22" s="1022">
        <f t="shared" si="0"/>
        <v>62.453396421052631</v>
      </c>
      <c r="M22" s="184" t="e">
        <f>E22/"#REF!*100"</f>
        <v>#VALUE!</v>
      </c>
      <c r="O22" s="158"/>
      <c r="P22" s="158">
        <f>+E11-E10</f>
        <v>-29082.258848999627</v>
      </c>
    </row>
    <row r="23" spans="1:18" ht="18" customHeight="1">
      <c r="A23" s="186" t="s">
        <v>919</v>
      </c>
      <c r="B23" s="182">
        <v>75000</v>
      </c>
      <c r="C23" s="182">
        <v>75000</v>
      </c>
      <c r="D23" s="1022">
        <f t="shared" si="6"/>
        <v>75000</v>
      </c>
      <c r="E23" s="182">
        <f t="shared" si="3"/>
        <v>35288.194295000001</v>
      </c>
      <c r="F23" s="1022">
        <f t="shared" si="4"/>
        <v>35288.194295000001</v>
      </c>
      <c r="G23" s="183">
        <v>0</v>
      </c>
      <c r="H23" s="182">
        <v>34283.277864000003</v>
      </c>
      <c r="I23" s="182">
        <v>1004.916431</v>
      </c>
      <c r="J23" s="183">
        <v>0</v>
      </c>
      <c r="K23" s="1022">
        <f t="shared" si="5"/>
        <v>47.050925726666669</v>
      </c>
      <c r="L23" s="1022">
        <f t="shared" si="0"/>
        <v>47.050925726666669</v>
      </c>
      <c r="M23" s="184" t="e">
        <f>E23/"#REF!*100"</f>
        <v>#VALUE!</v>
      </c>
      <c r="N23" s="158"/>
      <c r="O23" s="158">
        <f>+G9-O21</f>
        <v>5214.0000000013388</v>
      </c>
      <c r="P23" s="158"/>
    </row>
    <row r="24" spans="1:18" ht="18" customHeight="1">
      <c r="A24" s="186" t="s">
        <v>920</v>
      </c>
      <c r="B24" s="182">
        <v>300</v>
      </c>
      <c r="C24" s="182">
        <v>300</v>
      </c>
      <c r="D24" s="1022">
        <f t="shared" si="6"/>
        <v>300</v>
      </c>
      <c r="E24" s="182">
        <f t="shared" si="3"/>
        <v>526.56280900000002</v>
      </c>
      <c r="F24" s="1022">
        <f t="shared" si="4"/>
        <v>526.56280900000002</v>
      </c>
      <c r="G24" s="183">
        <v>0</v>
      </c>
      <c r="H24" s="182">
        <v>526.56280900000002</v>
      </c>
      <c r="I24" s="183">
        <v>0</v>
      </c>
      <c r="J24" s="183">
        <v>0</v>
      </c>
      <c r="K24" s="1022">
        <f t="shared" si="5"/>
        <v>175.52093633333334</v>
      </c>
      <c r="L24" s="1022">
        <f t="shared" si="0"/>
        <v>175.52093633333334</v>
      </c>
      <c r="M24" s="184" t="e">
        <f>E24/"#REF!*100"</f>
        <v>#VALUE!</v>
      </c>
      <c r="O24" s="158"/>
    </row>
    <row r="25" spans="1:18" ht="18" customHeight="1">
      <c r="A25" s="186" t="s">
        <v>154</v>
      </c>
      <c r="B25" s="183">
        <v>0</v>
      </c>
      <c r="C25" s="183">
        <v>0</v>
      </c>
      <c r="D25" s="1022">
        <f t="shared" si="6"/>
        <v>0</v>
      </c>
      <c r="E25" s="183">
        <f t="shared" si="3"/>
        <v>0</v>
      </c>
      <c r="F25" s="1022">
        <f t="shared" si="4"/>
        <v>0</v>
      </c>
      <c r="G25" s="183">
        <v>0</v>
      </c>
      <c r="H25" s="183">
        <v>0</v>
      </c>
      <c r="I25" s="183">
        <v>0</v>
      </c>
      <c r="J25" s="183">
        <v>0</v>
      </c>
      <c r="K25" s="1022">
        <v>0</v>
      </c>
      <c r="L25" s="1022">
        <v>0</v>
      </c>
      <c r="M25" s="184"/>
      <c r="O25" s="188"/>
      <c r="P25" s="158"/>
    </row>
    <row r="26" spans="1:18" ht="18" customHeight="1">
      <c r="A26" s="186" t="s">
        <v>155</v>
      </c>
      <c r="B26" s="182">
        <v>7500</v>
      </c>
      <c r="C26" s="182">
        <v>7500</v>
      </c>
      <c r="D26" s="1022">
        <f t="shared" si="6"/>
        <v>7500</v>
      </c>
      <c r="E26" s="182">
        <f t="shared" si="3"/>
        <v>3196.884239</v>
      </c>
      <c r="F26" s="1022">
        <f t="shared" si="4"/>
        <v>3196.884239</v>
      </c>
      <c r="G26" s="183">
        <v>0</v>
      </c>
      <c r="H26" s="187">
        <v>3196.884239</v>
      </c>
      <c r="I26" s="183">
        <v>0</v>
      </c>
      <c r="J26" s="183">
        <v>0</v>
      </c>
      <c r="K26" s="1022">
        <f t="shared" si="5"/>
        <v>42.62512318666667</v>
      </c>
      <c r="L26" s="1022">
        <f t="shared" si="5"/>
        <v>42.62512318666667</v>
      </c>
      <c r="M26" s="184" t="e">
        <f t="shared" ref="M26:M35" si="7">E26/"#REF!*100"</f>
        <v>#VALUE!</v>
      </c>
      <c r="O26" s="188"/>
      <c r="P26" s="158"/>
    </row>
    <row r="27" spans="1:18" ht="18" customHeight="1">
      <c r="A27" s="186" t="s">
        <v>156</v>
      </c>
      <c r="B27" s="183">
        <v>0</v>
      </c>
      <c r="C27" s="183">
        <v>0</v>
      </c>
      <c r="D27" s="1022">
        <f t="shared" si="6"/>
        <v>0</v>
      </c>
      <c r="E27" s="183">
        <f t="shared" si="3"/>
        <v>0</v>
      </c>
      <c r="F27" s="1022">
        <f t="shared" si="4"/>
        <v>0</v>
      </c>
      <c r="G27" s="183">
        <v>0</v>
      </c>
      <c r="H27" s="183">
        <v>0</v>
      </c>
      <c r="I27" s="183">
        <v>0</v>
      </c>
      <c r="J27" s="183">
        <v>0</v>
      </c>
      <c r="K27" s="1022">
        <v>0</v>
      </c>
      <c r="L27" s="1022">
        <v>0</v>
      </c>
      <c r="M27" s="184" t="e">
        <f t="shared" si="7"/>
        <v>#VALUE!</v>
      </c>
      <c r="O27" s="158"/>
    </row>
    <row r="28" spans="1:18" ht="18" customHeight="1">
      <c r="A28" s="186" t="s">
        <v>157</v>
      </c>
      <c r="B28" s="183">
        <v>0</v>
      </c>
      <c r="C28" s="183">
        <v>0</v>
      </c>
      <c r="D28" s="1022">
        <f t="shared" si="6"/>
        <v>0</v>
      </c>
      <c r="E28" s="183">
        <f t="shared" si="3"/>
        <v>0</v>
      </c>
      <c r="F28" s="1022">
        <f t="shared" si="4"/>
        <v>0</v>
      </c>
      <c r="G28" s="183">
        <v>0</v>
      </c>
      <c r="H28" s="183">
        <v>0</v>
      </c>
      <c r="I28" s="183">
        <v>0</v>
      </c>
      <c r="J28" s="183">
        <v>0</v>
      </c>
      <c r="K28" s="1022">
        <v>0</v>
      </c>
      <c r="L28" s="1022">
        <v>0</v>
      </c>
      <c r="M28" s="184" t="e">
        <f t="shared" si="7"/>
        <v>#VALUE!</v>
      </c>
    </row>
    <row r="29" spans="1:18" ht="18" customHeight="1">
      <c r="A29" s="186" t="s">
        <v>158</v>
      </c>
      <c r="B29" s="183">
        <v>0</v>
      </c>
      <c r="C29" s="183">
        <v>0</v>
      </c>
      <c r="D29" s="1022">
        <f t="shared" si="6"/>
        <v>0</v>
      </c>
      <c r="E29" s="183">
        <f t="shared" si="3"/>
        <v>0</v>
      </c>
      <c r="F29" s="1022">
        <f t="shared" si="4"/>
        <v>0</v>
      </c>
      <c r="G29" s="183">
        <v>0</v>
      </c>
      <c r="H29" s="183">
        <v>0</v>
      </c>
      <c r="I29" s="183">
        <v>0</v>
      </c>
      <c r="J29" s="183">
        <v>0</v>
      </c>
      <c r="K29" s="1022">
        <v>0</v>
      </c>
      <c r="L29" s="1022">
        <v>0</v>
      </c>
      <c r="M29" s="184" t="e">
        <f t="shared" si="7"/>
        <v>#VALUE!</v>
      </c>
    </row>
    <row r="30" spans="1:18" s="177" customFormat="1" ht="18" customHeight="1">
      <c r="A30" s="174" t="s">
        <v>159</v>
      </c>
      <c r="B30" s="172">
        <f>SUM(B31:B37)</f>
        <v>10000</v>
      </c>
      <c r="C30" s="172">
        <f>SUM(C31:C37)</f>
        <v>10000</v>
      </c>
      <c r="D30" s="172">
        <f>+C30</f>
        <v>10000</v>
      </c>
      <c r="E30" s="172">
        <f>+G30+H30+I30+J30</f>
        <v>71510.326986</v>
      </c>
      <c r="F30" s="172">
        <f t="shared" si="4"/>
        <v>71510.326986</v>
      </c>
      <c r="G30" s="172">
        <f>SUM(G31:G37)</f>
        <v>0</v>
      </c>
      <c r="H30" s="178">
        <f>SUM(H31:H37)</f>
        <v>71510.326986</v>
      </c>
      <c r="I30" s="183">
        <f>SUM(I31:I37)</f>
        <v>0</v>
      </c>
      <c r="J30" s="183">
        <f>SUM(J31:J37)</f>
        <v>0</v>
      </c>
      <c r="K30" s="918">
        <f t="shared" si="5"/>
        <v>715.10326985999995</v>
      </c>
      <c r="L30" s="172">
        <f t="shared" si="5"/>
        <v>715.10326985999995</v>
      </c>
      <c r="M30" s="189" t="e">
        <f t="shared" si="7"/>
        <v>#VALUE!</v>
      </c>
      <c r="N30" s="190"/>
      <c r="P30" s="180"/>
    </row>
    <row r="31" spans="1:18" ht="18" customHeight="1">
      <c r="A31" s="186" t="s">
        <v>225</v>
      </c>
      <c r="B31" s="182">
        <v>5450</v>
      </c>
      <c r="C31" s="182">
        <v>5450</v>
      </c>
      <c r="D31" s="1022">
        <f t="shared" ref="D31:D37" si="8">+C31</f>
        <v>5450</v>
      </c>
      <c r="E31" s="182">
        <f t="shared" si="3"/>
        <v>26602.593685</v>
      </c>
      <c r="F31" s="1022">
        <f t="shared" si="4"/>
        <v>26602.593685</v>
      </c>
      <c r="G31" s="183">
        <v>0</v>
      </c>
      <c r="H31" s="187">
        <v>26602.593685</v>
      </c>
      <c r="I31" s="183">
        <v>0</v>
      </c>
      <c r="J31" s="183">
        <v>0</v>
      </c>
      <c r="K31" s="1022">
        <f t="shared" si="5"/>
        <v>488.12098504587152</v>
      </c>
      <c r="L31" s="1022">
        <f t="shared" si="5"/>
        <v>488.12098504587152</v>
      </c>
      <c r="M31" s="184" t="e">
        <f t="shared" si="7"/>
        <v>#VALUE!</v>
      </c>
      <c r="P31" s="158"/>
    </row>
    <row r="32" spans="1:18" ht="18" customHeight="1">
      <c r="A32" s="186" t="s">
        <v>160</v>
      </c>
      <c r="B32" s="182">
        <v>4500</v>
      </c>
      <c r="C32" s="182">
        <v>4500</v>
      </c>
      <c r="D32" s="1022">
        <f t="shared" si="8"/>
        <v>4500</v>
      </c>
      <c r="E32" s="182">
        <f t="shared" si="3"/>
        <v>44900.533301000003</v>
      </c>
      <c r="F32" s="1022">
        <f t="shared" si="4"/>
        <v>44900.533301000003</v>
      </c>
      <c r="G32" s="183">
        <v>0</v>
      </c>
      <c r="H32" s="187">
        <v>44900.533301000003</v>
      </c>
      <c r="I32" s="183">
        <v>0</v>
      </c>
      <c r="J32" s="183">
        <v>0</v>
      </c>
      <c r="K32" s="1022">
        <f t="shared" si="5"/>
        <v>997.78962891111109</v>
      </c>
      <c r="L32" s="1022">
        <f t="shared" si="5"/>
        <v>997.78962891111109</v>
      </c>
      <c r="M32" s="191" t="e">
        <f t="shared" si="7"/>
        <v>#VALUE!</v>
      </c>
    </row>
    <row r="33" spans="1:16" ht="18" customHeight="1">
      <c r="A33" s="186" t="s">
        <v>924</v>
      </c>
      <c r="B33" s="183">
        <v>0</v>
      </c>
      <c r="C33" s="183">
        <v>0</v>
      </c>
      <c r="D33" s="1022">
        <f t="shared" si="8"/>
        <v>0</v>
      </c>
      <c r="E33" s="183">
        <v>0</v>
      </c>
      <c r="F33" s="1022">
        <f t="shared" si="4"/>
        <v>0</v>
      </c>
      <c r="G33" s="183">
        <v>0</v>
      </c>
      <c r="H33" s="183">
        <v>0</v>
      </c>
      <c r="I33" s="183">
        <v>0</v>
      </c>
      <c r="J33" s="183">
        <v>0</v>
      </c>
      <c r="K33" s="1022">
        <v>0</v>
      </c>
      <c r="L33" s="1022">
        <v>0</v>
      </c>
      <c r="M33" s="191"/>
    </row>
    <row r="34" spans="1:16" ht="18" customHeight="1">
      <c r="A34" s="186" t="s">
        <v>925</v>
      </c>
      <c r="B34" s="183">
        <v>0</v>
      </c>
      <c r="C34" s="183">
        <v>0</v>
      </c>
      <c r="D34" s="1022">
        <f t="shared" si="8"/>
        <v>0</v>
      </c>
      <c r="E34" s="183">
        <f t="shared" si="3"/>
        <v>0</v>
      </c>
      <c r="F34" s="1022">
        <f t="shared" si="4"/>
        <v>0</v>
      </c>
      <c r="G34" s="183">
        <v>0</v>
      </c>
      <c r="H34" s="183">
        <v>0</v>
      </c>
      <c r="I34" s="183">
        <v>0</v>
      </c>
      <c r="J34" s="183">
        <v>0</v>
      </c>
      <c r="K34" s="1022">
        <v>0</v>
      </c>
      <c r="L34" s="1022">
        <v>0</v>
      </c>
      <c r="M34" s="184" t="e">
        <f t="shared" si="7"/>
        <v>#VALUE!</v>
      </c>
      <c r="P34" s="158">
        <f>+C39+C40+C41+C42</f>
        <v>597640</v>
      </c>
    </row>
    <row r="35" spans="1:16" ht="18" customHeight="1">
      <c r="A35" s="186" t="s">
        <v>926</v>
      </c>
      <c r="B35" s="182">
        <v>50</v>
      </c>
      <c r="C35" s="182">
        <v>50</v>
      </c>
      <c r="D35" s="1022">
        <f t="shared" si="8"/>
        <v>50</v>
      </c>
      <c r="E35" s="183">
        <f t="shared" si="3"/>
        <v>0</v>
      </c>
      <c r="F35" s="1022">
        <f t="shared" si="4"/>
        <v>0</v>
      </c>
      <c r="G35" s="183">
        <v>0</v>
      </c>
      <c r="H35" s="183">
        <v>0</v>
      </c>
      <c r="I35" s="183">
        <v>0</v>
      </c>
      <c r="J35" s="183">
        <v>0</v>
      </c>
      <c r="K35" s="1022">
        <f t="shared" si="5"/>
        <v>0</v>
      </c>
      <c r="L35" s="1022">
        <f t="shared" si="5"/>
        <v>0</v>
      </c>
      <c r="M35" s="184" t="e">
        <f t="shared" si="7"/>
        <v>#VALUE!</v>
      </c>
    </row>
    <row r="36" spans="1:16" ht="18" customHeight="1">
      <c r="A36" s="186" t="s">
        <v>927</v>
      </c>
      <c r="B36" s="183">
        <v>0</v>
      </c>
      <c r="C36" s="183">
        <v>0</v>
      </c>
      <c r="D36" s="1022">
        <f t="shared" si="8"/>
        <v>0</v>
      </c>
      <c r="E36" s="182">
        <f t="shared" si="3"/>
        <v>7.2</v>
      </c>
      <c r="F36" s="1022">
        <f t="shared" si="4"/>
        <v>7.2</v>
      </c>
      <c r="G36" s="183">
        <v>0</v>
      </c>
      <c r="H36" s="187">
        <v>7.2</v>
      </c>
      <c r="I36" s="183">
        <v>0</v>
      </c>
      <c r="J36" s="183">
        <v>0</v>
      </c>
      <c r="K36" s="1022">
        <v>0</v>
      </c>
      <c r="L36" s="1022">
        <v>0</v>
      </c>
      <c r="M36" s="184"/>
      <c r="O36" s="158"/>
    </row>
    <row r="37" spans="1:16" ht="18" customHeight="1">
      <c r="A37" s="186" t="s">
        <v>928</v>
      </c>
      <c r="B37" s="183">
        <v>0</v>
      </c>
      <c r="C37" s="183">
        <v>0</v>
      </c>
      <c r="D37" s="1022">
        <f t="shared" si="8"/>
        <v>0</v>
      </c>
      <c r="E37" s="183">
        <f t="shared" si="3"/>
        <v>0</v>
      </c>
      <c r="F37" s="1022">
        <f t="shared" si="4"/>
        <v>0</v>
      </c>
      <c r="G37" s="183">
        <v>0</v>
      </c>
      <c r="H37" s="183">
        <v>0</v>
      </c>
      <c r="I37" s="183">
        <v>0</v>
      </c>
      <c r="J37" s="183">
        <v>0</v>
      </c>
      <c r="K37" s="1022">
        <v>0</v>
      </c>
      <c r="L37" s="1022">
        <v>0</v>
      </c>
      <c r="M37" s="184" t="e">
        <f>E37/"#REF!*100"</f>
        <v>#VALUE!</v>
      </c>
    </row>
    <row r="38" spans="1:16" s="177" customFormat="1" ht="18" customHeight="1">
      <c r="A38" s="174" t="s">
        <v>161</v>
      </c>
      <c r="B38" s="172">
        <f>SUM(B39:B44)</f>
        <v>601000</v>
      </c>
      <c r="C38" s="172">
        <f>SUM(C39:C44)</f>
        <v>601000</v>
      </c>
      <c r="D38" s="172">
        <f>SUM(D39:D44)</f>
        <v>596640</v>
      </c>
      <c r="E38" s="172">
        <f t="shared" si="3"/>
        <v>556933.40420400002</v>
      </c>
      <c r="F38" s="172">
        <f t="shared" si="4"/>
        <v>556474.66227199999</v>
      </c>
      <c r="G38" s="172">
        <f>SUM(G39:G44)</f>
        <v>458.74193200000002</v>
      </c>
      <c r="H38" s="178">
        <f>SUM(H39:H44)</f>
        <v>261997.204692</v>
      </c>
      <c r="I38" s="172">
        <f>SUM(I39:I44)</f>
        <v>294477.45757999999</v>
      </c>
      <c r="J38" s="183">
        <f>SUM(J39:J44)</f>
        <v>0</v>
      </c>
      <c r="K38" s="918">
        <f t="shared" si="5"/>
        <v>92.667787721131461</v>
      </c>
      <c r="L38" s="172">
        <f t="shared" si="5"/>
        <v>93.268078283722176</v>
      </c>
      <c r="M38" s="175" t="e">
        <f>E38/"#REF!*100"</f>
        <v>#VALUE!</v>
      </c>
      <c r="N38" s="177">
        <v>543050.16736399999</v>
      </c>
      <c r="O38" s="177" t="s">
        <v>162</v>
      </c>
    </row>
    <row r="39" spans="1:16" ht="18" customHeight="1">
      <c r="A39" s="186" t="s">
        <v>921</v>
      </c>
      <c r="B39" s="182">
        <v>471700</v>
      </c>
      <c r="C39" s="182">
        <v>482410</v>
      </c>
      <c r="D39" s="182">
        <f>+C39-1000</f>
        <v>481410</v>
      </c>
      <c r="E39" s="182">
        <f>+G39+H39+I39+J39</f>
        <v>362517.98718499998</v>
      </c>
      <c r="F39" s="1022">
        <f t="shared" si="4"/>
        <v>362517.98718499998</v>
      </c>
      <c r="G39" s="182">
        <v>0</v>
      </c>
      <c r="H39" s="187">
        <v>118928.622932</v>
      </c>
      <c r="I39" s="182">
        <v>243589.36425300001</v>
      </c>
      <c r="J39" s="183">
        <v>0</v>
      </c>
      <c r="K39" s="1022">
        <f t="shared" si="5"/>
        <v>75.147278701726734</v>
      </c>
      <c r="L39" s="1022">
        <f t="shared" si="5"/>
        <v>75.303376993622891</v>
      </c>
      <c r="M39" s="184" t="e">
        <f>E39/"#REF!*100"</f>
        <v>#VALUE!</v>
      </c>
      <c r="N39" s="158">
        <f>+E38-N38</f>
        <v>13883.236840000027</v>
      </c>
      <c r="P39" s="158">
        <f>+B39+B40+B41</f>
        <v>596500</v>
      </c>
    </row>
    <row r="40" spans="1:16" ht="18" customHeight="1">
      <c r="A40" s="186" t="s">
        <v>922</v>
      </c>
      <c r="B40" s="182">
        <v>123000</v>
      </c>
      <c r="C40" s="182">
        <v>109150</v>
      </c>
      <c r="D40" s="182">
        <f t="shared" ref="D40:D42" si="9">+C40</f>
        <v>109150</v>
      </c>
      <c r="E40" s="182">
        <f t="shared" si="3"/>
        <v>184195.147069</v>
      </c>
      <c r="F40" s="1022">
        <f t="shared" si="4"/>
        <v>184195.147069</v>
      </c>
      <c r="G40" s="182">
        <v>0</v>
      </c>
      <c r="H40" s="187">
        <v>133307.05374199999</v>
      </c>
      <c r="I40" s="182">
        <v>50888.093327000002</v>
      </c>
      <c r="J40" s="183">
        <v>0</v>
      </c>
      <c r="K40" s="1022">
        <f t="shared" si="5"/>
        <v>168.75414298579935</v>
      </c>
      <c r="L40" s="1022">
        <f t="shared" si="5"/>
        <v>168.75414298579935</v>
      </c>
      <c r="M40" s="184" t="e">
        <f>E40/"#REF!*100"</f>
        <v>#VALUE!</v>
      </c>
      <c r="P40" s="158">
        <f>+C39+C40+C41+C44</f>
        <v>596545</v>
      </c>
    </row>
    <row r="41" spans="1:16" ht="18" customHeight="1">
      <c r="A41" s="186" t="s">
        <v>923</v>
      </c>
      <c r="B41" s="182">
        <v>1800</v>
      </c>
      <c r="C41" s="182">
        <v>1625</v>
      </c>
      <c r="D41" s="182">
        <f t="shared" si="9"/>
        <v>1625</v>
      </c>
      <c r="E41" s="182">
        <f t="shared" si="3"/>
        <v>1709.2983829999998</v>
      </c>
      <c r="F41" s="1022">
        <f t="shared" si="4"/>
        <v>1250.5564509999999</v>
      </c>
      <c r="G41" s="183">
        <v>458.74193200000002</v>
      </c>
      <c r="H41" s="187">
        <v>1250.5564509999999</v>
      </c>
      <c r="I41" s="183">
        <v>0</v>
      </c>
      <c r="J41" s="183">
        <v>0</v>
      </c>
      <c r="K41" s="1022">
        <f t="shared" si="5"/>
        <v>105.18759279999999</v>
      </c>
      <c r="L41" s="1022">
        <f t="shared" si="5"/>
        <v>76.957320061538454</v>
      </c>
      <c r="M41" s="184" t="e">
        <f>E41/"#REF!*100"</f>
        <v>#VALUE!</v>
      </c>
    </row>
    <row r="42" spans="1:16" ht="18" customHeight="1">
      <c r="A42" s="186" t="s">
        <v>163</v>
      </c>
      <c r="B42" s="182">
        <v>4500</v>
      </c>
      <c r="C42" s="182">
        <v>4455</v>
      </c>
      <c r="D42" s="182">
        <f t="shared" si="9"/>
        <v>4455</v>
      </c>
      <c r="E42" s="182">
        <f t="shared" si="3"/>
        <v>8510.9715670000005</v>
      </c>
      <c r="F42" s="1022">
        <f t="shared" si="4"/>
        <v>8510.9715670000005</v>
      </c>
      <c r="G42" s="183">
        <v>0</v>
      </c>
      <c r="H42" s="187">
        <v>8510.9715670000005</v>
      </c>
      <c r="I42" s="183">
        <v>0</v>
      </c>
      <c r="J42" s="183">
        <v>0</v>
      </c>
      <c r="K42" s="1022">
        <f t="shared" si="5"/>
        <v>191.0431328170595</v>
      </c>
      <c r="L42" s="1022">
        <f t="shared" si="5"/>
        <v>191.0431328170595</v>
      </c>
      <c r="M42" s="184"/>
    </row>
    <row r="43" spans="1:16" ht="18" customHeight="1">
      <c r="A43" s="186" t="s">
        <v>164</v>
      </c>
      <c r="B43" s="183">
        <v>0</v>
      </c>
      <c r="C43" s="183">
        <v>0</v>
      </c>
      <c r="D43" s="183"/>
      <c r="E43" s="183">
        <f t="shared" si="3"/>
        <v>0</v>
      </c>
      <c r="F43" s="1022">
        <f t="shared" si="4"/>
        <v>0</v>
      </c>
      <c r="G43" s="183">
        <v>0</v>
      </c>
      <c r="H43" s="183">
        <v>0</v>
      </c>
      <c r="I43" s="183">
        <v>0</v>
      </c>
      <c r="J43" s="183">
        <v>0</v>
      </c>
      <c r="K43" s="1022">
        <v>0</v>
      </c>
      <c r="L43" s="1022">
        <v>0</v>
      </c>
      <c r="M43" s="184" t="e">
        <f>E43/"#REF!*100"</f>
        <v>#VALUE!</v>
      </c>
    </row>
    <row r="44" spans="1:16" ht="18" customHeight="1">
      <c r="A44" s="186" t="s">
        <v>165</v>
      </c>
      <c r="B44" s="183">
        <v>0</v>
      </c>
      <c r="C44" s="182">
        <v>3360</v>
      </c>
      <c r="D44" s="182"/>
      <c r="E44" s="183">
        <f t="shared" si="3"/>
        <v>0</v>
      </c>
      <c r="F44" s="1022">
        <f t="shared" si="4"/>
        <v>0</v>
      </c>
      <c r="G44" s="183">
        <v>0</v>
      </c>
      <c r="H44" s="183">
        <v>0</v>
      </c>
      <c r="I44" s="183">
        <v>0</v>
      </c>
      <c r="J44" s="183">
        <v>0</v>
      </c>
      <c r="K44" s="1022">
        <f t="shared" si="5"/>
        <v>0</v>
      </c>
      <c r="L44" s="1022">
        <v>0</v>
      </c>
      <c r="M44" s="184" t="e">
        <f>E44/"#REF!*100"</f>
        <v>#VALUE!</v>
      </c>
    </row>
    <row r="45" spans="1:16" s="177" customFormat="1" ht="18" customHeight="1">
      <c r="A45" s="174" t="s">
        <v>166</v>
      </c>
      <c r="B45" s="172">
        <v>160000</v>
      </c>
      <c r="C45" s="172">
        <v>150000</v>
      </c>
      <c r="D45" s="172">
        <f>+C45</f>
        <v>150000</v>
      </c>
      <c r="E45" s="172">
        <f t="shared" si="3"/>
        <v>150901.529974</v>
      </c>
      <c r="F45" s="172">
        <f t="shared" si="4"/>
        <v>150901.529974</v>
      </c>
      <c r="G45" s="183">
        <v>0</v>
      </c>
      <c r="H45" s="183">
        <v>0</v>
      </c>
      <c r="I45" s="172">
        <v>132842.06804700001</v>
      </c>
      <c r="J45" s="172">
        <v>18059.461927</v>
      </c>
      <c r="K45" s="918">
        <f t="shared" si="5"/>
        <v>100.60101998266666</v>
      </c>
      <c r="L45" s="172">
        <f t="shared" si="5"/>
        <v>100.60101998266666</v>
      </c>
      <c r="M45" s="175"/>
      <c r="O45" s="180"/>
    </row>
    <row r="46" spans="1:16" s="177" customFormat="1" ht="18" customHeight="1">
      <c r="A46" s="174" t="s">
        <v>167</v>
      </c>
      <c r="B46" s="172">
        <v>7000</v>
      </c>
      <c r="C46" s="172">
        <v>7000</v>
      </c>
      <c r="D46" s="172">
        <f t="shared" ref="D46:D48" si="10">+C46</f>
        <v>7000</v>
      </c>
      <c r="E46" s="172">
        <f t="shared" si="3"/>
        <v>1730.911349</v>
      </c>
      <c r="F46" s="172">
        <f t="shared" si="4"/>
        <v>1730.911349</v>
      </c>
      <c r="G46" s="183">
        <v>0</v>
      </c>
      <c r="H46" s="178">
        <v>105.08002500000001</v>
      </c>
      <c r="I46" s="172">
        <v>1195.704158</v>
      </c>
      <c r="J46" s="172">
        <v>430.12716599999999</v>
      </c>
      <c r="K46" s="918">
        <f t="shared" si="5"/>
        <v>24.727304985714284</v>
      </c>
      <c r="L46" s="172">
        <f t="shared" si="5"/>
        <v>24.727304985714284</v>
      </c>
      <c r="M46" s="175" t="e">
        <f>E46/"#REF!*100"</f>
        <v>#VALUE!</v>
      </c>
      <c r="N46" s="190">
        <v>10220.554547</v>
      </c>
      <c r="O46" s="180">
        <f>+N46-E46</f>
        <v>8489.6431979999998</v>
      </c>
    </row>
    <row r="47" spans="1:16" s="177" customFormat="1" ht="18" customHeight="1">
      <c r="A47" s="174" t="s">
        <v>168</v>
      </c>
      <c r="B47" s="172">
        <v>3000</v>
      </c>
      <c r="C47" s="172">
        <v>3000</v>
      </c>
      <c r="D47" s="172">
        <f t="shared" si="10"/>
        <v>3000</v>
      </c>
      <c r="E47" s="172">
        <f t="shared" si="3"/>
        <v>5392.989818</v>
      </c>
      <c r="F47" s="172">
        <f t="shared" si="4"/>
        <v>5392.989818</v>
      </c>
      <c r="G47" s="183">
        <v>0</v>
      </c>
      <c r="H47" s="183">
        <v>0</v>
      </c>
      <c r="I47" s="172">
        <v>8.9236909999999998</v>
      </c>
      <c r="J47" s="172">
        <v>5384.0661270000001</v>
      </c>
      <c r="K47" s="918">
        <f t="shared" si="5"/>
        <v>179.76632726666665</v>
      </c>
      <c r="L47" s="172">
        <f t="shared" si="5"/>
        <v>179.76632726666665</v>
      </c>
      <c r="M47" s="175"/>
      <c r="N47" s="190"/>
    </row>
    <row r="48" spans="1:16" s="177" customFormat="1" ht="18" customHeight="1">
      <c r="A48" s="174" t="s">
        <v>169</v>
      </c>
      <c r="B48" s="172">
        <v>310000</v>
      </c>
      <c r="C48" s="172">
        <v>310000</v>
      </c>
      <c r="D48" s="172">
        <f t="shared" si="10"/>
        <v>310000</v>
      </c>
      <c r="E48" s="172">
        <f t="shared" si="3"/>
        <v>311532.13652399997</v>
      </c>
      <c r="F48" s="172">
        <f t="shared" si="4"/>
        <v>311532.13652399997</v>
      </c>
      <c r="G48" s="183">
        <v>0</v>
      </c>
      <c r="H48" s="172">
        <v>311532.13652399997</v>
      </c>
      <c r="I48" s="183">
        <v>0</v>
      </c>
      <c r="J48" s="183">
        <v>0</v>
      </c>
      <c r="K48" s="918">
        <f t="shared" si="5"/>
        <v>100.49423758838709</v>
      </c>
      <c r="L48" s="172">
        <f t="shared" si="5"/>
        <v>100.49423758838709</v>
      </c>
      <c r="M48" s="175" t="e">
        <f>E48/"#REF!*100"</f>
        <v>#VALUE!</v>
      </c>
    </row>
    <row r="49" spans="1:14" s="177" customFormat="1" ht="18" customHeight="1">
      <c r="A49" s="192" t="s">
        <v>170</v>
      </c>
      <c r="B49" s="172">
        <v>320000</v>
      </c>
      <c r="C49" s="172">
        <v>320000</v>
      </c>
      <c r="D49" s="172">
        <v>127760</v>
      </c>
      <c r="E49" s="172">
        <f t="shared" si="3"/>
        <v>400508.77685800003</v>
      </c>
      <c r="F49" s="172">
        <f t="shared" si="4"/>
        <v>148989.24735300001</v>
      </c>
      <c r="G49" s="172">
        <v>251519.52950500001</v>
      </c>
      <c r="H49" s="178">
        <v>148989.24735300001</v>
      </c>
      <c r="I49" s="183">
        <v>0</v>
      </c>
      <c r="J49" s="183">
        <v>0</v>
      </c>
      <c r="K49" s="918">
        <f t="shared" si="5"/>
        <v>125.15899276812502</v>
      </c>
      <c r="L49" s="172">
        <f t="shared" si="5"/>
        <v>116.61650544223545</v>
      </c>
      <c r="M49" s="175"/>
    </row>
    <row r="50" spans="1:14" s="177" customFormat="1" ht="18" customHeight="1">
      <c r="A50" s="174" t="s">
        <v>171</v>
      </c>
      <c r="B50" s="172">
        <f>+B51+B52</f>
        <v>65000</v>
      </c>
      <c r="C50" s="172">
        <v>75000</v>
      </c>
      <c r="D50" s="172">
        <f>+D52</f>
        <v>59000</v>
      </c>
      <c r="E50" s="172">
        <f t="shared" si="3"/>
        <v>84442.454005999985</v>
      </c>
      <c r="F50" s="172">
        <f t="shared" si="4"/>
        <v>62779.633491999994</v>
      </c>
      <c r="G50" s="172">
        <f>+G51+G52</f>
        <v>21662.820513999999</v>
      </c>
      <c r="H50" s="178">
        <f>+H51+H52</f>
        <v>31158.494369999997</v>
      </c>
      <c r="I50" s="172">
        <f>+I51+I52</f>
        <v>12022.111008</v>
      </c>
      <c r="J50" s="172">
        <f>+J51+J52</f>
        <v>19599.028114000001</v>
      </c>
      <c r="K50" s="918">
        <f t="shared" si="5"/>
        <v>112.58993867466664</v>
      </c>
      <c r="L50" s="172">
        <f t="shared" si="5"/>
        <v>106.40615846101693</v>
      </c>
      <c r="M50" s="175" t="e">
        <f>E50/"#REF!*100"</f>
        <v>#VALUE!</v>
      </c>
      <c r="N50" s="180">
        <v>84442.454006</v>
      </c>
    </row>
    <row r="51" spans="1:14" s="1129" customFormat="1" ht="18" customHeight="1">
      <c r="A51" s="1124" t="s">
        <v>172</v>
      </c>
      <c r="B51" s="1022">
        <v>16000</v>
      </c>
      <c r="C51" s="1125">
        <v>16000</v>
      </c>
      <c r="D51" s="1125"/>
      <c r="E51" s="1022">
        <f t="shared" si="3"/>
        <v>21877.146172999997</v>
      </c>
      <c r="F51" s="1022">
        <f t="shared" si="4"/>
        <v>214.325659</v>
      </c>
      <c r="G51" s="1022">
        <v>21662.820513999999</v>
      </c>
      <c r="H51" s="1126">
        <v>214.325659</v>
      </c>
      <c r="I51" s="1125">
        <v>0</v>
      </c>
      <c r="J51" s="1125">
        <v>0</v>
      </c>
      <c r="K51" s="1022">
        <f t="shared" si="5"/>
        <v>136.73216358124998</v>
      </c>
      <c r="L51" s="1022">
        <v>0</v>
      </c>
      <c r="M51" s="1127" t="e">
        <f>E51/"#REF!*100"</f>
        <v>#VALUE!</v>
      </c>
      <c r="N51" s="1128">
        <f>+N50-E50</f>
        <v>0</v>
      </c>
    </row>
    <row r="52" spans="1:14" s="1129" customFormat="1" ht="18" customHeight="1">
      <c r="A52" s="1124" t="s">
        <v>173</v>
      </c>
      <c r="B52" s="1022">
        <v>49000</v>
      </c>
      <c r="C52" s="1125">
        <v>59000</v>
      </c>
      <c r="D52" s="1125">
        <f>+C52</f>
        <v>59000</v>
      </c>
      <c r="E52" s="1022">
        <f t="shared" si="3"/>
        <v>62565.307832999999</v>
      </c>
      <c r="F52" s="1022">
        <f t="shared" si="4"/>
        <v>62565.307832999999</v>
      </c>
      <c r="G52" s="1125">
        <v>0</v>
      </c>
      <c r="H52" s="1126">
        <v>30944.168710999998</v>
      </c>
      <c r="I52" s="1022">
        <v>12022.111008</v>
      </c>
      <c r="J52" s="1022">
        <f>9410.941742+10188.086372</f>
        <v>19599.028114000001</v>
      </c>
      <c r="K52" s="1022">
        <f t="shared" si="5"/>
        <v>106.04289463220337</v>
      </c>
      <c r="L52" s="1022">
        <f t="shared" si="5"/>
        <v>106.04289463220337</v>
      </c>
      <c r="M52" s="1127" t="e">
        <f>E52/"#REF!*100"</f>
        <v>#VALUE!</v>
      </c>
      <c r="N52" s="1128"/>
    </row>
    <row r="53" spans="1:14" s="177" customFormat="1" ht="18" customHeight="1">
      <c r="A53" s="174" t="s">
        <v>174</v>
      </c>
      <c r="B53" s="172">
        <v>150000</v>
      </c>
      <c r="C53" s="172">
        <v>310000</v>
      </c>
      <c r="D53" s="172">
        <f>+C53</f>
        <v>310000</v>
      </c>
      <c r="E53" s="172">
        <f t="shared" si="3"/>
        <v>323196.48060300003</v>
      </c>
      <c r="F53" s="172">
        <f t="shared" si="4"/>
        <v>323196.48060300003</v>
      </c>
      <c r="G53" s="183">
        <v>0</v>
      </c>
      <c r="H53" s="178">
        <v>135292.369145</v>
      </c>
      <c r="I53" s="172">
        <v>187904.111458</v>
      </c>
      <c r="J53" s="172"/>
      <c r="K53" s="918">
        <f t="shared" si="5"/>
        <v>104.2569292267742</v>
      </c>
      <c r="L53" s="172">
        <f t="shared" si="5"/>
        <v>104.2569292267742</v>
      </c>
      <c r="M53" s="175"/>
      <c r="N53" s="180"/>
    </row>
    <row r="54" spans="1:14" s="177" customFormat="1" ht="18" customHeight="1">
      <c r="A54" s="174" t="s">
        <v>175</v>
      </c>
      <c r="B54" s="172">
        <v>20000</v>
      </c>
      <c r="C54" s="172">
        <v>20000</v>
      </c>
      <c r="D54" s="172">
        <f>+C54</f>
        <v>20000</v>
      </c>
      <c r="E54" s="172">
        <f t="shared" si="3"/>
        <v>103962.54725799999</v>
      </c>
      <c r="F54" s="172">
        <f t="shared" si="4"/>
        <v>103962.54725799999</v>
      </c>
      <c r="G54" s="183">
        <v>0</v>
      </c>
      <c r="H54" s="178">
        <v>103528.94525999999</v>
      </c>
      <c r="I54" s="172">
        <v>430.96199799999999</v>
      </c>
      <c r="J54" s="172">
        <v>2.64</v>
      </c>
      <c r="K54" s="918">
        <f t="shared" si="5"/>
        <v>519.81273628999998</v>
      </c>
      <c r="L54" s="172">
        <f t="shared" si="5"/>
        <v>519.81273628999998</v>
      </c>
      <c r="M54" s="175"/>
      <c r="N54" s="180"/>
    </row>
    <row r="55" spans="1:14" s="177" customFormat="1" ht="18" customHeight="1">
      <c r="A55" s="174" t="s">
        <v>930</v>
      </c>
      <c r="B55" s="183">
        <v>0</v>
      </c>
      <c r="C55" s="183">
        <v>0</v>
      </c>
      <c r="D55" s="183">
        <v>0</v>
      </c>
      <c r="E55" s="183">
        <f>+G55+H55+I55+J55</f>
        <v>0</v>
      </c>
      <c r="F55" s="172">
        <f t="shared" si="4"/>
        <v>0</v>
      </c>
      <c r="G55" s="183">
        <v>0</v>
      </c>
      <c r="H55" s="183">
        <v>0</v>
      </c>
      <c r="I55" s="183">
        <v>0</v>
      </c>
      <c r="J55" s="183">
        <v>0</v>
      </c>
      <c r="K55" s="1022">
        <v>0</v>
      </c>
      <c r="L55" s="1022">
        <v>0</v>
      </c>
      <c r="M55" s="175"/>
      <c r="N55" s="180"/>
    </row>
    <row r="56" spans="1:14" s="177" customFormat="1" ht="18" customHeight="1">
      <c r="A56" s="174" t="s">
        <v>931</v>
      </c>
      <c r="B56" s="183">
        <v>0</v>
      </c>
      <c r="C56" s="183">
        <v>0</v>
      </c>
      <c r="D56" s="183">
        <v>0</v>
      </c>
      <c r="E56" s="183">
        <f>+G56+H56+I56+J56</f>
        <v>0</v>
      </c>
      <c r="F56" s="172">
        <f t="shared" si="4"/>
        <v>0</v>
      </c>
      <c r="G56" s="183">
        <v>0</v>
      </c>
      <c r="H56" s="183">
        <v>0</v>
      </c>
      <c r="I56" s="183">
        <v>0</v>
      </c>
      <c r="J56" s="183">
        <v>0</v>
      </c>
      <c r="K56" s="1022">
        <v>0</v>
      </c>
      <c r="L56" s="1022">
        <v>0</v>
      </c>
      <c r="M56" s="175"/>
      <c r="N56" s="180"/>
    </row>
    <row r="57" spans="1:14" s="177" customFormat="1" ht="18" customHeight="1">
      <c r="A57" s="174" t="s">
        <v>932</v>
      </c>
      <c r="B57" s="183">
        <v>0</v>
      </c>
      <c r="C57" s="183">
        <v>0</v>
      </c>
      <c r="D57" s="183">
        <v>0</v>
      </c>
      <c r="E57" s="183">
        <f>+G57+H57+I57+J57</f>
        <v>0</v>
      </c>
      <c r="F57" s="172">
        <f t="shared" si="4"/>
        <v>0</v>
      </c>
      <c r="G57" s="183">
        <v>0</v>
      </c>
      <c r="H57" s="183">
        <v>0</v>
      </c>
      <c r="I57" s="183">
        <v>0</v>
      </c>
      <c r="J57" s="183">
        <v>0</v>
      </c>
      <c r="K57" s="1022">
        <v>0</v>
      </c>
      <c r="L57" s="1022">
        <v>0</v>
      </c>
      <c r="M57" s="175"/>
      <c r="N57" s="180"/>
    </row>
    <row r="58" spans="1:14" s="177" customFormat="1" ht="30.75" customHeight="1">
      <c r="A58" s="193" t="s">
        <v>933</v>
      </c>
      <c r="B58" s="183">
        <v>0</v>
      </c>
      <c r="C58" s="183">
        <v>0</v>
      </c>
      <c r="D58" s="183">
        <v>0</v>
      </c>
      <c r="E58" s="172">
        <f t="shared" si="3"/>
        <v>5867.3799369999997</v>
      </c>
      <c r="F58" s="172">
        <f t="shared" si="4"/>
        <v>5867.3799369999997</v>
      </c>
      <c r="G58" s="183">
        <v>0</v>
      </c>
      <c r="H58" s="178">
        <v>5867.3799369999997</v>
      </c>
      <c r="I58" s="183">
        <v>0</v>
      </c>
      <c r="J58" s="183">
        <v>0</v>
      </c>
      <c r="K58" s="918">
        <v>0</v>
      </c>
      <c r="L58" s="1022">
        <v>0</v>
      </c>
      <c r="M58" s="175"/>
      <c r="N58" s="180"/>
    </row>
    <row r="59" spans="1:14" s="177" customFormat="1" ht="20.25" customHeight="1">
      <c r="A59" s="193" t="s">
        <v>934</v>
      </c>
      <c r="B59" s="172">
        <v>152000</v>
      </c>
      <c r="C59" s="172">
        <f>152000</f>
        <v>152000</v>
      </c>
      <c r="D59" s="172">
        <v>95600</v>
      </c>
      <c r="E59" s="172">
        <f t="shared" si="3"/>
        <v>166853.37051400001</v>
      </c>
      <c r="F59" s="172">
        <f t="shared" si="4"/>
        <v>111531.50270499999</v>
      </c>
      <c r="G59" s="172">
        <v>55321.867809000003</v>
      </c>
      <c r="H59" s="178">
        <v>60417.985012999998</v>
      </c>
      <c r="I59" s="172">
        <v>23541.922451999999</v>
      </c>
      <c r="J59" s="172">
        <v>27571.595239999999</v>
      </c>
      <c r="K59" s="918">
        <f t="shared" si="5"/>
        <v>109.77195428552633</v>
      </c>
      <c r="L59" s="172">
        <f t="shared" si="5"/>
        <v>116.66475178347279</v>
      </c>
      <c r="M59" s="175"/>
      <c r="N59" s="180">
        <v>24230.874657</v>
      </c>
    </row>
    <row r="60" spans="1:14" s="177" customFormat="1" ht="20.25" customHeight="1">
      <c r="A60" s="193" t="s">
        <v>935</v>
      </c>
      <c r="B60" s="183">
        <v>0</v>
      </c>
      <c r="C60" s="183">
        <v>0</v>
      </c>
      <c r="D60" s="183">
        <v>0</v>
      </c>
      <c r="E60" s="172">
        <f t="shared" si="3"/>
        <v>1909.098751</v>
      </c>
      <c r="F60" s="172">
        <f t="shared" si="4"/>
        <v>1909.098751</v>
      </c>
      <c r="G60" s="183">
        <v>0</v>
      </c>
      <c r="H60" s="178">
        <v>1909.098751</v>
      </c>
      <c r="I60" s="183">
        <v>0</v>
      </c>
      <c r="J60" s="183">
        <v>0</v>
      </c>
      <c r="K60" s="918">
        <v>0</v>
      </c>
      <c r="L60" s="1022">
        <v>0</v>
      </c>
      <c r="M60" s="175"/>
      <c r="N60" s="180"/>
    </row>
    <row r="61" spans="1:14" s="177" customFormat="1" ht="29.25">
      <c r="A61" s="193" t="s">
        <v>936</v>
      </c>
      <c r="B61" s="172">
        <v>27000</v>
      </c>
      <c r="C61" s="172">
        <v>0</v>
      </c>
      <c r="D61" s="172">
        <v>0</v>
      </c>
      <c r="E61" s="172">
        <f t="shared" si="3"/>
        <v>2316.415563</v>
      </c>
      <c r="F61" s="172">
        <f t="shared" si="4"/>
        <v>2316.415563</v>
      </c>
      <c r="G61" s="183">
        <v>0</v>
      </c>
      <c r="H61" s="178">
        <v>1061.1065630000001</v>
      </c>
      <c r="I61" s="183">
        <v>0</v>
      </c>
      <c r="J61" s="172">
        <v>1255.309</v>
      </c>
      <c r="K61" s="918">
        <v>0</v>
      </c>
      <c r="L61" s="1022">
        <v>0</v>
      </c>
      <c r="M61" s="175"/>
      <c r="N61" s="180"/>
    </row>
    <row r="62" spans="1:14" s="177" customFormat="1">
      <c r="A62" s="193" t="s">
        <v>937</v>
      </c>
      <c r="B62" s="172">
        <v>30000</v>
      </c>
      <c r="C62" s="172">
        <v>30000</v>
      </c>
      <c r="D62" s="172">
        <f>+C62</f>
        <v>30000</v>
      </c>
      <c r="E62" s="172">
        <f t="shared" si="3"/>
        <v>18258.358273999998</v>
      </c>
      <c r="F62" s="172">
        <f t="shared" si="4"/>
        <v>18258.358273999998</v>
      </c>
      <c r="G62" s="183">
        <v>0</v>
      </c>
      <c r="H62" s="178">
        <v>18258.358273999998</v>
      </c>
      <c r="I62" s="183">
        <v>0</v>
      </c>
      <c r="J62" s="172">
        <v>0</v>
      </c>
      <c r="K62" s="918">
        <f t="shared" si="5"/>
        <v>60.861194246666663</v>
      </c>
      <c r="L62" s="172">
        <f t="shared" si="5"/>
        <v>60.861194246666663</v>
      </c>
      <c r="M62" s="175"/>
      <c r="N62" s="180"/>
    </row>
    <row r="63" spans="1:14" s="177" customFormat="1">
      <c r="A63" s="193" t="s">
        <v>938</v>
      </c>
      <c r="B63" s="172">
        <v>830000</v>
      </c>
      <c r="C63" s="172">
        <v>830000</v>
      </c>
      <c r="D63" s="172">
        <f t="shared" ref="D63:D77" si="11">+C63</f>
        <v>830000</v>
      </c>
      <c r="E63" s="172">
        <f t="shared" si="3"/>
        <v>850524.54294399999</v>
      </c>
      <c r="F63" s="172">
        <f t="shared" si="4"/>
        <v>850524.54294399999</v>
      </c>
      <c r="G63" s="183">
        <v>0</v>
      </c>
      <c r="H63" s="178">
        <v>850524.54294399999</v>
      </c>
      <c r="I63" s="183">
        <v>0</v>
      </c>
      <c r="J63" s="183">
        <v>0</v>
      </c>
      <c r="K63" s="918">
        <f t="shared" si="5"/>
        <v>102.47283649927709</v>
      </c>
      <c r="L63" s="172">
        <f t="shared" si="5"/>
        <v>102.47283649927709</v>
      </c>
      <c r="M63" s="175"/>
      <c r="N63" s="180" t="s">
        <v>493</v>
      </c>
    </row>
    <row r="64" spans="1:14" s="494" customFormat="1" ht="18" hidden="1" customHeight="1">
      <c r="A64" s="489" t="s">
        <v>176</v>
      </c>
      <c r="B64" s="490">
        <f>B65+B66+B67+B69</f>
        <v>0</v>
      </c>
      <c r="C64" s="490">
        <v>0</v>
      </c>
      <c r="D64" s="172">
        <f t="shared" si="11"/>
        <v>0</v>
      </c>
      <c r="E64" s="490">
        <f t="shared" si="3"/>
        <v>0</v>
      </c>
      <c r="F64" s="172">
        <f t="shared" si="4"/>
        <v>0</v>
      </c>
      <c r="G64" s="183">
        <f>SUM(G65:G69)-G68</f>
        <v>0</v>
      </c>
      <c r="H64" s="491">
        <f>SUM(H65:H69)-H68</f>
        <v>0</v>
      </c>
      <c r="I64" s="183">
        <f>SUM(I65:I69)-I68</f>
        <v>0</v>
      </c>
      <c r="J64" s="183">
        <f>J65+J66+J67+J69</f>
        <v>0</v>
      </c>
      <c r="K64" s="918" t="e">
        <f t="shared" si="5"/>
        <v>#DIV/0!</v>
      </c>
      <c r="L64" s="172" t="e">
        <f t="shared" si="5"/>
        <v>#DIV/0!</v>
      </c>
      <c r="M64" s="493" t="e">
        <f>E64/"#REF!*100"</f>
        <v>#VALUE!</v>
      </c>
    </row>
    <row r="65" spans="1:14" s="441" customFormat="1" ht="18" hidden="1" customHeight="1">
      <c r="A65" s="495" t="s">
        <v>177</v>
      </c>
      <c r="B65" s="496">
        <v>0</v>
      </c>
      <c r="C65" s="496">
        <v>0</v>
      </c>
      <c r="D65" s="172">
        <f t="shared" si="11"/>
        <v>0</v>
      </c>
      <c r="E65" s="492">
        <f t="shared" si="3"/>
        <v>0</v>
      </c>
      <c r="F65" s="172">
        <f t="shared" si="4"/>
        <v>0</v>
      </c>
      <c r="G65" s="183">
        <v>0</v>
      </c>
      <c r="H65" s="496">
        <v>0</v>
      </c>
      <c r="I65" s="183">
        <v>0</v>
      </c>
      <c r="J65" s="183"/>
      <c r="K65" s="918" t="e">
        <f t="shared" si="5"/>
        <v>#DIV/0!</v>
      </c>
      <c r="L65" s="172" t="e">
        <f t="shared" si="5"/>
        <v>#DIV/0!</v>
      </c>
      <c r="M65" s="497" t="e">
        <f>E65/"#REF!*100"</f>
        <v>#VALUE!</v>
      </c>
    </row>
    <row r="66" spans="1:14" s="441" customFormat="1" ht="18" hidden="1" customHeight="1">
      <c r="A66" s="495" t="s">
        <v>178</v>
      </c>
      <c r="B66" s="496">
        <v>0</v>
      </c>
      <c r="C66" s="496">
        <v>0</v>
      </c>
      <c r="D66" s="172">
        <f t="shared" si="11"/>
        <v>0</v>
      </c>
      <c r="E66" s="492">
        <f t="shared" si="3"/>
        <v>0</v>
      </c>
      <c r="F66" s="172">
        <f t="shared" si="4"/>
        <v>0</v>
      </c>
      <c r="G66" s="183">
        <v>0</v>
      </c>
      <c r="H66" s="496">
        <v>0</v>
      </c>
      <c r="I66" s="183">
        <v>0</v>
      </c>
      <c r="J66" s="183"/>
      <c r="K66" s="918" t="e">
        <f t="shared" si="5"/>
        <v>#DIV/0!</v>
      </c>
      <c r="L66" s="172" t="e">
        <f t="shared" si="5"/>
        <v>#DIV/0!</v>
      </c>
      <c r="M66" s="497" t="e">
        <f>E66/"#REF!*100"</f>
        <v>#VALUE!</v>
      </c>
    </row>
    <row r="67" spans="1:14" s="441" customFormat="1" ht="18" hidden="1" customHeight="1">
      <c r="A67" s="495" t="s">
        <v>179</v>
      </c>
      <c r="B67" s="496">
        <v>0</v>
      </c>
      <c r="C67" s="496">
        <v>0</v>
      </c>
      <c r="D67" s="172">
        <f t="shared" si="11"/>
        <v>0</v>
      </c>
      <c r="E67" s="492">
        <f t="shared" si="3"/>
        <v>0</v>
      </c>
      <c r="F67" s="172">
        <f t="shared" si="4"/>
        <v>0</v>
      </c>
      <c r="G67" s="183">
        <v>0</v>
      </c>
      <c r="H67" s="496">
        <v>0</v>
      </c>
      <c r="I67" s="183">
        <v>0</v>
      </c>
      <c r="J67" s="183"/>
      <c r="K67" s="918" t="e">
        <f t="shared" si="5"/>
        <v>#DIV/0!</v>
      </c>
      <c r="L67" s="172" t="e">
        <f t="shared" si="5"/>
        <v>#DIV/0!</v>
      </c>
      <c r="M67" s="497" t="e">
        <f>E67/"#REF!*100"</f>
        <v>#VALUE!</v>
      </c>
    </row>
    <row r="68" spans="1:14" s="441" customFormat="1" ht="18" hidden="1" customHeight="1">
      <c r="A68" s="498" t="s">
        <v>180</v>
      </c>
      <c r="B68" s="496">
        <v>0</v>
      </c>
      <c r="C68" s="496">
        <v>0</v>
      </c>
      <c r="D68" s="172">
        <f t="shared" si="11"/>
        <v>0</v>
      </c>
      <c r="E68" s="499">
        <f t="shared" si="3"/>
        <v>0</v>
      </c>
      <c r="F68" s="172">
        <f t="shared" si="4"/>
        <v>0</v>
      </c>
      <c r="G68" s="183">
        <v>0</v>
      </c>
      <c r="H68" s="496">
        <v>0</v>
      </c>
      <c r="I68" s="183">
        <v>0</v>
      </c>
      <c r="J68" s="183"/>
      <c r="K68" s="918" t="e">
        <f t="shared" si="5"/>
        <v>#DIV/0!</v>
      </c>
      <c r="L68" s="172" t="e">
        <f t="shared" si="5"/>
        <v>#DIV/0!</v>
      </c>
      <c r="M68" s="497"/>
    </row>
    <row r="69" spans="1:14" s="441" customFormat="1" ht="18" hidden="1" customHeight="1">
      <c r="A69" s="495" t="s">
        <v>181</v>
      </c>
      <c r="B69" s="496">
        <v>0</v>
      </c>
      <c r="C69" s="496">
        <v>0</v>
      </c>
      <c r="D69" s="172">
        <f t="shared" si="11"/>
        <v>0</v>
      </c>
      <c r="E69" s="492">
        <f t="shared" si="3"/>
        <v>0</v>
      </c>
      <c r="F69" s="172">
        <f t="shared" si="4"/>
        <v>0</v>
      </c>
      <c r="G69" s="183">
        <v>0</v>
      </c>
      <c r="H69" s="496">
        <v>0</v>
      </c>
      <c r="I69" s="183">
        <v>0</v>
      </c>
      <c r="J69" s="183"/>
      <c r="K69" s="918" t="e">
        <f t="shared" si="5"/>
        <v>#DIV/0!</v>
      </c>
      <c r="L69" s="172" t="e">
        <f t="shared" si="5"/>
        <v>#DIV/0!</v>
      </c>
      <c r="M69" s="497" t="e">
        <f>E69/"#REF!*100"</f>
        <v>#VALUE!</v>
      </c>
    </row>
    <row r="70" spans="1:14" s="494" customFormat="1" ht="18" hidden="1" customHeight="1">
      <c r="A70" s="489" t="s">
        <v>182</v>
      </c>
      <c r="B70" s="496">
        <v>0</v>
      </c>
      <c r="C70" s="496">
        <v>0</v>
      </c>
      <c r="D70" s="172">
        <f t="shared" si="11"/>
        <v>0</v>
      </c>
      <c r="E70" s="490">
        <f>E71+E72+E74+E75+E76</f>
        <v>0</v>
      </c>
      <c r="F70" s="172">
        <f t="shared" si="4"/>
        <v>0</v>
      </c>
      <c r="G70" s="183">
        <f>G71+G72+G74+G75+G76</f>
        <v>0</v>
      </c>
      <c r="H70" s="491">
        <f>+H71+H72+H74+H75+H76</f>
        <v>0</v>
      </c>
      <c r="I70" s="183">
        <f>+I71+I72+I74+I75+I76</f>
        <v>0</v>
      </c>
      <c r="J70" s="183">
        <f>J71+J72+J74+J75+J76</f>
        <v>0</v>
      </c>
      <c r="K70" s="918" t="e">
        <f t="shared" si="5"/>
        <v>#DIV/0!</v>
      </c>
      <c r="L70" s="172" t="e">
        <f t="shared" si="5"/>
        <v>#DIV/0!</v>
      </c>
      <c r="M70" s="493" t="e">
        <f>E70/"#REF!*100"</f>
        <v>#VALUE!</v>
      </c>
    </row>
    <row r="71" spans="1:14" s="441" customFormat="1" ht="18" hidden="1" customHeight="1">
      <c r="A71" s="495" t="s">
        <v>183</v>
      </c>
      <c r="B71" s="496">
        <v>0</v>
      </c>
      <c r="C71" s="496">
        <v>0</v>
      </c>
      <c r="D71" s="172">
        <f t="shared" si="11"/>
        <v>0</v>
      </c>
      <c r="E71" s="492">
        <f t="shared" ref="E71:E76" si="12">+G71+H71+I71+J71</f>
        <v>0</v>
      </c>
      <c r="F71" s="172">
        <f t="shared" si="4"/>
        <v>0</v>
      </c>
      <c r="G71" s="183"/>
      <c r="H71" s="500"/>
      <c r="I71" s="183"/>
      <c r="J71" s="183"/>
      <c r="K71" s="918" t="e">
        <f t="shared" si="5"/>
        <v>#DIV/0!</v>
      </c>
      <c r="L71" s="172" t="e">
        <f t="shared" si="5"/>
        <v>#DIV/0!</v>
      </c>
      <c r="M71" s="497" t="e">
        <f>E71/"#REF!*100"</f>
        <v>#VALUE!</v>
      </c>
    </row>
    <row r="72" spans="1:14" s="441" customFormat="1" ht="18" hidden="1" customHeight="1">
      <c r="A72" s="495" t="s">
        <v>184</v>
      </c>
      <c r="B72" s="496">
        <v>0</v>
      </c>
      <c r="C72" s="496">
        <v>0</v>
      </c>
      <c r="D72" s="172">
        <f t="shared" si="11"/>
        <v>0</v>
      </c>
      <c r="E72" s="492">
        <f t="shared" si="12"/>
        <v>0</v>
      </c>
      <c r="F72" s="172">
        <f t="shared" si="4"/>
        <v>0</v>
      </c>
      <c r="G72" s="183"/>
      <c r="H72" s="500"/>
      <c r="I72" s="183"/>
      <c r="J72" s="183"/>
      <c r="K72" s="918" t="e">
        <f t="shared" si="5"/>
        <v>#DIV/0!</v>
      </c>
      <c r="L72" s="172" t="e">
        <f t="shared" si="5"/>
        <v>#DIV/0!</v>
      </c>
      <c r="M72" s="497" t="e">
        <f>E72/"#REF!*100"</f>
        <v>#VALUE!</v>
      </c>
    </row>
    <row r="73" spans="1:14" s="4" customFormat="1" ht="18" hidden="1" customHeight="1">
      <c r="A73" s="194" t="s">
        <v>185</v>
      </c>
      <c r="B73" s="195"/>
      <c r="C73" s="195"/>
      <c r="D73" s="172">
        <f t="shared" si="11"/>
        <v>0</v>
      </c>
      <c r="E73" s="195">
        <f t="shared" si="12"/>
        <v>0</v>
      </c>
      <c r="F73" s="172">
        <f t="shared" si="4"/>
        <v>0</v>
      </c>
      <c r="G73" s="183"/>
      <c r="H73" s="196"/>
      <c r="I73" s="183"/>
      <c r="J73" s="183"/>
      <c r="K73" s="918" t="e">
        <f t="shared" si="5"/>
        <v>#DIV/0!</v>
      </c>
      <c r="L73" s="172" t="e">
        <f t="shared" si="5"/>
        <v>#DIV/0!</v>
      </c>
      <c r="M73" s="197"/>
    </row>
    <row r="74" spans="1:14" s="4" customFormat="1" ht="18" hidden="1" customHeight="1">
      <c r="A74" s="198" t="s">
        <v>186</v>
      </c>
      <c r="B74" s="199"/>
      <c r="C74" s="199"/>
      <c r="D74" s="172">
        <f t="shared" si="11"/>
        <v>0</v>
      </c>
      <c r="E74" s="199">
        <f t="shared" si="12"/>
        <v>0</v>
      </c>
      <c r="F74" s="172">
        <f t="shared" si="4"/>
        <v>0</v>
      </c>
      <c r="G74" s="183"/>
      <c r="H74" s="200"/>
      <c r="I74" s="183"/>
      <c r="J74" s="183"/>
      <c r="K74" s="918" t="e">
        <f t="shared" si="5"/>
        <v>#DIV/0!</v>
      </c>
      <c r="L74" s="172" t="e">
        <f t="shared" si="5"/>
        <v>#DIV/0!</v>
      </c>
      <c r="M74" s="197" t="e">
        <f t="shared" ref="M74:M84" si="13">E74/"#REF!*100"</f>
        <v>#VALUE!</v>
      </c>
    </row>
    <row r="75" spans="1:14" s="4" customFormat="1" ht="18" hidden="1" customHeight="1">
      <c r="A75" s="198" t="s">
        <v>187</v>
      </c>
      <c r="B75" s="199"/>
      <c r="C75" s="199"/>
      <c r="D75" s="172">
        <f t="shared" si="11"/>
        <v>0</v>
      </c>
      <c r="E75" s="199">
        <f t="shared" si="12"/>
        <v>0</v>
      </c>
      <c r="F75" s="172">
        <f t="shared" si="4"/>
        <v>0</v>
      </c>
      <c r="G75" s="183"/>
      <c r="H75" s="200"/>
      <c r="I75" s="183"/>
      <c r="J75" s="183"/>
      <c r="K75" s="918" t="e">
        <f t="shared" si="5"/>
        <v>#DIV/0!</v>
      </c>
      <c r="L75" s="172" t="e">
        <f t="shared" si="5"/>
        <v>#DIV/0!</v>
      </c>
      <c r="M75" s="197" t="e">
        <f t="shared" si="13"/>
        <v>#VALUE!</v>
      </c>
    </row>
    <row r="76" spans="1:14" s="4" customFormat="1" ht="18" hidden="1" customHeight="1">
      <c r="A76" s="198" t="s">
        <v>188</v>
      </c>
      <c r="B76" s="199"/>
      <c r="C76" s="199"/>
      <c r="D76" s="172">
        <f t="shared" si="11"/>
        <v>0</v>
      </c>
      <c r="E76" s="199">
        <f t="shared" si="12"/>
        <v>0</v>
      </c>
      <c r="F76" s="172">
        <f t="shared" si="4"/>
        <v>0</v>
      </c>
      <c r="G76" s="183"/>
      <c r="H76" s="200"/>
      <c r="I76" s="183"/>
      <c r="J76" s="183"/>
      <c r="K76" s="918" t="e">
        <f t="shared" si="5"/>
        <v>#DIV/0!</v>
      </c>
      <c r="L76" s="172" t="e">
        <f t="shared" si="5"/>
        <v>#DIV/0!</v>
      </c>
      <c r="M76" s="197" t="e">
        <f t="shared" si="13"/>
        <v>#VALUE!</v>
      </c>
    </row>
    <row r="77" spans="1:14" s="177" customFormat="1" ht="18" customHeight="1">
      <c r="A77" s="193" t="s">
        <v>940</v>
      </c>
      <c r="B77" s="183">
        <v>0</v>
      </c>
      <c r="C77" s="172">
        <v>27000</v>
      </c>
      <c r="D77" s="172">
        <f t="shared" si="11"/>
        <v>27000</v>
      </c>
      <c r="E77" s="183">
        <v>0</v>
      </c>
      <c r="F77" s="172">
        <f t="shared" si="4"/>
        <v>0</v>
      </c>
      <c r="G77" s="183">
        <v>0</v>
      </c>
      <c r="H77" s="183">
        <v>0</v>
      </c>
      <c r="I77" s="183">
        <v>0</v>
      </c>
      <c r="J77" s="183">
        <v>0</v>
      </c>
      <c r="K77" s="918">
        <f t="shared" si="5"/>
        <v>0</v>
      </c>
      <c r="L77" s="1022">
        <f t="shared" si="5"/>
        <v>0</v>
      </c>
      <c r="M77" s="175"/>
    </row>
    <row r="78" spans="1:14" s="177" customFormat="1" ht="18" customHeight="1">
      <c r="A78" s="193" t="s">
        <v>2841</v>
      </c>
      <c r="B78" s="183"/>
      <c r="C78" s="172"/>
      <c r="D78" s="172">
        <v>0</v>
      </c>
      <c r="E78" s="183">
        <v>0</v>
      </c>
      <c r="F78" s="172">
        <v>0</v>
      </c>
      <c r="G78" s="183"/>
      <c r="H78" s="183"/>
      <c r="I78" s="183"/>
      <c r="J78" s="183"/>
      <c r="K78" s="918">
        <v>0</v>
      </c>
      <c r="L78" s="1022">
        <v>0</v>
      </c>
      <c r="M78" s="175"/>
    </row>
    <row r="79" spans="1:14" s="177" customFormat="1" ht="18" customHeight="1">
      <c r="A79" s="174" t="s">
        <v>2840</v>
      </c>
      <c r="B79" s="172">
        <f>+B80+B81+B83+B84+B85</f>
        <v>11000</v>
      </c>
      <c r="C79" s="172">
        <v>11000</v>
      </c>
      <c r="D79" s="172">
        <v>0</v>
      </c>
      <c r="E79" s="172">
        <f>E80+E81+E83+E84+E85+E82</f>
        <v>29082.258848999998</v>
      </c>
      <c r="F79" s="172">
        <f t="shared" ref="F79:F99" si="14">H79+I79+J79</f>
        <v>0</v>
      </c>
      <c r="G79" s="172">
        <f>G80+G81+G83+G84+G85+G82</f>
        <v>29082.258848999998</v>
      </c>
      <c r="H79" s="183">
        <f>H80+H81+H83+H84+H85</f>
        <v>0</v>
      </c>
      <c r="I79" s="183">
        <f>I80+I81+I83+I84+I85</f>
        <v>0</v>
      </c>
      <c r="J79" s="183">
        <f>J80+J81+J83+J84+J85</f>
        <v>0</v>
      </c>
      <c r="K79" s="918">
        <f t="shared" ref="K79" si="15">E79/C79*100</f>
        <v>264.38417135454546</v>
      </c>
      <c r="L79" s="1022">
        <v>0</v>
      </c>
      <c r="M79" s="175" t="e">
        <f t="shared" si="13"/>
        <v>#VALUE!</v>
      </c>
      <c r="N79" s="177">
        <v>16903.514629000001</v>
      </c>
    </row>
    <row r="80" spans="1:14" ht="18" customHeight="1">
      <c r="A80" s="186" t="s">
        <v>190</v>
      </c>
      <c r="B80" s="183">
        <v>0</v>
      </c>
      <c r="C80" s="183">
        <v>0</v>
      </c>
      <c r="D80" s="183">
        <v>0</v>
      </c>
      <c r="E80" s="182">
        <f t="shared" ref="E80:E86" si="16">+G80+H80+I80+J80</f>
        <v>0</v>
      </c>
      <c r="F80" s="183">
        <f t="shared" si="14"/>
        <v>0</v>
      </c>
      <c r="G80" s="183">
        <v>0</v>
      </c>
      <c r="H80" s="183">
        <v>0</v>
      </c>
      <c r="I80" s="183">
        <v>0</v>
      </c>
      <c r="J80" s="183">
        <v>0</v>
      </c>
      <c r="K80" s="183">
        <v>0</v>
      </c>
      <c r="L80" s="502">
        <v>0</v>
      </c>
      <c r="M80" s="184" t="e">
        <f t="shared" si="13"/>
        <v>#VALUE!</v>
      </c>
      <c r="N80" s="158">
        <f>+N79-E79</f>
        <v>-12178.744219999997</v>
      </c>
    </row>
    <row r="81" spans="1:17" ht="18" customHeight="1">
      <c r="A81" s="186" t="s">
        <v>191</v>
      </c>
      <c r="B81" s="182">
        <v>1420</v>
      </c>
      <c r="C81" s="183">
        <v>0</v>
      </c>
      <c r="D81" s="183">
        <v>0</v>
      </c>
      <c r="E81" s="182">
        <f>+G81+H81+I81+J81</f>
        <v>846.65086299999996</v>
      </c>
      <c r="F81" s="183">
        <f t="shared" si="14"/>
        <v>0</v>
      </c>
      <c r="G81" s="183">
        <v>846.65086299999996</v>
      </c>
      <c r="H81" s="183">
        <v>0</v>
      </c>
      <c r="I81" s="183">
        <v>0</v>
      </c>
      <c r="J81" s="183">
        <v>0</v>
      </c>
      <c r="K81" s="183">
        <v>0</v>
      </c>
      <c r="L81" s="502">
        <v>0</v>
      </c>
      <c r="M81" s="184" t="e">
        <f t="shared" si="13"/>
        <v>#VALUE!</v>
      </c>
    </row>
    <row r="82" spans="1:17" ht="18" customHeight="1">
      <c r="A82" s="186" t="s">
        <v>929</v>
      </c>
      <c r="B82" s="183">
        <v>0</v>
      </c>
      <c r="C82" s="183">
        <v>0</v>
      </c>
      <c r="D82" s="183">
        <v>0</v>
      </c>
      <c r="E82" s="182">
        <f>+G82+H82+I82+J82</f>
        <v>100.896101</v>
      </c>
      <c r="F82" s="183">
        <f t="shared" si="14"/>
        <v>0</v>
      </c>
      <c r="G82" s="183">
        <v>100.896101</v>
      </c>
      <c r="H82" s="183">
        <v>0</v>
      </c>
      <c r="I82" s="183">
        <v>0</v>
      </c>
      <c r="J82" s="183">
        <v>0</v>
      </c>
      <c r="K82" s="183">
        <v>0</v>
      </c>
      <c r="L82" s="502">
        <v>0</v>
      </c>
      <c r="M82" s="184"/>
    </row>
    <row r="83" spans="1:17" ht="18" customHeight="1">
      <c r="A83" s="186" t="s">
        <v>192</v>
      </c>
      <c r="B83" s="182">
        <v>80</v>
      </c>
      <c r="C83" s="183">
        <v>0</v>
      </c>
      <c r="D83" s="183">
        <v>0</v>
      </c>
      <c r="E83" s="182">
        <f t="shared" si="16"/>
        <v>386.70600000000002</v>
      </c>
      <c r="F83" s="183">
        <f t="shared" si="14"/>
        <v>0</v>
      </c>
      <c r="G83" s="183">
        <v>386.70600000000002</v>
      </c>
      <c r="H83" s="183">
        <v>0</v>
      </c>
      <c r="I83" s="183">
        <v>0</v>
      </c>
      <c r="J83" s="183">
        <v>0</v>
      </c>
      <c r="K83" s="183">
        <v>0</v>
      </c>
      <c r="L83" s="502">
        <v>0</v>
      </c>
      <c r="M83" s="184" t="e">
        <f t="shared" si="13"/>
        <v>#VALUE!</v>
      </c>
    </row>
    <row r="84" spans="1:17" ht="18" customHeight="1">
      <c r="A84" s="186" t="s">
        <v>193</v>
      </c>
      <c r="B84" s="182">
        <v>9500</v>
      </c>
      <c r="C84" s="183">
        <v>0</v>
      </c>
      <c r="D84" s="183">
        <v>0</v>
      </c>
      <c r="E84" s="182">
        <f t="shared" si="16"/>
        <v>27722.228384999999</v>
      </c>
      <c r="F84" s="183">
        <f t="shared" si="14"/>
        <v>0</v>
      </c>
      <c r="G84" s="183">
        <v>27722.228384999999</v>
      </c>
      <c r="H84" s="183">
        <v>0</v>
      </c>
      <c r="I84" s="183">
        <v>0</v>
      </c>
      <c r="J84" s="183">
        <v>0</v>
      </c>
      <c r="K84" s="183">
        <v>0</v>
      </c>
      <c r="L84" s="502">
        <v>0</v>
      </c>
      <c r="M84" s="184" t="e">
        <f t="shared" si="13"/>
        <v>#VALUE!</v>
      </c>
      <c r="N84" s="155">
        <f>27900/1000000</f>
        <v>2.7900000000000001E-2</v>
      </c>
    </row>
    <row r="85" spans="1:17" ht="18" customHeight="1">
      <c r="A85" s="186" t="s">
        <v>194</v>
      </c>
      <c r="B85" s="183">
        <v>0</v>
      </c>
      <c r="C85" s="183">
        <v>0</v>
      </c>
      <c r="D85" s="183">
        <v>0</v>
      </c>
      <c r="E85" s="182">
        <f t="shared" si="16"/>
        <v>25.7775</v>
      </c>
      <c r="F85" s="183">
        <f t="shared" si="14"/>
        <v>0</v>
      </c>
      <c r="G85" s="183">
        <v>25.7775</v>
      </c>
      <c r="H85" s="183">
        <v>0</v>
      </c>
      <c r="I85" s="183">
        <v>0</v>
      </c>
      <c r="J85" s="183">
        <v>0</v>
      </c>
      <c r="K85" s="183">
        <v>0</v>
      </c>
      <c r="L85" s="502">
        <v>0</v>
      </c>
      <c r="M85" s="184"/>
    </row>
    <row r="86" spans="1:17" ht="18" customHeight="1">
      <c r="A86" s="174" t="s">
        <v>2837</v>
      </c>
      <c r="B86" s="183">
        <v>0</v>
      </c>
      <c r="C86" s="183">
        <v>0</v>
      </c>
      <c r="D86" s="183">
        <v>0</v>
      </c>
      <c r="E86" s="172">
        <f t="shared" si="16"/>
        <v>0</v>
      </c>
      <c r="F86" s="183">
        <f t="shared" si="14"/>
        <v>0</v>
      </c>
      <c r="G86" s="183">
        <v>0</v>
      </c>
      <c r="H86" s="183">
        <v>0</v>
      </c>
      <c r="I86" s="183">
        <v>0</v>
      </c>
      <c r="J86" s="183">
        <v>0</v>
      </c>
      <c r="K86" s="183">
        <v>0</v>
      </c>
      <c r="L86" s="502">
        <v>0</v>
      </c>
      <c r="M86" s="184"/>
    </row>
    <row r="87" spans="1:17" s="177" customFormat="1" ht="18" hidden="1" customHeight="1">
      <c r="A87" s="174" t="s">
        <v>196</v>
      </c>
      <c r="B87" s="183">
        <f>B88+B89</f>
        <v>0</v>
      </c>
      <c r="C87" s="183">
        <f>C88+C89</f>
        <v>0</v>
      </c>
      <c r="D87" s="183"/>
      <c r="E87" s="172">
        <f>G87+H87+I87+J87</f>
        <v>17191.065999999999</v>
      </c>
      <c r="F87" s="172">
        <f t="shared" si="14"/>
        <v>17191.065999999999</v>
      </c>
      <c r="G87" s="502">
        <f>G88+G89</f>
        <v>0</v>
      </c>
      <c r="H87" s="502">
        <f>H88+H89</f>
        <v>0</v>
      </c>
      <c r="I87" s="172">
        <f>I88+I89</f>
        <v>5647.4340000000002</v>
      </c>
      <c r="J87" s="172">
        <f>J88+J89</f>
        <v>11543.632</v>
      </c>
      <c r="K87" s="1022">
        <v>0</v>
      </c>
      <c r="L87" s="502">
        <v>0</v>
      </c>
      <c r="M87" s="175"/>
      <c r="O87" s="177" t="s">
        <v>945</v>
      </c>
    </row>
    <row r="88" spans="1:17" ht="30" hidden="1">
      <c r="A88" s="181" t="s">
        <v>197</v>
      </c>
      <c r="B88" s="183">
        <v>0</v>
      </c>
      <c r="C88" s="183">
        <v>0</v>
      </c>
      <c r="D88" s="183"/>
      <c r="E88" s="182">
        <f t="shared" ref="E88:E106" si="17">G88+H88+I88+J88</f>
        <v>16631.394</v>
      </c>
      <c r="F88" s="172">
        <f t="shared" si="14"/>
        <v>16631.394</v>
      </c>
      <c r="G88" s="502">
        <v>0</v>
      </c>
      <c r="H88" s="502">
        <v>0</v>
      </c>
      <c r="I88" s="182">
        <v>5647.4340000000002</v>
      </c>
      <c r="J88" s="182">
        <v>10983.96</v>
      </c>
      <c r="K88" s="1022">
        <v>0</v>
      </c>
      <c r="L88" s="502">
        <v>0</v>
      </c>
      <c r="M88" s="184"/>
      <c r="N88" s="155" t="s">
        <v>944</v>
      </c>
      <c r="O88" s="158">
        <f>H9-'TH CHI_62_342_51_52_53_31'!F108</f>
        <v>6143.3973080031574</v>
      </c>
      <c r="P88" s="158">
        <f>I9-'TH CHI_62_342_51_52_53_31'!I108</f>
        <v>89885.052839000709</v>
      </c>
      <c r="Q88" s="158">
        <f>J9-'TH CHI_62_342_51_52_53_31'!L108</f>
        <v>26695.917823999887</v>
      </c>
    </row>
    <row r="89" spans="1:17" ht="18" hidden="1" customHeight="1">
      <c r="A89" s="186" t="s">
        <v>198</v>
      </c>
      <c r="B89" s="183">
        <v>0</v>
      </c>
      <c r="C89" s="183">
        <v>0</v>
      </c>
      <c r="D89" s="183"/>
      <c r="E89" s="182">
        <f t="shared" si="17"/>
        <v>559.67200000000003</v>
      </c>
      <c r="F89" s="172">
        <f t="shared" si="14"/>
        <v>559.67200000000003</v>
      </c>
      <c r="G89" s="502">
        <v>0</v>
      </c>
      <c r="H89" s="502">
        <v>0</v>
      </c>
      <c r="I89" s="502">
        <v>0</v>
      </c>
      <c r="J89" s="182">
        <v>559.67200000000003</v>
      </c>
      <c r="K89" s="1022">
        <v>0</v>
      </c>
      <c r="L89" s="502">
        <v>0</v>
      </c>
      <c r="M89" s="184"/>
      <c r="N89" s="158">
        <f>O88+P88+Q88</f>
        <v>122724.36797100375</v>
      </c>
    </row>
    <row r="90" spans="1:17" s="177" customFormat="1">
      <c r="A90" s="1626" t="s">
        <v>2836</v>
      </c>
      <c r="B90" s="502">
        <f>B91+B92</f>
        <v>0</v>
      </c>
      <c r="C90" s="502">
        <f>C91+C92</f>
        <v>0</v>
      </c>
      <c r="D90" s="502">
        <v>0</v>
      </c>
      <c r="E90" s="172">
        <f t="shared" si="17"/>
        <v>19472</v>
      </c>
      <c r="F90" s="172">
        <f t="shared" si="14"/>
        <v>19472</v>
      </c>
      <c r="G90" s="502">
        <f>G91+G92</f>
        <v>0</v>
      </c>
      <c r="H90" s="172">
        <f>H91+H92</f>
        <v>19472</v>
      </c>
      <c r="I90" s="502">
        <f>I91+I92</f>
        <v>0</v>
      </c>
      <c r="J90" s="502">
        <f>J91+J92</f>
        <v>0</v>
      </c>
      <c r="K90" s="183">
        <v>0</v>
      </c>
      <c r="L90" s="502">
        <v>0</v>
      </c>
      <c r="M90" s="175"/>
      <c r="P90" s="180">
        <f>+P88+Q88</f>
        <v>116580.9706630006</v>
      </c>
    </row>
    <row r="91" spans="1:17" ht="30" hidden="1">
      <c r="A91" s="181" t="s">
        <v>199</v>
      </c>
      <c r="B91" s="502">
        <v>0</v>
      </c>
      <c r="C91" s="502">
        <v>0</v>
      </c>
      <c r="D91" s="502"/>
      <c r="E91" s="182">
        <f t="shared" si="17"/>
        <v>0</v>
      </c>
      <c r="F91" s="172">
        <f t="shared" si="14"/>
        <v>0</v>
      </c>
      <c r="G91" s="502">
        <v>0</v>
      </c>
      <c r="H91" s="502">
        <v>0</v>
      </c>
      <c r="I91" s="502">
        <v>0</v>
      </c>
      <c r="J91" s="502">
        <v>0</v>
      </c>
      <c r="K91" s="183">
        <v>0</v>
      </c>
      <c r="L91" s="502">
        <v>0</v>
      </c>
      <c r="M91" s="184"/>
      <c r="P91" s="155">
        <v>370846.62238399964</v>
      </c>
    </row>
    <row r="92" spans="1:17" ht="18" hidden="1" customHeight="1">
      <c r="A92" s="186" t="s">
        <v>200</v>
      </c>
      <c r="B92" s="502">
        <v>0</v>
      </c>
      <c r="C92" s="502">
        <v>0</v>
      </c>
      <c r="D92" s="502"/>
      <c r="E92" s="182">
        <f t="shared" si="17"/>
        <v>19472</v>
      </c>
      <c r="F92" s="172">
        <f t="shared" si="14"/>
        <v>19472</v>
      </c>
      <c r="G92" s="502">
        <v>0</v>
      </c>
      <c r="H92" s="187">
        <v>19472</v>
      </c>
      <c r="I92" s="502">
        <v>0</v>
      </c>
      <c r="J92" s="502">
        <v>0</v>
      </c>
      <c r="K92" s="183">
        <v>0</v>
      </c>
      <c r="L92" s="502">
        <v>0</v>
      </c>
      <c r="M92" s="184"/>
    </row>
    <row r="93" spans="1:17" s="177" customFormat="1" ht="32.25" hidden="1" customHeight="1">
      <c r="A93" s="193" t="s">
        <v>201</v>
      </c>
      <c r="B93" s="502">
        <f>B94+B97</f>
        <v>0</v>
      </c>
      <c r="C93" s="502">
        <f>C94+C97</f>
        <v>0</v>
      </c>
      <c r="D93" s="502"/>
      <c r="E93" s="502">
        <f t="shared" si="17"/>
        <v>0</v>
      </c>
      <c r="F93" s="172">
        <f t="shared" si="14"/>
        <v>0</v>
      </c>
      <c r="G93" s="502">
        <f>G94+G97</f>
        <v>0</v>
      </c>
      <c r="H93" s="502">
        <f>H94+H97</f>
        <v>0</v>
      </c>
      <c r="I93" s="502">
        <f>I94+I97</f>
        <v>0</v>
      </c>
      <c r="J93" s="502">
        <f>J94+J97</f>
        <v>0</v>
      </c>
      <c r="K93" s="183">
        <v>0</v>
      </c>
      <c r="L93" s="502">
        <v>0</v>
      </c>
      <c r="M93" s="175"/>
      <c r="P93" s="180">
        <f>+P91-P90</f>
        <v>254265.65172099904</v>
      </c>
    </row>
    <row r="94" spans="1:17" s="177" customFormat="1" ht="18.75" hidden="1" customHeight="1">
      <c r="A94" s="174" t="s">
        <v>202</v>
      </c>
      <c r="B94" s="502">
        <f>B95+B96</f>
        <v>0</v>
      </c>
      <c r="C94" s="502">
        <f>C95+C96</f>
        <v>0</v>
      </c>
      <c r="D94" s="502"/>
      <c r="E94" s="502">
        <f t="shared" si="17"/>
        <v>0</v>
      </c>
      <c r="F94" s="172">
        <f t="shared" si="14"/>
        <v>0</v>
      </c>
      <c r="G94" s="502">
        <f>G95+G96</f>
        <v>0</v>
      </c>
      <c r="H94" s="502">
        <f>H95+H96</f>
        <v>0</v>
      </c>
      <c r="I94" s="502">
        <f>I95+I96</f>
        <v>0</v>
      </c>
      <c r="J94" s="502">
        <f>J95+J96</f>
        <v>0</v>
      </c>
      <c r="K94" s="183">
        <v>0</v>
      </c>
      <c r="L94" s="502">
        <v>0</v>
      </c>
      <c r="M94" s="175"/>
    </row>
    <row r="95" spans="1:17" ht="18.75" hidden="1" customHeight="1">
      <c r="A95" s="186" t="s">
        <v>203</v>
      </c>
      <c r="B95" s="502">
        <v>0</v>
      </c>
      <c r="C95" s="502">
        <v>0</v>
      </c>
      <c r="D95" s="502"/>
      <c r="E95" s="502">
        <f t="shared" si="17"/>
        <v>0</v>
      </c>
      <c r="F95" s="172">
        <f t="shared" si="14"/>
        <v>0</v>
      </c>
      <c r="G95" s="502">
        <v>0</v>
      </c>
      <c r="H95" s="502">
        <v>0</v>
      </c>
      <c r="I95" s="502">
        <v>0</v>
      </c>
      <c r="J95" s="502">
        <v>0</v>
      </c>
      <c r="K95" s="183">
        <v>0</v>
      </c>
      <c r="L95" s="502">
        <v>0</v>
      </c>
      <c r="M95" s="184"/>
    </row>
    <row r="96" spans="1:17" ht="18.75" hidden="1" customHeight="1">
      <c r="A96" s="186" t="s">
        <v>204</v>
      </c>
      <c r="B96" s="502">
        <v>0</v>
      </c>
      <c r="C96" s="502">
        <v>0</v>
      </c>
      <c r="D96" s="502"/>
      <c r="E96" s="502">
        <f t="shared" si="17"/>
        <v>0</v>
      </c>
      <c r="F96" s="172">
        <f t="shared" si="14"/>
        <v>0</v>
      </c>
      <c r="G96" s="502">
        <v>0</v>
      </c>
      <c r="H96" s="502">
        <v>0</v>
      </c>
      <c r="I96" s="502">
        <v>0</v>
      </c>
      <c r="J96" s="502">
        <v>0</v>
      </c>
      <c r="K96" s="183">
        <v>0</v>
      </c>
      <c r="L96" s="502">
        <v>0</v>
      </c>
      <c r="M96" s="184"/>
    </row>
    <row r="97" spans="1:15" s="177" customFormat="1" ht="18" hidden="1" customHeight="1">
      <c r="A97" s="174" t="s">
        <v>205</v>
      </c>
      <c r="B97" s="502">
        <f>B98+B99</f>
        <v>0</v>
      </c>
      <c r="C97" s="502">
        <f>C98+C99</f>
        <v>0</v>
      </c>
      <c r="D97" s="502"/>
      <c r="E97" s="502">
        <f t="shared" si="17"/>
        <v>0</v>
      </c>
      <c r="F97" s="172">
        <f t="shared" si="14"/>
        <v>0</v>
      </c>
      <c r="G97" s="502">
        <f>G98+G99</f>
        <v>0</v>
      </c>
      <c r="H97" s="502">
        <f>H98+H99</f>
        <v>0</v>
      </c>
      <c r="I97" s="502">
        <f>I98+I99</f>
        <v>0</v>
      </c>
      <c r="J97" s="502">
        <f>J98+J99</f>
        <v>0</v>
      </c>
      <c r="K97" s="183">
        <v>0</v>
      </c>
      <c r="L97" s="502">
        <v>0</v>
      </c>
      <c r="M97" s="175"/>
    </row>
    <row r="98" spans="1:15" ht="18.75" hidden="1" customHeight="1">
      <c r="A98" s="186" t="s">
        <v>203</v>
      </c>
      <c r="B98" s="502">
        <v>0</v>
      </c>
      <c r="C98" s="502">
        <v>0</v>
      </c>
      <c r="D98" s="502"/>
      <c r="E98" s="502">
        <f t="shared" si="17"/>
        <v>0</v>
      </c>
      <c r="F98" s="172">
        <f t="shared" si="14"/>
        <v>0</v>
      </c>
      <c r="G98" s="502">
        <v>0</v>
      </c>
      <c r="H98" s="502">
        <v>0</v>
      </c>
      <c r="I98" s="502">
        <v>0</v>
      </c>
      <c r="J98" s="502">
        <v>0</v>
      </c>
      <c r="K98" s="183">
        <v>0</v>
      </c>
      <c r="L98" s="502">
        <v>0</v>
      </c>
      <c r="M98" s="184"/>
    </row>
    <row r="99" spans="1:15" hidden="1">
      <c r="A99" s="186" t="s">
        <v>204</v>
      </c>
      <c r="B99" s="502">
        <v>0</v>
      </c>
      <c r="C99" s="502">
        <v>0</v>
      </c>
      <c r="D99" s="502"/>
      <c r="E99" s="502">
        <f t="shared" si="17"/>
        <v>0</v>
      </c>
      <c r="F99" s="172">
        <f t="shared" si="14"/>
        <v>0</v>
      </c>
      <c r="G99" s="502">
        <v>0</v>
      </c>
      <c r="H99" s="502">
        <v>0</v>
      </c>
      <c r="I99" s="502">
        <v>0</v>
      </c>
      <c r="J99" s="502">
        <v>0</v>
      </c>
      <c r="K99" s="183">
        <v>0</v>
      </c>
      <c r="L99" s="502">
        <v>0</v>
      </c>
      <c r="M99" s="184"/>
      <c r="N99" s="158">
        <f>H106+I106</f>
        <v>1815.826802</v>
      </c>
    </row>
    <row r="100" spans="1:15" s="177" customFormat="1" ht="18" hidden="1" customHeight="1">
      <c r="A100" s="174" t="s">
        <v>206</v>
      </c>
      <c r="B100" s="502">
        <f>B101+B106</f>
        <v>0</v>
      </c>
      <c r="C100" s="502">
        <f>C101+C106</f>
        <v>0</v>
      </c>
      <c r="D100" s="502"/>
      <c r="E100" s="172">
        <v>0</v>
      </c>
      <c r="F100" s="172">
        <v>0</v>
      </c>
      <c r="G100" s="172">
        <f>G101+G106</f>
        <v>5214</v>
      </c>
      <c r="H100" s="172">
        <f>H101+H106</f>
        <v>5831628.8268020004</v>
      </c>
      <c r="I100" s="172">
        <f>I101+I106</f>
        <v>4169359.5692720003</v>
      </c>
      <c r="J100" s="172">
        <f>J101+J106</f>
        <v>1033470.479235</v>
      </c>
      <c r="K100" s="183">
        <v>0</v>
      </c>
      <c r="L100" s="502">
        <v>0</v>
      </c>
      <c r="M100" s="175"/>
    </row>
    <row r="101" spans="1:15" s="177" customFormat="1" ht="18" hidden="1" customHeight="1">
      <c r="A101" s="174" t="s">
        <v>207</v>
      </c>
      <c r="B101" s="502">
        <f>B102+B103</f>
        <v>0</v>
      </c>
      <c r="C101" s="502">
        <f>C102+C103</f>
        <v>0</v>
      </c>
      <c r="D101" s="502"/>
      <c r="E101" s="172">
        <f t="shared" si="17"/>
        <v>11032643.048507001</v>
      </c>
      <c r="F101" s="172">
        <f t="shared" ref="F101:F106" si="18">+H101</f>
        <v>5829813</v>
      </c>
      <c r="G101" s="502">
        <f>G102+G103</f>
        <v>0</v>
      </c>
      <c r="H101" s="172">
        <f>H102+H103</f>
        <v>5829813</v>
      </c>
      <c r="I101" s="172">
        <f>I102+I103</f>
        <v>4169359.5692720003</v>
      </c>
      <c r="J101" s="172">
        <f>J102+J103</f>
        <v>1033470.479235</v>
      </c>
      <c r="K101" s="183">
        <v>0</v>
      </c>
      <c r="L101" s="502">
        <v>0</v>
      </c>
      <c r="M101" s="175"/>
    </row>
    <row r="102" spans="1:15" s="177" customFormat="1" ht="18" hidden="1" customHeight="1">
      <c r="A102" s="174" t="s">
        <v>208</v>
      </c>
      <c r="B102" s="502">
        <v>0</v>
      </c>
      <c r="C102" s="502">
        <v>0</v>
      </c>
      <c r="D102" s="502"/>
      <c r="E102" s="172">
        <f t="shared" si="17"/>
        <v>6777662.2131140009</v>
      </c>
      <c r="F102" s="172">
        <f t="shared" si="18"/>
        <v>3398277</v>
      </c>
      <c r="G102" s="502">
        <v>0</v>
      </c>
      <c r="H102" s="178">
        <v>3398277</v>
      </c>
      <c r="I102" s="172">
        <v>2795442.0380000002</v>
      </c>
      <c r="J102" s="172">
        <v>583943.17511399998</v>
      </c>
      <c r="K102" s="183">
        <v>0</v>
      </c>
      <c r="L102" s="502">
        <v>0</v>
      </c>
      <c r="M102" s="175"/>
    </row>
    <row r="103" spans="1:15" s="177" customFormat="1" ht="18" hidden="1" customHeight="1">
      <c r="A103" s="174" t="s">
        <v>209</v>
      </c>
      <c r="B103" s="502">
        <f>B104+B105</f>
        <v>0</v>
      </c>
      <c r="C103" s="502">
        <f>C104+C105</f>
        <v>0</v>
      </c>
      <c r="D103" s="502"/>
      <c r="E103" s="172">
        <f t="shared" si="17"/>
        <v>4254980.8353929995</v>
      </c>
      <c r="F103" s="172">
        <f t="shared" si="18"/>
        <v>2431536</v>
      </c>
      <c r="G103" s="502">
        <f>G104+G105</f>
        <v>0</v>
      </c>
      <c r="H103" s="172">
        <f>H104+H105</f>
        <v>2431536</v>
      </c>
      <c r="I103" s="172">
        <f>I104+I105</f>
        <v>1373917.5312719999</v>
      </c>
      <c r="J103" s="172">
        <f>J104+J105</f>
        <v>449527.30412099999</v>
      </c>
      <c r="K103" s="183">
        <v>0</v>
      </c>
      <c r="L103" s="502">
        <v>0</v>
      </c>
      <c r="M103" s="175"/>
    </row>
    <row r="104" spans="1:15" ht="18" hidden="1" customHeight="1">
      <c r="A104" s="186" t="s">
        <v>210</v>
      </c>
      <c r="B104" s="502">
        <v>0</v>
      </c>
      <c r="C104" s="502">
        <v>0</v>
      </c>
      <c r="D104" s="502"/>
      <c r="E104" s="182">
        <f>G104+H104+I104+J104</f>
        <v>4254980.8353929995</v>
      </c>
      <c r="F104" s="172">
        <f t="shared" si="18"/>
        <v>2431536</v>
      </c>
      <c r="G104" s="502">
        <v>0</v>
      </c>
      <c r="H104" s="187">
        <f>2416462+15074</f>
        <v>2431536</v>
      </c>
      <c r="I104" s="182">
        <v>1373917.5312719999</v>
      </c>
      <c r="J104" s="182">
        <v>449527.30412099999</v>
      </c>
      <c r="K104" s="183">
        <v>0</v>
      </c>
      <c r="L104" s="502">
        <v>0</v>
      </c>
      <c r="M104" s="184"/>
      <c r="N104" s="158">
        <f>H104+H105</f>
        <v>2431536</v>
      </c>
    </row>
    <row r="105" spans="1:15" ht="18" hidden="1" customHeight="1">
      <c r="A105" s="186" t="s">
        <v>211</v>
      </c>
      <c r="B105" s="502">
        <v>0</v>
      </c>
      <c r="C105" s="502">
        <v>0</v>
      </c>
      <c r="D105" s="502"/>
      <c r="E105" s="502">
        <f>G105+H105+I105+J105</f>
        <v>0</v>
      </c>
      <c r="F105" s="172">
        <f t="shared" si="18"/>
        <v>0</v>
      </c>
      <c r="G105" s="502">
        <v>0</v>
      </c>
      <c r="H105" s="502">
        <v>0</v>
      </c>
      <c r="I105" s="502">
        <v>0</v>
      </c>
      <c r="J105" s="502">
        <v>0</v>
      </c>
      <c r="K105" s="183">
        <v>0</v>
      </c>
      <c r="L105" s="502">
        <v>0</v>
      </c>
      <c r="M105" s="184"/>
      <c r="N105" s="155">
        <v>1664334.9840579999</v>
      </c>
      <c r="O105" s="158">
        <f>N104-N105</f>
        <v>767201.01594200009</v>
      </c>
    </row>
    <row r="106" spans="1:15" s="177" customFormat="1" ht="18" hidden="1" customHeight="1">
      <c r="A106" s="174" t="s">
        <v>212</v>
      </c>
      <c r="B106" s="502">
        <v>0</v>
      </c>
      <c r="C106" s="502">
        <v>0</v>
      </c>
      <c r="D106" s="502"/>
      <c r="E106" s="172">
        <f t="shared" si="17"/>
        <v>7029.8268019999996</v>
      </c>
      <c r="F106" s="172">
        <f t="shared" si="18"/>
        <v>1815.826802</v>
      </c>
      <c r="G106" s="172">
        <v>5214</v>
      </c>
      <c r="H106" s="178">
        <v>1815.826802</v>
      </c>
      <c r="I106" s="502">
        <v>0</v>
      </c>
      <c r="J106" s="502">
        <v>0</v>
      </c>
      <c r="K106" s="183">
        <v>0</v>
      </c>
      <c r="L106" s="502">
        <v>0</v>
      </c>
      <c r="M106" s="175"/>
    </row>
    <row r="107" spans="1:15" s="177" customFormat="1" ht="18" customHeight="1">
      <c r="A107" s="201" t="s">
        <v>2838</v>
      </c>
      <c r="B107" s="921">
        <v>0</v>
      </c>
      <c r="C107" s="921">
        <v>0</v>
      </c>
      <c r="D107" s="921">
        <v>0</v>
      </c>
      <c r="E107" s="202">
        <f>G107+H107+I107+J107</f>
        <v>1076220.2512020001</v>
      </c>
      <c r="F107" s="202">
        <f>+H107+I107+J107</f>
        <v>1076220.2512020001</v>
      </c>
      <c r="G107" s="502">
        <v>0</v>
      </c>
      <c r="H107" s="203">
        <v>868431.32582499995</v>
      </c>
      <c r="I107" s="202">
        <v>168512.56127999999</v>
      </c>
      <c r="J107" s="202">
        <v>39276.364096999998</v>
      </c>
      <c r="K107" s="1028">
        <v>0</v>
      </c>
      <c r="L107" s="921">
        <v>0</v>
      </c>
      <c r="M107" s="175"/>
      <c r="N107" s="177">
        <v>988742.91058799997</v>
      </c>
      <c r="O107" s="180">
        <f>+N107-E107</f>
        <v>-87477.340614000103</v>
      </c>
    </row>
    <row r="108" spans="1:15" s="177" customFormat="1" ht="18" customHeight="1">
      <c r="A108" s="919" t="s">
        <v>2839</v>
      </c>
      <c r="B108" s="923">
        <v>0</v>
      </c>
      <c r="C108" s="923">
        <v>0</v>
      </c>
      <c r="D108" s="923">
        <v>0</v>
      </c>
      <c r="E108" s="1019">
        <f>G108+H108+I108+J108</f>
        <v>269730.17774000001</v>
      </c>
      <c r="F108" s="1020">
        <f>+H108+I108+J108</f>
        <v>269730.17774000001</v>
      </c>
      <c r="G108" s="920">
        <v>0</v>
      </c>
      <c r="H108" s="205">
        <v>161330.90822799999</v>
      </c>
      <c r="I108" s="204">
        <v>79963.265299000006</v>
      </c>
      <c r="J108" s="924">
        <v>28436.004213</v>
      </c>
      <c r="K108" s="1029">
        <v>0</v>
      </c>
      <c r="L108" s="923">
        <v>0</v>
      </c>
      <c r="M108" s="175"/>
    </row>
    <row r="109" spans="1:15" s="211" customFormat="1" ht="18" hidden="1" customHeight="1">
      <c r="A109" s="207" t="s">
        <v>215</v>
      </c>
      <c r="B109" s="922">
        <v>0</v>
      </c>
      <c r="C109" s="922">
        <v>0</v>
      </c>
      <c r="D109" s="922"/>
      <c r="E109" s="208">
        <f>+G109+H109+I109+J109</f>
        <v>0</v>
      </c>
      <c r="F109" s="922"/>
      <c r="G109" s="208">
        <v>0</v>
      </c>
      <c r="H109" s="209"/>
      <c r="I109" s="208">
        <v>0</v>
      </c>
      <c r="J109" s="208"/>
      <c r="K109" s="925"/>
      <c r="L109" s="922"/>
      <c r="M109" s="210"/>
      <c r="N109" s="211" t="s">
        <v>216</v>
      </c>
    </row>
    <row r="110" spans="1:15" s="177" customFormat="1" ht="18" hidden="1" customHeight="1">
      <c r="A110" s="212" t="s">
        <v>217</v>
      </c>
      <c r="B110" s="204"/>
      <c r="C110" s="204"/>
      <c r="D110" s="204"/>
      <c r="E110" s="204">
        <f>+G110+H110+I110+J110</f>
        <v>0</v>
      </c>
      <c r="F110" s="204"/>
      <c r="G110" s="204"/>
      <c r="H110" s="205"/>
      <c r="I110" s="204"/>
      <c r="J110" s="204"/>
      <c r="K110" s="206"/>
      <c r="L110" s="204"/>
      <c r="M110" s="175" t="e">
        <f>E110/"#REF!*100"</f>
        <v>#VALUE!</v>
      </c>
    </row>
    <row r="111" spans="1:15" s="177" customFormat="1" ht="18" hidden="1" customHeight="1">
      <c r="A111" s="212" t="s">
        <v>218</v>
      </c>
      <c r="B111" s="204">
        <v>0</v>
      </c>
      <c r="C111" s="204">
        <v>0</v>
      </c>
      <c r="D111" s="204"/>
      <c r="E111" s="204">
        <f>+G111+H111+I111+J111</f>
        <v>0</v>
      </c>
      <c r="F111" s="204"/>
      <c r="G111" s="204"/>
      <c r="H111" s="205"/>
      <c r="I111" s="204"/>
      <c r="J111" s="204"/>
      <c r="K111" s="206"/>
      <c r="L111" s="204"/>
      <c r="M111" s="175" t="e">
        <f>E111/"#REF!*100"</f>
        <v>#VALUE!</v>
      </c>
    </row>
    <row r="112" spans="1:15" s="177" customFormat="1" ht="18" hidden="1" customHeight="1">
      <c r="A112" s="212" t="s">
        <v>219</v>
      </c>
      <c r="B112" s="204">
        <v>0</v>
      </c>
      <c r="C112" s="204"/>
      <c r="D112" s="204"/>
      <c r="E112" s="204">
        <f>+G112+H112+I112+J112</f>
        <v>0</v>
      </c>
      <c r="F112" s="204"/>
      <c r="G112" s="204"/>
      <c r="H112" s="205"/>
      <c r="I112" s="204"/>
      <c r="J112" s="204"/>
      <c r="K112" s="206"/>
      <c r="L112" s="204"/>
      <c r="M112" s="175" t="e">
        <f>E112/"#REF!*100"</f>
        <v>#VALUE!</v>
      </c>
    </row>
    <row r="113" spans="1:15" ht="18" hidden="1" customHeight="1">
      <c r="A113" s="212" t="s">
        <v>220</v>
      </c>
      <c r="B113" s="204">
        <f>SUM(B115:B116)</f>
        <v>0</v>
      </c>
      <c r="C113" s="204">
        <f>+C115+C116+C117</f>
        <v>0</v>
      </c>
      <c r="D113" s="204"/>
      <c r="E113" s="205">
        <f>+E115+E116+E117</f>
        <v>0</v>
      </c>
      <c r="F113" s="205"/>
      <c r="G113" s="204">
        <f>G115+G116+G117</f>
        <v>0</v>
      </c>
      <c r="H113" s="205">
        <f>H115+H116+H117</f>
        <v>0</v>
      </c>
      <c r="I113" s="204">
        <f>I115+I116+I117</f>
        <v>0</v>
      </c>
      <c r="J113" s="204">
        <f>J115+J116+J117</f>
        <v>0</v>
      </c>
      <c r="K113" s="206"/>
      <c r="L113" s="204" t="e">
        <f>+E113/C113*100</f>
        <v>#DIV/0!</v>
      </c>
      <c r="M113" s="175" t="e">
        <f>E113/"#REF!*100"</f>
        <v>#VALUE!</v>
      </c>
    </row>
    <row r="114" spans="1:15" ht="18" hidden="1" customHeight="1">
      <c r="A114" s="212" t="s">
        <v>221</v>
      </c>
      <c r="B114" s="206"/>
      <c r="C114" s="206"/>
      <c r="D114" s="206"/>
      <c r="E114" s="204"/>
      <c r="F114" s="204"/>
      <c r="G114" s="206"/>
      <c r="H114" s="213"/>
      <c r="I114" s="206"/>
      <c r="J114" s="206"/>
      <c r="K114" s="206"/>
      <c r="L114" s="206"/>
      <c r="M114" s="184"/>
    </row>
    <row r="115" spans="1:15" ht="18" hidden="1" customHeight="1">
      <c r="A115" s="214" t="s">
        <v>222</v>
      </c>
      <c r="B115" s="206">
        <v>0</v>
      </c>
      <c r="C115" s="215"/>
      <c r="D115" s="215"/>
      <c r="E115" s="206">
        <f>H115+I115+J115</f>
        <v>0</v>
      </c>
      <c r="F115" s="206"/>
      <c r="G115" s="206"/>
      <c r="H115" s="213"/>
      <c r="I115" s="206"/>
      <c r="J115" s="206"/>
      <c r="K115" s="206"/>
      <c r="L115" s="206"/>
      <c r="M115" s="184" t="e">
        <f t="shared" ref="M115:M121" si="19">E115/"#REF!*100"</f>
        <v>#VALUE!</v>
      </c>
      <c r="N115" s="158">
        <f>+E115+E116</f>
        <v>0</v>
      </c>
    </row>
    <row r="116" spans="1:15" ht="18" hidden="1" customHeight="1">
      <c r="A116" s="214" t="s">
        <v>223</v>
      </c>
      <c r="B116" s="206">
        <v>0</v>
      </c>
      <c r="C116" s="206">
        <v>0</v>
      </c>
      <c r="D116" s="206"/>
      <c r="E116" s="206">
        <f t="shared" ref="E116:E122" si="20">H116+I116+J116</f>
        <v>0</v>
      </c>
      <c r="F116" s="206"/>
      <c r="G116" s="206"/>
      <c r="H116" s="213"/>
      <c r="I116" s="206"/>
      <c r="J116" s="206"/>
      <c r="K116" s="206"/>
      <c r="L116" s="206"/>
      <c r="M116" s="184" t="e">
        <f t="shared" si="19"/>
        <v>#VALUE!</v>
      </c>
    </row>
    <row r="117" spans="1:15" ht="18" hidden="1" customHeight="1">
      <c r="A117" s="214" t="s">
        <v>224</v>
      </c>
      <c r="B117" s="206"/>
      <c r="C117" s="206"/>
      <c r="D117" s="206"/>
      <c r="E117" s="213">
        <f>+E118+E119+E120+E121+E122</f>
        <v>0</v>
      </c>
      <c r="F117" s="213"/>
      <c r="G117" s="206">
        <f>SUM(G118:G121)</f>
        <v>0</v>
      </c>
      <c r="H117" s="213">
        <f>+H118+H119+H120+H121+H122</f>
        <v>0</v>
      </c>
      <c r="I117" s="206">
        <f>SUM(I118:I121)</f>
        <v>0</v>
      </c>
      <c r="J117" s="206">
        <f>SUM(J118:J121)</f>
        <v>0</v>
      </c>
      <c r="K117" s="206"/>
      <c r="L117" s="206" t="e">
        <f>+E117/C117*100</f>
        <v>#DIV/0!</v>
      </c>
      <c r="M117" s="184" t="e">
        <f t="shared" si="19"/>
        <v>#VALUE!</v>
      </c>
    </row>
    <row r="118" spans="1:15" ht="18" hidden="1" customHeight="1">
      <c r="A118" s="214" t="s">
        <v>225</v>
      </c>
      <c r="B118" s="206"/>
      <c r="C118" s="206"/>
      <c r="D118" s="206"/>
      <c r="E118" s="206">
        <f t="shared" si="20"/>
        <v>0</v>
      </c>
      <c r="F118" s="206"/>
      <c r="G118" s="206"/>
      <c r="H118" s="213"/>
      <c r="I118" s="206"/>
      <c r="J118" s="206"/>
      <c r="K118" s="206"/>
      <c r="L118" s="206"/>
      <c r="M118" s="184" t="e">
        <f t="shared" si="19"/>
        <v>#VALUE!</v>
      </c>
    </row>
    <row r="119" spans="1:15" ht="18" hidden="1" customHeight="1">
      <c r="A119" s="214" t="s">
        <v>160</v>
      </c>
      <c r="B119" s="206"/>
      <c r="C119" s="206"/>
      <c r="D119" s="206"/>
      <c r="E119" s="206">
        <f t="shared" si="20"/>
        <v>0</v>
      </c>
      <c r="F119" s="206"/>
      <c r="G119" s="206"/>
      <c r="H119" s="213"/>
      <c r="I119" s="206"/>
      <c r="J119" s="206"/>
      <c r="K119" s="206"/>
      <c r="L119" s="206"/>
      <c r="M119" s="184" t="e">
        <f t="shared" si="19"/>
        <v>#VALUE!</v>
      </c>
    </row>
    <row r="120" spans="1:15" ht="18" hidden="1" customHeight="1">
      <c r="A120" s="214" t="s">
        <v>226</v>
      </c>
      <c r="B120" s="206"/>
      <c r="C120" s="206"/>
      <c r="D120" s="206"/>
      <c r="E120" s="206">
        <f t="shared" si="20"/>
        <v>0</v>
      </c>
      <c r="F120" s="206"/>
      <c r="G120" s="206"/>
      <c r="H120" s="213"/>
      <c r="I120" s="206"/>
      <c r="J120" s="206"/>
      <c r="K120" s="206"/>
      <c r="L120" s="206"/>
      <c r="M120" s="184" t="e">
        <f t="shared" si="19"/>
        <v>#VALUE!</v>
      </c>
    </row>
    <row r="121" spans="1:15" ht="18" hidden="1" customHeight="1">
      <c r="A121" s="214" t="s">
        <v>227</v>
      </c>
      <c r="B121" s="206"/>
      <c r="C121" s="206"/>
      <c r="D121" s="206"/>
      <c r="E121" s="206">
        <f t="shared" si="20"/>
        <v>0</v>
      </c>
      <c r="F121" s="206"/>
      <c r="G121" s="206"/>
      <c r="H121" s="213"/>
      <c r="I121" s="206"/>
      <c r="J121" s="206"/>
      <c r="K121" s="206"/>
      <c r="L121" s="206"/>
      <c r="M121" s="184" t="e">
        <f t="shared" si="19"/>
        <v>#VALUE!</v>
      </c>
    </row>
    <row r="122" spans="1:15" ht="18" hidden="1" customHeight="1">
      <c r="A122" s="214" t="s">
        <v>228</v>
      </c>
      <c r="B122" s="206"/>
      <c r="C122" s="206"/>
      <c r="D122" s="206"/>
      <c r="E122" s="206">
        <f t="shared" si="20"/>
        <v>0</v>
      </c>
      <c r="F122" s="206"/>
      <c r="G122" s="206"/>
      <c r="H122" s="213"/>
      <c r="I122" s="206"/>
      <c r="J122" s="206"/>
      <c r="K122" s="206"/>
      <c r="L122" s="206"/>
      <c r="M122" s="184"/>
    </row>
    <row r="123" spans="1:15" ht="18" hidden="1" customHeight="1">
      <c r="A123" s="212" t="s">
        <v>229</v>
      </c>
      <c r="B123" s="216">
        <f>+B124+B125</f>
        <v>0</v>
      </c>
      <c r="C123" s="216">
        <f>+C124+C125</f>
        <v>0</v>
      </c>
      <c r="D123" s="216"/>
      <c r="E123" s="204">
        <f t="shared" ref="E123:E129" si="21">+G123+H123+I123+J123</f>
        <v>3841252.2598970002</v>
      </c>
      <c r="F123" s="204"/>
      <c r="G123" s="204">
        <f>+G124+G125</f>
        <v>0</v>
      </c>
      <c r="H123" s="205">
        <f>+H124+H125+H128</f>
        <v>2359441.4879370001</v>
      </c>
      <c r="I123" s="204">
        <f>+I124+I125</f>
        <v>1110290.815073</v>
      </c>
      <c r="J123" s="204">
        <f>+J124+J125</f>
        <v>371519.95688700001</v>
      </c>
      <c r="K123" s="206"/>
      <c r="L123" s="204"/>
      <c r="M123" s="175" t="e">
        <f>E123/"#REF!*100"</f>
        <v>#VALUE!</v>
      </c>
      <c r="N123" s="158">
        <f>+E123+E129</f>
        <v>3847415.88136</v>
      </c>
    </row>
    <row r="124" spans="1:15" ht="18" hidden="1" customHeight="1">
      <c r="A124" s="217" t="s">
        <v>230</v>
      </c>
      <c r="B124" s="216">
        <v>0</v>
      </c>
      <c r="C124" s="216">
        <v>0</v>
      </c>
      <c r="D124" s="216"/>
      <c r="E124" s="206">
        <f t="shared" si="21"/>
        <v>0</v>
      </c>
      <c r="F124" s="206"/>
      <c r="G124" s="206"/>
      <c r="H124" s="213"/>
      <c r="I124" s="218"/>
      <c r="J124" s="206"/>
      <c r="K124" s="206"/>
      <c r="L124" s="206"/>
      <c r="M124" s="184" t="e">
        <f>E124/"#REF!*100"</f>
        <v>#VALUE!</v>
      </c>
    </row>
    <row r="125" spans="1:15" ht="18" hidden="1" customHeight="1">
      <c r="A125" s="217" t="s">
        <v>231</v>
      </c>
      <c r="B125" s="216">
        <f>+B126+B127</f>
        <v>0</v>
      </c>
      <c r="C125" s="216">
        <f>+C126+C127</f>
        <v>0</v>
      </c>
      <c r="D125" s="216"/>
      <c r="E125" s="206">
        <f t="shared" si="21"/>
        <v>3841252.2598970002</v>
      </c>
      <c r="F125" s="206"/>
      <c r="G125" s="206">
        <f>+G126+G127</f>
        <v>0</v>
      </c>
      <c r="H125" s="213">
        <f>+H126+H127</f>
        <v>2359441.4879370001</v>
      </c>
      <c r="I125" s="219">
        <f>+I126+I127</f>
        <v>1110290.815073</v>
      </c>
      <c r="J125" s="219">
        <f>+J126+J127</f>
        <v>371519.95688700001</v>
      </c>
      <c r="K125" s="206"/>
      <c r="L125" s="206"/>
      <c r="M125" s="220" t="e">
        <f>E125/"#REF!*100"</f>
        <v>#VALUE!</v>
      </c>
    </row>
    <row r="126" spans="1:15" ht="18" hidden="1" customHeight="1">
      <c r="A126" s="217" t="s">
        <v>232</v>
      </c>
      <c r="B126" s="216">
        <v>0</v>
      </c>
      <c r="C126" s="216">
        <v>0</v>
      </c>
      <c r="D126" s="216"/>
      <c r="E126" s="206">
        <f t="shared" si="21"/>
        <v>3623885.4719600007</v>
      </c>
      <c r="F126" s="206"/>
      <c r="G126" s="206"/>
      <c r="H126" s="213">
        <f>2006074.7+136000+26176-26176</f>
        <v>2142074.7000000002</v>
      </c>
      <c r="I126" s="218">
        <v>1110290.815073</v>
      </c>
      <c r="J126" s="206">
        <v>371519.95688700001</v>
      </c>
      <c r="K126" s="206"/>
      <c r="L126" s="206"/>
      <c r="M126" s="220" t="e">
        <f>E126/"#REF!*100"</f>
        <v>#VALUE!</v>
      </c>
    </row>
    <row r="127" spans="1:15" ht="18" hidden="1" customHeight="1">
      <c r="A127" s="217" t="s">
        <v>233</v>
      </c>
      <c r="B127" s="216">
        <v>0</v>
      </c>
      <c r="C127" s="216">
        <v>0</v>
      </c>
      <c r="D127" s="216"/>
      <c r="E127" s="206">
        <f t="shared" si="21"/>
        <v>217366.78793699999</v>
      </c>
      <c r="F127" s="206"/>
      <c r="G127" s="206"/>
      <c r="H127" s="219">
        <v>217366.78793699999</v>
      </c>
      <c r="I127" s="206"/>
      <c r="J127" s="206"/>
      <c r="K127" s="206"/>
      <c r="L127" s="206"/>
      <c r="M127" s="220" t="e">
        <f>E127/"#REF!*100"</f>
        <v>#VALUE!</v>
      </c>
      <c r="N127" s="155">
        <v>46547</v>
      </c>
      <c r="O127" s="158">
        <v>170729.78793699999</v>
      </c>
    </row>
    <row r="128" spans="1:15" s="226" customFormat="1" ht="30" hidden="1">
      <c r="A128" s="221" t="s">
        <v>234</v>
      </c>
      <c r="B128" s="222"/>
      <c r="C128" s="222"/>
      <c r="D128" s="222"/>
      <c r="E128" s="223">
        <f t="shared" si="21"/>
        <v>0</v>
      </c>
      <c r="F128" s="223"/>
      <c r="G128" s="223"/>
      <c r="H128" s="224"/>
      <c r="I128" s="223"/>
      <c r="J128" s="223"/>
      <c r="K128" s="206"/>
      <c r="L128" s="223"/>
      <c r="M128" s="225"/>
      <c r="O128" s="227"/>
    </row>
    <row r="129" spans="1:15" s="177" customFormat="1" ht="18" hidden="1" customHeight="1">
      <c r="A129" s="228" t="s">
        <v>235</v>
      </c>
      <c r="B129" s="229">
        <v>0</v>
      </c>
      <c r="C129" s="229">
        <v>0</v>
      </c>
      <c r="D129" s="229"/>
      <c r="E129" s="204">
        <f t="shared" si="21"/>
        <v>6163.6214630000004</v>
      </c>
      <c r="F129" s="204"/>
      <c r="G129" s="204"/>
      <c r="H129" s="205">
        <v>6163.6214630000004</v>
      </c>
      <c r="I129" s="204"/>
      <c r="J129" s="204">
        <v>0</v>
      </c>
      <c r="K129" s="206"/>
      <c r="L129" s="204"/>
      <c r="M129" s="230" t="e">
        <f>E129/"#REF!*100"</f>
        <v>#VALUE!</v>
      </c>
    </row>
    <row r="130" spans="1:15" ht="18" hidden="1" customHeight="1">
      <c r="A130" s="231" t="s">
        <v>236</v>
      </c>
      <c r="B130" s="204">
        <f>B9</f>
        <v>4042000</v>
      </c>
      <c r="C130" s="204">
        <f t="shared" ref="C130:J130" si="22">C10+C113+C123+C129</f>
        <v>4202000</v>
      </c>
      <c r="D130" s="204"/>
      <c r="E130" s="204">
        <f t="shared" si="22"/>
        <v>8562466.1339149997</v>
      </c>
      <c r="F130" s="204"/>
      <c r="G130" s="204">
        <f t="shared" si="22"/>
        <v>358045.21860900003</v>
      </c>
      <c r="H130" s="205">
        <f t="shared" si="22"/>
        <v>6016030.4956910005</v>
      </c>
      <c r="I130" s="204">
        <f t="shared" si="22"/>
        <v>1769687.669154</v>
      </c>
      <c r="J130" s="204">
        <f t="shared" si="22"/>
        <v>455365.81646100001</v>
      </c>
      <c r="K130" s="206"/>
      <c r="L130" s="204">
        <f>+H130/C130*100</f>
        <v>143.17064482843884</v>
      </c>
      <c r="M130" s="220"/>
    </row>
    <row r="131" spans="1:15" ht="17.100000000000001" hidden="1" customHeight="1">
      <c r="A131" s="232" t="s">
        <v>237</v>
      </c>
      <c r="B131" s="233"/>
      <c r="C131" s="233"/>
      <c r="D131" s="233"/>
      <c r="E131" s="204">
        <f>G131+H131+I131+J131</f>
        <v>0</v>
      </c>
      <c r="F131" s="204"/>
      <c r="G131" s="234"/>
      <c r="H131" s="235"/>
      <c r="I131" s="235"/>
      <c r="J131" s="235"/>
      <c r="K131" s="206"/>
      <c r="L131" s="236"/>
      <c r="M131" s="220"/>
    </row>
    <row r="132" spans="1:15" ht="17.100000000000001" customHeight="1">
      <c r="A132" s="237"/>
      <c r="B132" s="238"/>
      <c r="C132" s="238"/>
      <c r="D132" s="238"/>
      <c r="E132" s="238"/>
      <c r="F132" s="238"/>
      <c r="G132" s="239"/>
      <c r="H132" s="240"/>
      <c r="I132" s="240"/>
      <c r="J132" s="240"/>
      <c r="K132" s="230"/>
      <c r="L132" s="220"/>
      <c r="M132" s="220"/>
    </row>
    <row r="133" spans="1:15" ht="17.100000000000001" hidden="1" customHeight="1">
      <c r="A133" s="241" t="s">
        <v>2718</v>
      </c>
      <c r="B133" s="238"/>
      <c r="C133" s="1672" t="s">
        <v>2718</v>
      </c>
      <c r="D133" s="1672"/>
      <c r="E133" s="1672"/>
      <c r="F133" s="1672"/>
      <c r="G133" s="1672"/>
      <c r="H133" s="1672"/>
      <c r="I133" s="240"/>
      <c r="J133" s="242" t="s">
        <v>2719</v>
      </c>
      <c r="K133" s="230"/>
      <c r="L133" s="220"/>
      <c r="M133" s="220"/>
    </row>
    <row r="134" spans="1:15" ht="17.100000000000001" hidden="1" customHeight="1">
      <c r="A134" s="243" t="s">
        <v>238</v>
      </c>
      <c r="B134" s="238"/>
      <c r="C134" s="1671" t="s">
        <v>239</v>
      </c>
      <c r="D134" s="1671"/>
      <c r="E134" s="1671"/>
      <c r="F134" s="1671"/>
      <c r="G134" s="1671"/>
      <c r="H134" s="1671"/>
      <c r="I134" s="240"/>
      <c r="J134" s="244" t="s">
        <v>85</v>
      </c>
      <c r="K134" s="230"/>
      <c r="L134" s="220"/>
      <c r="M134" s="220"/>
    </row>
    <row r="135" spans="1:15" ht="17.100000000000001" hidden="1" customHeight="1">
      <c r="A135" s="237"/>
      <c r="B135" s="238"/>
      <c r="C135" s="238"/>
      <c r="D135" s="238"/>
      <c r="E135" s="238"/>
      <c r="F135" s="238"/>
      <c r="G135" s="239"/>
      <c r="H135" s="240"/>
      <c r="I135" s="240"/>
      <c r="J135" s="245" t="s">
        <v>86</v>
      </c>
      <c r="K135" s="230"/>
      <c r="L135" s="220"/>
      <c r="M135" s="220"/>
    </row>
    <row r="136" spans="1:15" ht="17.100000000000001" hidden="1" customHeight="1">
      <c r="A136" s="237"/>
      <c r="B136" s="238"/>
      <c r="C136" s="238"/>
      <c r="D136" s="238"/>
      <c r="E136" s="238"/>
      <c r="F136" s="238"/>
      <c r="G136" s="239"/>
      <c r="H136" s="240"/>
      <c r="I136" s="240"/>
      <c r="J136" s="240"/>
      <c r="K136" s="230"/>
      <c r="L136" s="220"/>
      <c r="M136" s="220"/>
    </row>
    <row r="137" spans="1:15" ht="17.100000000000001" customHeight="1">
      <c r="A137" s="237"/>
      <c r="B137" s="238"/>
      <c r="C137" s="238"/>
      <c r="D137" s="238"/>
      <c r="E137" s="238"/>
      <c r="F137" s="238"/>
      <c r="G137" s="239"/>
      <c r="H137" s="240"/>
      <c r="I137" s="240"/>
      <c r="J137" s="240"/>
      <c r="K137" s="230"/>
      <c r="L137" s="220"/>
      <c r="M137" s="220"/>
    </row>
    <row r="138" spans="1:15" ht="17.100000000000001" customHeight="1">
      <c r="A138" s="237"/>
      <c r="B138" s="238"/>
      <c r="C138" s="238"/>
      <c r="D138" s="238"/>
      <c r="E138" s="238"/>
      <c r="F138" s="238"/>
      <c r="G138" s="239"/>
      <c r="H138" s="240"/>
      <c r="I138" s="240"/>
      <c r="J138" s="240"/>
      <c r="K138" s="230"/>
      <c r="L138" s="220"/>
      <c r="M138" s="220"/>
      <c r="N138" s="158"/>
      <c r="O138" s="158"/>
    </row>
    <row r="139" spans="1:15">
      <c r="A139" s="246"/>
      <c r="B139" s="246"/>
      <c r="E139" s="246"/>
      <c r="F139" s="246"/>
      <c r="I139" s="246"/>
      <c r="J139" s="246"/>
      <c r="K139" s="246"/>
    </row>
    <row r="140" spans="1:15">
      <c r="A140" s="247"/>
      <c r="B140" s="248"/>
      <c r="E140" s="249"/>
      <c r="F140" s="249"/>
      <c r="G140" s="250"/>
      <c r="H140" s="248"/>
      <c r="I140" s="247"/>
      <c r="J140" s="249"/>
      <c r="K140" s="248"/>
      <c r="L140" s="251"/>
      <c r="M140" s="251"/>
    </row>
    <row r="141" spans="1:15">
      <c r="I141" s="249"/>
      <c r="J141" s="247"/>
    </row>
    <row r="142" spans="1:15">
      <c r="A142" s="125"/>
      <c r="E142" s="125"/>
      <c r="F142" s="125"/>
    </row>
    <row r="143" spans="1:15">
      <c r="A143" s="252"/>
      <c r="E143" s="125"/>
      <c r="F143" s="125"/>
    </row>
    <row r="144" spans="1:15">
      <c r="A144" s="252"/>
      <c r="E144" s="125"/>
      <c r="F144" s="125"/>
      <c r="N144" s="158"/>
    </row>
    <row r="145" spans="1:19">
      <c r="A145" s="125"/>
      <c r="N145" s="158"/>
    </row>
    <row r="146" spans="1:19">
      <c r="A146" s="125"/>
    </row>
    <row r="147" spans="1:19" s="154" customFormat="1">
      <c r="A147" s="125"/>
      <c r="L147" s="155"/>
      <c r="M147" s="155"/>
      <c r="N147" s="155"/>
      <c r="O147" s="155"/>
      <c r="P147" s="155"/>
      <c r="Q147" s="155"/>
      <c r="R147" s="155"/>
      <c r="S147" s="155"/>
    </row>
    <row r="148" spans="1:19" s="154" customFormat="1">
      <c r="L148" s="155"/>
      <c r="M148" s="155"/>
      <c r="N148" s="155"/>
      <c r="O148" s="155"/>
      <c r="P148" s="155"/>
      <c r="Q148" s="155"/>
      <c r="R148" s="155"/>
      <c r="S148" s="155"/>
    </row>
  </sheetData>
  <sheetProtection selectLockedCells="1" selectUnlockedCells="1"/>
  <mergeCells count="16">
    <mergeCell ref="F1:L1"/>
    <mergeCell ref="C133:H133"/>
    <mergeCell ref="C134:H134"/>
    <mergeCell ref="A3:L3"/>
    <mergeCell ref="C6:C7"/>
    <mergeCell ref="D6:D7"/>
    <mergeCell ref="E6:E7"/>
    <mergeCell ref="F6:F7"/>
    <mergeCell ref="K6:K7"/>
    <mergeCell ref="L6:L7"/>
    <mergeCell ref="A2:L2"/>
    <mergeCell ref="F4:L4"/>
    <mergeCell ref="C5:D5"/>
    <mergeCell ref="E5:F5"/>
    <mergeCell ref="G5:J5"/>
    <mergeCell ref="K5:L5"/>
  </mergeCells>
  <pageMargins left="0" right="0" top="0.5" bottom="0.5" header="0" footer="0"/>
  <pageSetup paperSize="9" scale="95" firstPageNumber="0"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I59"/>
  <sheetViews>
    <sheetView workbookViewId="0">
      <selection activeCell="A5" sqref="A5:L5"/>
    </sheetView>
  </sheetViews>
  <sheetFormatPr defaultRowHeight="15.75"/>
  <cols>
    <col min="1" max="1" width="4.7109375" style="102" customWidth="1"/>
    <col min="2" max="2" width="47.140625" style="102" customWidth="1"/>
    <col min="3" max="3" width="12.140625" style="102" hidden="1" customWidth="1"/>
    <col min="4" max="4" width="9.7109375" style="102" customWidth="1"/>
    <col min="5" max="5" width="12.28515625" style="103" customWidth="1"/>
    <col min="6" max="6" width="10.42578125" style="102" customWidth="1"/>
    <col min="7" max="7" width="13.5703125" style="102" customWidth="1"/>
    <col min="8" max="8" width="23.42578125" style="102" hidden="1" customWidth="1"/>
    <col min="9" max="9" width="20.7109375" style="102" hidden="1" customWidth="1"/>
    <col min="10" max="16384" width="9.140625" style="102"/>
  </cols>
  <sheetData>
    <row r="1" spans="1:9" s="1142" customFormat="1" ht="17.100000000000001" customHeight="1">
      <c r="A1" s="1141" t="s">
        <v>2882</v>
      </c>
      <c r="E1" s="1143"/>
      <c r="F1" s="1710" t="s">
        <v>2877</v>
      </c>
      <c r="G1" s="1710"/>
      <c r="H1" s="1144"/>
    </row>
    <row r="2" spans="1:9" s="1142" customFormat="1" ht="17.100000000000001" customHeight="1">
      <c r="A2" s="1141" t="s">
        <v>2883</v>
      </c>
      <c r="E2" s="1143"/>
      <c r="F2" s="1145"/>
      <c r="G2" s="1145"/>
      <c r="H2" s="1144"/>
    </row>
    <row r="3" spans="1:9" ht="30.75" customHeight="1">
      <c r="F3" s="1146"/>
      <c r="G3" s="1146"/>
      <c r="H3" s="1147"/>
    </row>
    <row r="4" spans="1:9" ht="21.75" customHeight="1">
      <c r="A4" s="1685" t="s">
        <v>943</v>
      </c>
      <c r="B4" s="1685"/>
      <c r="C4" s="1685"/>
      <c r="D4" s="1685"/>
      <c r="E4" s="1685"/>
      <c r="F4" s="1685"/>
      <c r="G4" s="1685"/>
    </row>
    <row r="5" spans="1:9" ht="21.75" customHeight="1">
      <c r="A5" s="1694" t="s">
        <v>2884</v>
      </c>
      <c r="B5" s="1694"/>
      <c r="C5" s="1694"/>
      <c r="D5" s="1694"/>
      <c r="E5" s="1694"/>
      <c r="F5" s="1694"/>
      <c r="G5" s="1694"/>
    </row>
    <row r="6" spans="1:9" ht="21.75" customHeight="1">
      <c r="A6" s="1148"/>
      <c r="B6" s="1148"/>
      <c r="C6" s="1148"/>
      <c r="D6" s="1148"/>
      <c r="E6" s="1148"/>
      <c r="F6" s="1148"/>
      <c r="G6" s="1148"/>
    </row>
    <row r="7" spans="1:9" ht="24.95" customHeight="1">
      <c r="B7" s="105"/>
      <c r="C7" s="105"/>
      <c r="D7" s="106"/>
      <c r="E7" s="544"/>
      <c r="F7" s="1695" t="s">
        <v>44</v>
      </c>
      <c r="G7" s="1695"/>
      <c r="H7" s="1695"/>
    </row>
    <row r="8" spans="1:9" ht="21.95" customHeight="1">
      <c r="A8" s="1696" t="s">
        <v>45</v>
      </c>
      <c r="B8" s="1697" t="s">
        <v>98</v>
      </c>
      <c r="C8" s="1697" t="s">
        <v>1011</v>
      </c>
      <c r="D8" s="1697"/>
      <c r="E8" s="1698" t="s">
        <v>2826</v>
      </c>
      <c r="F8" s="1697" t="s">
        <v>124</v>
      </c>
      <c r="G8" s="1697"/>
      <c r="H8" s="1150"/>
    </row>
    <row r="9" spans="1:9" ht="21.95" customHeight="1">
      <c r="A9" s="1696"/>
      <c r="B9" s="1697"/>
      <c r="C9" s="1697"/>
      <c r="D9" s="1697"/>
      <c r="E9" s="1698"/>
      <c r="F9" s="1151" t="s">
        <v>2863</v>
      </c>
      <c r="G9" s="1151" t="s">
        <v>2879</v>
      </c>
      <c r="H9" s="1152" t="s">
        <v>2880</v>
      </c>
    </row>
    <row r="10" spans="1:9" ht="24.75" hidden="1" customHeight="1">
      <c r="A10" s="1165"/>
      <c r="B10" s="1166"/>
      <c r="C10" s="1166"/>
      <c r="D10" s="1167"/>
      <c r="E10" s="1168"/>
      <c r="F10" s="1169"/>
      <c r="G10" s="1169"/>
      <c r="H10" s="1149"/>
    </row>
    <row r="11" spans="1:9" ht="18.75" hidden="1" customHeight="1">
      <c r="A11" s="1170"/>
      <c r="B11" s="1171"/>
      <c r="C11" s="1688" t="s">
        <v>1011</v>
      </c>
      <c r="D11" s="1689"/>
      <c r="E11" s="1172" t="s">
        <v>96</v>
      </c>
      <c r="F11" s="1686" t="s">
        <v>124</v>
      </c>
      <c r="G11" s="1687"/>
      <c r="H11" s="116"/>
    </row>
    <row r="12" spans="1:9" ht="19.5" hidden="1" customHeight="1">
      <c r="A12" s="1173" t="s">
        <v>45</v>
      </c>
      <c r="B12" s="1174" t="s">
        <v>355</v>
      </c>
      <c r="C12" s="1690"/>
      <c r="D12" s="1691"/>
      <c r="E12" s="1175" t="s">
        <v>100</v>
      </c>
      <c r="F12" s="1176" t="s">
        <v>1012</v>
      </c>
      <c r="G12" s="1177" t="s">
        <v>1014</v>
      </c>
    </row>
    <row r="13" spans="1:9" ht="19.5" hidden="1" customHeight="1">
      <c r="A13" s="1178"/>
      <c r="B13" s="1179"/>
      <c r="C13" s="1692"/>
      <c r="D13" s="1693"/>
      <c r="E13" s="1180">
        <v>2018</v>
      </c>
      <c r="F13" s="1181" t="s">
        <v>1013</v>
      </c>
      <c r="G13" s="1182" t="s">
        <v>1015</v>
      </c>
    </row>
    <row r="14" spans="1:9" ht="21.95" customHeight="1">
      <c r="A14" s="1186" t="s">
        <v>57</v>
      </c>
      <c r="B14" s="1186" t="s">
        <v>80</v>
      </c>
      <c r="C14" s="1186" t="s">
        <v>104</v>
      </c>
      <c r="D14" s="1186" t="s">
        <v>104</v>
      </c>
      <c r="E14" s="1187" t="s">
        <v>105</v>
      </c>
      <c r="F14" s="1186" t="s">
        <v>868</v>
      </c>
      <c r="G14" s="1186" t="s">
        <v>878</v>
      </c>
    </row>
    <row r="15" spans="1:9" ht="21.95" customHeight="1">
      <c r="A15" s="1183" t="s">
        <v>57</v>
      </c>
      <c r="B15" s="1202" t="s">
        <v>987</v>
      </c>
      <c r="C15" s="556">
        <f>C16+C19+C30+C29+C31+C32</f>
        <v>9247328</v>
      </c>
      <c r="D15" s="1188">
        <f>+D16+D19+D32+D29+D30+D31</f>
        <v>9504996</v>
      </c>
      <c r="E15" s="1189">
        <f>E16+E19+E29+E30+E31+E32+E33+E34</f>
        <v>11571247.355690001</v>
      </c>
      <c r="F15" s="1190">
        <f>E15-D15</f>
        <v>2066251.3556900006</v>
      </c>
      <c r="G15" s="1191">
        <f>E15/D15*100</f>
        <v>121.73858206452692</v>
      </c>
      <c r="H15" s="401"/>
      <c r="I15" s="116"/>
    </row>
    <row r="16" spans="1:9" s="545" customFormat="1" ht="21.95" customHeight="1">
      <c r="A16" s="1183" t="s">
        <v>108</v>
      </c>
      <c r="B16" s="1203" t="s">
        <v>110</v>
      </c>
      <c r="C16" s="1154">
        <f>+C17+C18</f>
        <v>3762000</v>
      </c>
      <c r="D16" s="1188">
        <f>D17+D18</f>
        <v>3922000</v>
      </c>
      <c r="E16" s="1189">
        <f>E17+E18</f>
        <v>4357005.0339459991</v>
      </c>
      <c r="F16" s="1190">
        <f t="shared" ref="F16:F47" si="0">E16-D16</f>
        <v>435005.03394599911</v>
      </c>
      <c r="G16" s="1191">
        <f t="shared" ref="G16:G19" si="1">E16/D16*100</f>
        <v>111.0914083107088</v>
      </c>
    </row>
    <row r="17" spans="1:9" ht="21.95" customHeight="1">
      <c r="A17" s="1160"/>
      <c r="B17" s="1204" t="s">
        <v>988</v>
      </c>
      <c r="C17" s="1155">
        <v>1388900</v>
      </c>
      <c r="D17" s="1161">
        <v>1544455</v>
      </c>
      <c r="E17" s="1163">
        <f>'TH THU_61_342_50_31'!O9</f>
        <v>1653659.9229969992</v>
      </c>
      <c r="F17" s="1192">
        <f t="shared" si="0"/>
        <v>109204.92299699923</v>
      </c>
      <c r="G17" s="1193">
        <f t="shared" si="1"/>
        <v>107.07077402688969</v>
      </c>
      <c r="H17" s="116"/>
      <c r="I17" s="116"/>
    </row>
    <row r="18" spans="1:9" s="117" customFormat="1" ht="21.95" customHeight="1">
      <c r="A18" s="1184"/>
      <c r="B18" s="1204" t="s">
        <v>989</v>
      </c>
      <c r="C18" s="1155">
        <v>2373100</v>
      </c>
      <c r="D18" s="1161">
        <v>2377545</v>
      </c>
      <c r="E18" s="1163">
        <f>'TH THU_61_342_50_31'!O10</f>
        <v>2703345.1109489999</v>
      </c>
      <c r="F18" s="1192">
        <f t="shared" si="0"/>
        <v>325800.11094899988</v>
      </c>
      <c r="G18" s="1193">
        <f t="shared" si="1"/>
        <v>113.70321533131865</v>
      </c>
    </row>
    <row r="19" spans="1:9" s="545" customFormat="1" ht="21.95" customHeight="1">
      <c r="A19" s="1183" t="s">
        <v>109</v>
      </c>
      <c r="B19" s="1202" t="s">
        <v>71</v>
      </c>
      <c r="C19" s="556">
        <f>+C20+C25</f>
        <v>5347828</v>
      </c>
      <c r="D19" s="1188">
        <f>+D20+D25</f>
        <v>5445496</v>
      </c>
      <c r="E19" s="1189">
        <f>+E20+E25</f>
        <v>5829813</v>
      </c>
      <c r="F19" s="1190">
        <f t="shared" si="0"/>
        <v>384317</v>
      </c>
      <c r="G19" s="1191">
        <f t="shared" si="1"/>
        <v>107.05752056378334</v>
      </c>
    </row>
    <row r="20" spans="1:9" ht="21.95" customHeight="1">
      <c r="A20" s="1160">
        <v>1</v>
      </c>
      <c r="B20" s="1205" t="s">
        <v>990</v>
      </c>
      <c r="C20" s="1157">
        <f>+C21+C22+C23+C24</f>
        <v>3196428</v>
      </c>
      <c r="D20" s="1194">
        <f>+D21+D22+D23+D24+201849</f>
        <v>3398277</v>
      </c>
      <c r="E20" s="1163">
        <f>+'TH THU_61_342_50_31'!F100</f>
        <v>3398277</v>
      </c>
      <c r="F20" s="1188">
        <f t="shared" si="0"/>
        <v>0</v>
      </c>
      <c r="G20" s="1193">
        <f>E20/D21*100</f>
        <v>106.31483017918752</v>
      </c>
      <c r="H20" s="103"/>
    </row>
    <row r="21" spans="1:9" ht="20.100000000000001" hidden="1" customHeight="1">
      <c r="A21" s="1160"/>
      <c r="B21" s="1206" t="s">
        <v>111</v>
      </c>
      <c r="C21" s="1158">
        <v>3196428</v>
      </c>
      <c r="D21" s="1195">
        <v>3196428</v>
      </c>
      <c r="E21" s="1196">
        <f>'TH THU_61_342_50_31'!F100</f>
        <v>3398277</v>
      </c>
      <c r="F21" s="1192">
        <f t="shared" si="0"/>
        <v>201849</v>
      </c>
      <c r="G21" s="1197"/>
    </row>
    <row r="22" spans="1:9" ht="20.100000000000001" hidden="1" customHeight="1">
      <c r="A22" s="1160"/>
      <c r="B22" s="1206" t="s">
        <v>112</v>
      </c>
      <c r="C22" s="1158"/>
      <c r="D22" s="1195"/>
      <c r="E22" s="1196"/>
      <c r="F22" s="1192">
        <f t="shared" si="0"/>
        <v>0</v>
      </c>
      <c r="G22" s="1197"/>
      <c r="H22" s="116"/>
    </row>
    <row r="23" spans="1:9" ht="20.100000000000001" hidden="1" customHeight="1">
      <c r="A23" s="1160"/>
      <c r="B23" s="1206" t="s">
        <v>113</v>
      </c>
      <c r="C23" s="1158"/>
      <c r="D23" s="1195"/>
      <c r="E23" s="1196"/>
      <c r="F23" s="1192">
        <f t="shared" si="0"/>
        <v>0</v>
      </c>
      <c r="G23" s="1197"/>
      <c r="H23" s="116"/>
    </row>
    <row r="24" spans="1:9" ht="20.100000000000001" hidden="1" customHeight="1">
      <c r="A24" s="1160"/>
      <c r="B24" s="1206" t="s">
        <v>114</v>
      </c>
      <c r="C24" s="1158"/>
      <c r="D24" s="1195"/>
      <c r="E24" s="1196"/>
      <c r="F24" s="1192">
        <f t="shared" si="0"/>
        <v>0</v>
      </c>
      <c r="G24" s="1197"/>
    </row>
    <row r="25" spans="1:9" ht="21.95" customHeight="1">
      <c r="A25" s="1160">
        <v>2</v>
      </c>
      <c r="B25" s="1205" t="s">
        <v>991</v>
      </c>
      <c r="C25" s="1155">
        <f>201849+1949551</f>
        <v>2151400</v>
      </c>
      <c r="D25" s="1161">
        <f>1949551+97668</f>
        <v>2047219</v>
      </c>
      <c r="E25" s="1163">
        <f>'TH THU_61_342_50_31'!F101</f>
        <v>2431536</v>
      </c>
      <c r="F25" s="1192">
        <f t="shared" si="0"/>
        <v>384317</v>
      </c>
      <c r="G25" s="1193">
        <f>E25/D25*100</f>
        <v>118.77263741690555</v>
      </c>
    </row>
    <row r="26" spans="1:9" ht="20.100000000000001" hidden="1" customHeight="1">
      <c r="A26" s="1160"/>
      <c r="B26" s="1206" t="s">
        <v>115</v>
      </c>
      <c r="C26" s="1159">
        <v>507420</v>
      </c>
      <c r="D26" s="1162"/>
      <c r="E26" s="1163">
        <f>'TH THU_61_342_50_31'!F102</f>
        <v>2431536</v>
      </c>
      <c r="F26" s="1190">
        <f t="shared" si="0"/>
        <v>2431536</v>
      </c>
      <c r="G26" s="1193" t="e">
        <f t="shared" ref="G26:G32" si="2">E26/D26*100</f>
        <v>#DIV/0!</v>
      </c>
    </row>
    <row r="27" spans="1:9" ht="20.100000000000001" hidden="1" customHeight="1">
      <c r="A27" s="1160"/>
      <c r="B27" s="1206" t="s">
        <v>116</v>
      </c>
      <c r="C27" s="1156">
        <v>125042</v>
      </c>
      <c r="D27" s="1198"/>
      <c r="E27" s="1163"/>
      <c r="F27" s="1190">
        <f t="shared" si="0"/>
        <v>0</v>
      </c>
      <c r="G27" s="1193" t="e">
        <f t="shared" si="2"/>
        <v>#DIV/0!</v>
      </c>
    </row>
    <row r="28" spans="1:9" s="118" customFormat="1" hidden="1">
      <c r="A28" s="1160"/>
      <c r="B28" s="1206" t="s">
        <v>117</v>
      </c>
      <c r="C28" s="1161"/>
      <c r="D28" s="1162"/>
      <c r="E28" s="1163"/>
      <c r="F28" s="1190">
        <f t="shared" si="0"/>
        <v>0</v>
      </c>
      <c r="G28" s="1193" t="e">
        <f t="shared" si="2"/>
        <v>#DIV/0!</v>
      </c>
    </row>
    <row r="29" spans="1:9" s="545" customFormat="1" ht="21.95" customHeight="1">
      <c r="A29" s="1183" t="s">
        <v>118</v>
      </c>
      <c r="B29" s="1202" t="s">
        <v>64</v>
      </c>
      <c r="C29" s="556"/>
      <c r="D29" s="1188">
        <v>0</v>
      </c>
      <c r="E29" s="1189">
        <f>'TH THU_61_342_50_31'!D88</f>
        <v>19472</v>
      </c>
      <c r="F29" s="1190">
        <f t="shared" si="0"/>
        <v>19472</v>
      </c>
      <c r="G29" s="1193">
        <v>0</v>
      </c>
    </row>
    <row r="30" spans="1:9" s="545" customFormat="1" ht="21.95" customHeight="1">
      <c r="A30" s="1183" t="s">
        <v>320</v>
      </c>
      <c r="B30" s="1202" t="s">
        <v>993</v>
      </c>
      <c r="C30" s="556"/>
      <c r="D30" s="1188">
        <v>0</v>
      </c>
      <c r="E30" s="1189">
        <f>'TH THU_61_342_50_31'!D106</f>
        <v>269730.17774000001</v>
      </c>
      <c r="F30" s="1190">
        <f t="shared" si="0"/>
        <v>269730.17774000001</v>
      </c>
      <c r="G30" s="1193">
        <v>0</v>
      </c>
      <c r="H30" s="546"/>
    </row>
    <row r="31" spans="1:9" s="545" customFormat="1" ht="21.95" customHeight="1">
      <c r="A31" s="1183" t="s">
        <v>321</v>
      </c>
      <c r="B31" s="1202" t="s">
        <v>992</v>
      </c>
      <c r="C31" s="1164"/>
      <c r="D31" s="1188">
        <v>0</v>
      </c>
      <c r="E31" s="1199">
        <f>'TH THU_61_342_50_31'!D105</f>
        <v>1076220.2512020001</v>
      </c>
      <c r="F31" s="1190">
        <f>E31-D31</f>
        <v>1076220.2512020001</v>
      </c>
      <c r="G31" s="1193">
        <v>0</v>
      </c>
      <c r="H31" s="547"/>
    </row>
    <row r="32" spans="1:9" s="545" customFormat="1" ht="21.95" customHeight="1">
      <c r="A32" s="1183" t="s">
        <v>323</v>
      </c>
      <c r="B32" s="1202" t="s">
        <v>1010</v>
      </c>
      <c r="C32" s="1154">
        <v>137500</v>
      </c>
      <c r="D32" s="1188">
        <v>137500</v>
      </c>
      <c r="E32" s="1188">
        <v>0</v>
      </c>
      <c r="F32" s="1190">
        <f t="shared" si="0"/>
        <v>-137500</v>
      </c>
      <c r="G32" s="1193">
        <f t="shared" si="2"/>
        <v>0</v>
      </c>
      <c r="H32" s="547"/>
    </row>
    <row r="33" spans="1:9" s="545" customFormat="1" ht="21.95" customHeight="1">
      <c r="A33" s="1183" t="s">
        <v>325</v>
      </c>
      <c r="B33" s="1202" t="s">
        <v>77</v>
      </c>
      <c r="C33" s="1164"/>
      <c r="D33" s="1188">
        <v>0</v>
      </c>
      <c r="E33" s="1199">
        <f>'TH THU_61_342_50_31'!D85</f>
        <v>17191.065999999999</v>
      </c>
      <c r="F33" s="1190">
        <f t="shared" si="0"/>
        <v>17191.065999999999</v>
      </c>
      <c r="G33" s="1193">
        <v>0</v>
      </c>
      <c r="H33" s="547"/>
    </row>
    <row r="34" spans="1:9" s="545" customFormat="1" ht="21.95" customHeight="1">
      <c r="A34" s="1183" t="s">
        <v>360</v>
      </c>
      <c r="B34" s="1202" t="s">
        <v>69</v>
      </c>
      <c r="C34" s="1164"/>
      <c r="D34" s="1188">
        <v>0</v>
      </c>
      <c r="E34" s="1199">
        <f>+'TH THU_61_342_50_31'!F104</f>
        <v>1815.826802</v>
      </c>
      <c r="F34" s="1190">
        <f t="shared" si="0"/>
        <v>1815.826802</v>
      </c>
      <c r="G34" s="1193">
        <v>0</v>
      </c>
      <c r="H34" s="547"/>
    </row>
    <row r="35" spans="1:9" ht="21.95" customHeight="1">
      <c r="A35" s="1183" t="s">
        <v>80</v>
      </c>
      <c r="B35" s="1202" t="s">
        <v>994</v>
      </c>
      <c r="C35" s="556">
        <f>+C36+C43+C46+C47</f>
        <v>9247328</v>
      </c>
      <c r="D35" s="1188">
        <f>+D36+D43+D46+D47</f>
        <v>9418496</v>
      </c>
      <c r="E35" s="1199">
        <f>+E36+E43+E46+E47+E48</f>
        <v>11448522.987718999</v>
      </c>
      <c r="F35" s="1190">
        <f t="shared" si="0"/>
        <v>2030026.9877189994</v>
      </c>
      <c r="G35" s="1191">
        <f>E35/D35*100</f>
        <v>121.55362159435008</v>
      </c>
    </row>
    <row r="36" spans="1:9" ht="21.95" customHeight="1">
      <c r="A36" s="1183" t="s">
        <v>108</v>
      </c>
      <c r="B36" s="1202" t="s">
        <v>995</v>
      </c>
      <c r="C36" s="556">
        <f>+C37+C38+C39+C40+C41+C42</f>
        <v>7211277</v>
      </c>
      <c r="D36" s="1188">
        <f>+D37+D38+D39+D40+D41+D42</f>
        <v>7614235</v>
      </c>
      <c r="E36" s="1199">
        <f>+E37+E38+E39+E40+E41+E42</f>
        <v>8515965.8033209983</v>
      </c>
      <c r="F36" s="1190">
        <f t="shared" si="0"/>
        <v>901730.80332099833</v>
      </c>
      <c r="G36" s="1191">
        <v>0</v>
      </c>
    </row>
    <row r="37" spans="1:9" ht="21.95" customHeight="1">
      <c r="A37" s="1160">
        <v>1</v>
      </c>
      <c r="B37" s="1205" t="s">
        <v>59</v>
      </c>
      <c r="C37" s="1156">
        <f>1656790</f>
        <v>1656790</v>
      </c>
      <c r="D37" s="1161">
        <v>1785790</v>
      </c>
      <c r="E37" s="1163">
        <f>'TH CHI_62_342_51_52_53_31'!E9</f>
        <v>2273828.1467739996</v>
      </c>
      <c r="F37" s="1192">
        <f t="shared" si="0"/>
        <v>488038.14677399956</v>
      </c>
      <c r="G37" s="1193">
        <f>E37/D37*100</f>
        <v>127.32897747069923</v>
      </c>
      <c r="I37" s="103"/>
    </row>
    <row r="38" spans="1:9" ht="21.95" customHeight="1">
      <c r="A38" s="1160">
        <v>2</v>
      </c>
      <c r="B38" s="1205" t="s">
        <v>66</v>
      </c>
      <c r="C38" s="1156">
        <v>5409477</v>
      </c>
      <c r="D38" s="1161">
        <v>5676262</v>
      </c>
      <c r="E38" s="1200">
        <f>'TH CHI_62_342_51_52_53_31'!E35</f>
        <v>6240733.7518939991</v>
      </c>
      <c r="F38" s="1192">
        <f t="shared" si="0"/>
        <v>564471.75189399906</v>
      </c>
      <c r="G38" s="1193">
        <f>E38/D38*100</f>
        <v>109.94442736952593</v>
      </c>
    </row>
    <row r="39" spans="1:9" ht="21.95" customHeight="1">
      <c r="A39" s="1160">
        <v>3</v>
      </c>
      <c r="B39" s="1205" t="s">
        <v>996</v>
      </c>
      <c r="C39" s="1156">
        <v>800</v>
      </c>
      <c r="D39" s="1161">
        <v>1783</v>
      </c>
      <c r="E39" s="1200">
        <v>403.904653</v>
      </c>
      <c r="F39" s="1192">
        <f>E39-D39</f>
        <v>-1379.0953469999999</v>
      </c>
      <c r="G39" s="1193">
        <v>0</v>
      </c>
    </row>
    <row r="40" spans="1:9" ht="21.95" customHeight="1">
      <c r="A40" s="1160">
        <v>4</v>
      </c>
      <c r="B40" s="1205" t="s">
        <v>68</v>
      </c>
      <c r="C40" s="1156">
        <v>1000</v>
      </c>
      <c r="D40" s="1161">
        <v>1000</v>
      </c>
      <c r="E40" s="1200">
        <v>1000</v>
      </c>
      <c r="F40" s="1192">
        <f t="shared" si="0"/>
        <v>0</v>
      </c>
      <c r="G40" s="1193">
        <v>0</v>
      </c>
      <c r="I40" s="134">
        <v>16759003404197</v>
      </c>
    </row>
    <row r="41" spans="1:9" ht="21.95" customHeight="1">
      <c r="A41" s="1160">
        <v>5</v>
      </c>
      <c r="B41" s="1205" t="s">
        <v>120</v>
      </c>
      <c r="C41" s="1156">
        <v>143210</v>
      </c>
      <c r="D41" s="1161">
        <v>149400</v>
      </c>
      <c r="E41" s="1193">
        <v>0</v>
      </c>
      <c r="F41" s="1192">
        <f t="shared" si="0"/>
        <v>-149400</v>
      </c>
      <c r="G41" s="1193">
        <v>0</v>
      </c>
      <c r="I41" s="134">
        <v>16231065309237</v>
      </c>
    </row>
    <row r="42" spans="1:9" ht="21.95" customHeight="1">
      <c r="A42" s="1160">
        <v>6</v>
      </c>
      <c r="B42" s="1205" t="s">
        <v>997</v>
      </c>
      <c r="C42" s="1156"/>
      <c r="D42" s="1161">
        <v>0</v>
      </c>
      <c r="E42" s="1193">
        <v>0</v>
      </c>
      <c r="F42" s="1192">
        <f t="shared" si="0"/>
        <v>0</v>
      </c>
      <c r="G42" s="1193">
        <v>0</v>
      </c>
      <c r="I42" s="134">
        <f>+I40-I41</f>
        <v>527938094960</v>
      </c>
    </row>
    <row r="43" spans="1:9" s="545" customFormat="1" ht="21.95" customHeight="1">
      <c r="A43" s="1183" t="s">
        <v>109</v>
      </c>
      <c r="B43" s="1202" t="s">
        <v>998</v>
      </c>
      <c r="C43" s="556">
        <f>+C44+C45</f>
        <v>1949551</v>
      </c>
      <c r="D43" s="1188">
        <f>+D44+D45</f>
        <v>1804261</v>
      </c>
      <c r="E43" s="1201">
        <f>+'TH CHI_62_342_51_52_53_31'!E80</f>
        <v>875940.825006</v>
      </c>
      <c r="F43" s="1190">
        <f t="shared" si="0"/>
        <v>-928320.174994</v>
      </c>
      <c r="G43" s="1191">
        <v>0</v>
      </c>
      <c r="I43" s="550"/>
    </row>
    <row r="44" spans="1:9" ht="21.95" customHeight="1">
      <c r="A44" s="1160">
        <v>1</v>
      </c>
      <c r="B44" s="1205" t="s">
        <v>999</v>
      </c>
      <c r="C44" s="1156">
        <v>129892</v>
      </c>
      <c r="D44" s="1161">
        <v>129892</v>
      </c>
      <c r="E44" s="1200">
        <f>+'TH CHI_62_342_51_52_53_31'!E82+'TH CHI_62_342_51_52_53_31'!E83</f>
        <v>151040.43349600001</v>
      </c>
      <c r="F44" s="1192">
        <f t="shared" si="0"/>
        <v>21148.433496000012</v>
      </c>
      <c r="G44" s="1193">
        <v>0</v>
      </c>
    </row>
    <row r="45" spans="1:9" ht="21.95" customHeight="1">
      <c r="A45" s="1160">
        <v>2</v>
      </c>
      <c r="B45" s="1205" t="s">
        <v>1000</v>
      </c>
      <c r="C45" s="1156">
        <f>477117+1002164+340378</f>
        <v>1819659</v>
      </c>
      <c r="D45" s="1161">
        <v>1674369</v>
      </c>
      <c r="E45" s="1200">
        <f>E43-E44</f>
        <v>724900.39150999999</v>
      </c>
      <c r="F45" s="1192">
        <f t="shared" si="0"/>
        <v>-949468.60849000001</v>
      </c>
      <c r="G45" s="1193">
        <v>0</v>
      </c>
      <c r="I45" s="134"/>
    </row>
    <row r="46" spans="1:9" s="545" customFormat="1" ht="21.95" customHeight="1">
      <c r="A46" s="1183" t="s">
        <v>118</v>
      </c>
      <c r="B46" s="1202" t="s">
        <v>74</v>
      </c>
      <c r="C46" s="556"/>
      <c r="D46" s="1188">
        <v>0</v>
      </c>
      <c r="E46" s="1201">
        <f>'TH CHI_62_342_51_52_53_31'!E77</f>
        <v>1937171.8458830002</v>
      </c>
      <c r="F46" s="1190">
        <f t="shared" si="0"/>
        <v>1937171.8458830002</v>
      </c>
      <c r="G46" s="1191">
        <v>0</v>
      </c>
    </row>
    <row r="47" spans="1:9" s="545" customFormat="1" ht="21.95" customHeight="1">
      <c r="A47" s="1183" t="s">
        <v>320</v>
      </c>
      <c r="B47" s="1202" t="s">
        <v>1009</v>
      </c>
      <c r="C47" s="556">
        <v>86500</v>
      </c>
      <c r="D47" s="1188">
        <v>0</v>
      </c>
      <c r="E47" s="1201">
        <v>86597.686707000001</v>
      </c>
      <c r="F47" s="1190">
        <f t="shared" si="0"/>
        <v>86597.686707000001</v>
      </c>
      <c r="G47" s="1191">
        <v>0</v>
      </c>
    </row>
    <row r="48" spans="1:9" s="545" customFormat="1" ht="21.95" customHeight="1">
      <c r="A48" s="1183" t="s">
        <v>321</v>
      </c>
      <c r="B48" s="1202" t="s">
        <v>76</v>
      </c>
      <c r="C48" s="556"/>
      <c r="D48" s="1188">
        <v>0</v>
      </c>
      <c r="E48" s="1201">
        <f>+'TH CHI_62_342_51_52_53_31'!E107</f>
        <v>32846.826802000003</v>
      </c>
      <c r="F48" s="1190">
        <f>E48-D48</f>
        <v>32846.826802000003</v>
      </c>
      <c r="G48" s="1191">
        <v>0</v>
      </c>
    </row>
    <row r="49" spans="1:9" s="545" customFormat="1" ht="21.95" customHeight="1">
      <c r="A49" s="1185" t="s">
        <v>121</v>
      </c>
      <c r="B49" s="1203" t="s">
        <v>1001</v>
      </c>
      <c r="C49" s="556"/>
      <c r="D49" s="1188">
        <v>0</v>
      </c>
      <c r="E49" s="1189">
        <f>E15-E35</f>
        <v>122724.36797100119</v>
      </c>
      <c r="F49" s="1191">
        <v>0</v>
      </c>
      <c r="G49" s="1191">
        <v>0</v>
      </c>
      <c r="H49" s="545">
        <v>527938.09495999897</v>
      </c>
      <c r="I49" s="546">
        <f>+H49-E49</f>
        <v>405213.72698899778</v>
      </c>
    </row>
    <row r="50" spans="1:9" s="545" customFormat="1" ht="21.95" customHeight="1">
      <c r="A50" s="1183" t="s">
        <v>428</v>
      </c>
      <c r="B50" s="1202" t="s">
        <v>1002</v>
      </c>
      <c r="C50" s="556"/>
      <c r="D50" s="1201">
        <f>+D51+D52</f>
        <v>86500</v>
      </c>
      <c r="E50" s="1201">
        <f>+E51+E52</f>
        <v>86597.686707000001</v>
      </c>
      <c r="F50" s="1188">
        <v>0</v>
      </c>
      <c r="G50" s="1188">
        <v>0</v>
      </c>
    </row>
    <row r="51" spans="1:9" s="545" customFormat="1" ht="21.95" customHeight="1">
      <c r="A51" s="1183" t="s">
        <v>108</v>
      </c>
      <c r="B51" s="1202" t="s">
        <v>1003</v>
      </c>
      <c r="C51" s="556"/>
      <c r="D51" s="1188">
        <v>0</v>
      </c>
      <c r="E51" s="1188">
        <v>0</v>
      </c>
      <c r="F51" s="1188">
        <v>0</v>
      </c>
      <c r="G51" s="1188">
        <v>0</v>
      </c>
    </row>
    <row r="52" spans="1:9" s="545" customFormat="1" ht="38.1" customHeight="1">
      <c r="A52" s="1183" t="s">
        <v>109</v>
      </c>
      <c r="B52" s="1202" t="s">
        <v>1004</v>
      </c>
      <c r="C52" s="556"/>
      <c r="D52" s="1201">
        <v>86500</v>
      </c>
      <c r="E52" s="1201">
        <f>+E47</f>
        <v>86597.686707000001</v>
      </c>
      <c r="F52" s="1190">
        <f>E52-D52</f>
        <v>97.686707000000752</v>
      </c>
      <c r="G52" s="1193">
        <f>E52/D52*100</f>
        <v>100.11293260924856</v>
      </c>
    </row>
    <row r="53" spans="1:9" s="545" customFormat="1" ht="21.95" customHeight="1">
      <c r="A53" s="1183" t="s">
        <v>454</v>
      </c>
      <c r="B53" s="1202" t="s">
        <v>1005</v>
      </c>
      <c r="C53" s="556"/>
      <c r="D53" s="1201">
        <f>D54+D55</f>
        <v>137500</v>
      </c>
      <c r="E53" s="1188">
        <v>0</v>
      </c>
      <c r="F53" s="1190">
        <f t="shared" ref="F53:F55" si="3">E53-D53</f>
        <v>-137500</v>
      </c>
      <c r="G53" s="1188">
        <v>0</v>
      </c>
    </row>
    <row r="54" spans="1:9" s="545" customFormat="1" ht="21.95" customHeight="1">
      <c r="A54" s="1183" t="s">
        <v>108</v>
      </c>
      <c r="B54" s="1202" t="s">
        <v>1006</v>
      </c>
      <c r="C54" s="556"/>
      <c r="D54" s="1201">
        <v>51000</v>
      </c>
      <c r="E54" s="1188">
        <v>0</v>
      </c>
      <c r="F54" s="1190">
        <f t="shared" si="3"/>
        <v>-51000</v>
      </c>
      <c r="G54" s="1188">
        <v>0</v>
      </c>
    </row>
    <row r="55" spans="1:9" s="545" customFormat="1" ht="21.95" customHeight="1">
      <c r="A55" s="1153" t="s">
        <v>109</v>
      </c>
      <c r="B55" s="1202" t="s">
        <v>1007</v>
      </c>
      <c r="C55" s="556"/>
      <c r="D55" s="1201">
        <v>86500</v>
      </c>
      <c r="E55" s="1188">
        <v>0</v>
      </c>
      <c r="F55" s="1190">
        <f t="shared" si="3"/>
        <v>-86500</v>
      </c>
      <c r="G55" s="1188">
        <v>0</v>
      </c>
    </row>
    <row r="56" spans="1:9" s="545" customFormat="1" ht="21.95" customHeight="1">
      <c r="A56" s="1153" t="s">
        <v>819</v>
      </c>
      <c r="B56" s="1202" t="s">
        <v>1008</v>
      </c>
      <c r="C56" s="556"/>
      <c r="D56" s="1201">
        <v>249491</v>
      </c>
      <c r="E56" s="1201">
        <v>111893.31</v>
      </c>
      <c r="F56" s="1190">
        <f>E56-D56</f>
        <v>-137597.69</v>
      </c>
      <c r="G56" s="1193">
        <f>E56/D56*100</f>
        <v>44.848635822534675</v>
      </c>
    </row>
    <row r="57" spans="1:9" s="126" customFormat="1" ht="16.5" hidden="1">
      <c r="B57" s="1133"/>
      <c r="C57" s="1134"/>
      <c r="D57" s="1684" t="s">
        <v>1070</v>
      </c>
      <c r="E57" s="1684"/>
      <c r="F57" s="1684"/>
      <c r="G57" s="1684"/>
    </row>
    <row r="58" spans="1:9" hidden="1">
      <c r="B58" s="1135"/>
      <c r="C58" s="1133"/>
      <c r="D58" s="1132"/>
      <c r="E58" s="131"/>
      <c r="F58" s="1135" t="s">
        <v>85</v>
      </c>
      <c r="G58" s="132"/>
    </row>
    <row r="59" spans="1:9" hidden="1">
      <c r="E59" s="131"/>
      <c r="F59" s="1132" t="s">
        <v>86</v>
      </c>
      <c r="H59" s="103"/>
    </row>
  </sheetData>
  <sheetProtection selectLockedCells="1" selectUnlockedCells="1"/>
  <mergeCells count="12">
    <mergeCell ref="C11:D13"/>
    <mergeCell ref="F11:G11"/>
    <mergeCell ref="D57:G57"/>
    <mergeCell ref="F1:G1"/>
    <mergeCell ref="A4:G4"/>
    <mergeCell ref="A5:G5"/>
    <mergeCell ref="F7:H7"/>
    <mergeCell ref="A8:A9"/>
    <mergeCell ref="B8:B9"/>
    <mergeCell ref="C8:D9"/>
    <mergeCell ref="E8:E9"/>
    <mergeCell ref="F8:G8"/>
  </mergeCells>
  <printOptions horizontalCentered="1"/>
  <pageMargins left="0.19685039370078741" right="0.19685039370078741" top="0.59055118110236227" bottom="0.59055118110236227" header="0.51181102362204722" footer="0.23622047244094491"/>
  <pageSetup paperSize="9" firstPageNumber="0" orientation="portrait" r:id="rId1"/>
  <headerFooter differentFirst="1" alignWithMargins="0">
    <oddFooter>&amp;C&amp;"Times New Roman,Regular"&amp;12&amp;P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S150"/>
  <sheetViews>
    <sheetView zoomScaleNormal="100" workbookViewId="0">
      <selection activeCell="A4" sqref="A4:L4"/>
    </sheetView>
  </sheetViews>
  <sheetFormatPr defaultRowHeight="15.75"/>
  <cols>
    <col min="1" max="1" width="42.42578125" style="154" customWidth="1"/>
    <col min="2" max="2" width="13.28515625" style="154" hidden="1" customWidth="1"/>
    <col min="3" max="3" width="9.7109375" style="154" customWidth="1"/>
    <col min="4" max="4" width="10.140625" style="154" customWidth="1"/>
    <col min="5" max="6" width="9.7109375" style="154" customWidth="1"/>
    <col min="7" max="7" width="12" style="154" hidden="1" customWidth="1"/>
    <col min="8" max="8" width="14" style="154" hidden="1" customWidth="1"/>
    <col min="9" max="9" width="13" style="154" hidden="1" customWidth="1"/>
    <col min="10" max="10" width="13.42578125" style="154" hidden="1" customWidth="1"/>
    <col min="11" max="11" width="7.5703125" style="154" customWidth="1"/>
    <col min="12" max="12" width="7.140625" style="155" customWidth="1"/>
    <col min="13" max="13" width="0" style="155" hidden="1" customWidth="1"/>
    <col min="14" max="14" width="16" style="155" hidden="1" customWidth="1"/>
    <col min="15" max="15" width="17" style="155" hidden="1" customWidth="1"/>
    <col min="16" max="16" width="17.5703125" style="155" hidden="1" customWidth="1"/>
    <col min="17" max="17" width="16" style="155" hidden="1" customWidth="1"/>
    <col min="18" max="19" width="13.7109375" style="155" hidden="1" customWidth="1"/>
    <col min="20" max="20" width="0" style="155" hidden="1" customWidth="1"/>
    <col min="21" max="16384" width="9.140625" style="155"/>
  </cols>
  <sheetData>
    <row r="1" spans="1:19" ht="17.100000000000001" customHeight="1">
      <c r="A1" s="1207" t="s">
        <v>2882</v>
      </c>
      <c r="B1" s="1208"/>
      <c r="C1" s="1208"/>
      <c r="D1" s="1208"/>
      <c r="E1" s="1208"/>
      <c r="F1" s="1711" t="s">
        <v>2848</v>
      </c>
      <c r="G1" s="1711"/>
      <c r="H1" s="1711"/>
      <c r="I1" s="1711"/>
      <c r="J1" s="1711"/>
      <c r="K1" s="1711"/>
      <c r="L1" s="1711"/>
    </row>
    <row r="2" spans="1:19" ht="17.100000000000001" customHeight="1">
      <c r="A2" s="1207" t="s">
        <v>2883</v>
      </c>
      <c r="B2" s="1208"/>
      <c r="C2" s="1208"/>
      <c r="D2" s="1208"/>
      <c r="E2" s="1208"/>
      <c r="F2" s="1208"/>
      <c r="G2" s="1208"/>
      <c r="H2" s="1208"/>
      <c r="I2" s="1209"/>
      <c r="J2" s="1209"/>
      <c r="K2" s="960"/>
      <c r="L2" s="156"/>
      <c r="M2" s="158">
        <v>14244945.773980999</v>
      </c>
      <c r="N2" s="158">
        <v>8530937.6147980001</v>
      </c>
      <c r="O2" s="158">
        <f>+N4-N2</f>
        <v>21016.874656999484</v>
      </c>
      <c r="P2" s="158" t="e">
        <f>+G9-N2</f>
        <v>#VALUE!</v>
      </c>
    </row>
    <row r="3" spans="1:19" ht="29.25" customHeight="1">
      <c r="A3" s="1207"/>
      <c r="B3" s="1208"/>
      <c r="C3" s="1208"/>
      <c r="D3" s="1208"/>
      <c r="E3" s="1208"/>
      <c r="F3" s="1208"/>
      <c r="G3" s="1208"/>
      <c r="H3" s="1208"/>
      <c r="I3" s="1209"/>
      <c r="J3" s="1209"/>
      <c r="K3" s="960"/>
      <c r="L3" s="156"/>
      <c r="M3" s="158"/>
      <c r="N3" s="158"/>
      <c r="O3" s="158"/>
      <c r="P3" s="158"/>
    </row>
    <row r="4" spans="1:19" ht="24" customHeight="1">
      <c r="A4" s="1712" t="s">
        <v>2847</v>
      </c>
      <c r="B4" s="1712"/>
      <c r="C4" s="1712"/>
      <c r="D4" s="1712"/>
      <c r="E4" s="1712"/>
      <c r="F4" s="1712"/>
      <c r="G4" s="1712"/>
      <c r="H4" s="1712"/>
      <c r="I4" s="1712"/>
      <c r="J4" s="1712"/>
      <c r="K4" s="1712"/>
      <c r="L4" s="1712"/>
      <c r="M4" s="446" t="e">
        <f>D9-M2</f>
        <v>#VALUE!</v>
      </c>
      <c r="N4" s="155">
        <v>8551954.4894549996</v>
      </c>
      <c r="O4" s="155">
        <v>3214</v>
      </c>
    </row>
    <row r="5" spans="1:19" ht="24" customHeight="1">
      <c r="A5" s="1713" t="s">
        <v>2884</v>
      </c>
      <c r="B5" s="1713"/>
      <c r="C5" s="1713"/>
      <c r="D5" s="1713"/>
      <c r="E5" s="1713"/>
      <c r="F5" s="1713"/>
      <c r="G5" s="1713"/>
      <c r="H5" s="1713"/>
      <c r="I5" s="1713"/>
      <c r="J5" s="1713"/>
      <c r="K5" s="1713"/>
      <c r="L5" s="1713"/>
      <c r="M5" s="446"/>
    </row>
    <row r="6" spans="1:19" ht="22.5" customHeight="1">
      <c r="A6" s="1107"/>
      <c r="L6" s="1136"/>
      <c r="M6" s="156"/>
      <c r="N6" s="158"/>
      <c r="O6" s="158"/>
      <c r="P6" s="158"/>
      <c r="Q6" s="158"/>
    </row>
    <row r="7" spans="1:19" ht="23.25" customHeight="1">
      <c r="F7" s="1715" t="s">
        <v>44</v>
      </c>
      <c r="G7" s="1715"/>
      <c r="H7" s="1715"/>
      <c r="I7" s="1715"/>
      <c r="J7" s="1715"/>
      <c r="K7" s="1715"/>
      <c r="L7" s="1715"/>
      <c r="M7" s="156"/>
      <c r="O7" s="158">
        <f>+H11-O1</f>
        <v>10511816.447146002</v>
      </c>
      <c r="P7" s="158" t="e">
        <f>+P1+#REF!</f>
        <v>#REF!</v>
      </c>
    </row>
    <row r="8" spans="1:19" ht="20.100000000000001" customHeight="1">
      <c r="A8" s="1714" t="s">
        <v>122</v>
      </c>
      <c r="B8" s="1213"/>
      <c r="C8" s="1714" t="s">
        <v>939</v>
      </c>
      <c r="D8" s="1714"/>
      <c r="E8" s="1714" t="s">
        <v>2833</v>
      </c>
      <c r="F8" s="1714"/>
      <c r="G8" s="1714" t="s">
        <v>135</v>
      </c>
      <c r="H8" s="1714"/>
      <c r="I8" s="1714"/>
      <c r="J8" s="1714"/>
      <c r="K8" s="1714" t="s">
        <v>544</v>
      </c>
      <c r="L8" s="1714"/>
      <c r="M8" s="161"/>
      <c r="N8" s="155">
        <v>1695</v>
      </c>
      <c r="O8" s="155">
        <f>+P8+Q8+R8+S8</f>
        <v>17122262.622806001</v>
      </c>
      <c r="P8" s="155">
        <v>363259.21860899997</v>
      </c>
      <c r="Q8" s="155">
        <v>10496742.447146</v>
      </c>
      <c r="R8" s="155">
        <v>5077232.2499320004</v>
      </c>
      <c r="S8" s="155">
        <v>1185028.7071189999</v>
      </c>
    </row>
    <row r="9" spans="1:19" ht="33.950000000000003" customHeight="1">
      <c r="A9" s="1714"/>
      <c r="B9" s="1213" t="s">
        <v>101</v>
      </c>
      <c r="C9" s="1213" t="s">
        <v>2843</v>
      </c>
      <c r="D9" s="1213" t="s">
        <v>2834</v>
      </c>
      <c r="E9" s="1213" t="s">
        <v>2832</v>
      </c>
      <c r="F9" s="1213" t="s">
        <v>2834</v>
      </c>
      <c r="G9" s="1213" t="s">
        <v>137</v>
      </c>
      <c r="H9" s="1213" t="s">
        <v>137</v>
      </c>
      <c r="I9" s="1213" t="s">
        <v>137</v>
      </c>
      <c r="J9" s="1213" t="s">
        <v>137</v>
      </c>
      <c r="K9" s="1213" t="s">
        <v>2843</v>
      </c>
      <c r="L9" s="1213" t="s">
        <v>2834</v>
      </c>
      <c r="M9" s="1025" t="s">
        <v>138</v>
      </c>
      <c r="N9" s="158">
        <f>+E13-N8</f>
        <v>4684272.9937059991</v>
      </c>
      <c r="O9" s="158">
        <f>+C11+50000</f>
        <v>4252000</v>
      </c>
      <c r="P9" s="158">
        <f>+P8-G11</f>
        <v>0</v>
      </c>
      <c r="Q9" s="158">
        <f>+Q8-H11</f>
        <v>-15074.000000001863</v>
      </c>
      <c r="R9" s="158">
        <f>+R8-I11</f>
        <v>0</v>
      </c>
      <c r="S9" s="158">
        <f>+S8-J11</f>
        <v>0</v>
      </c>
    </row>
    <row r="10" spans="1:19" ht="20.100000000000001" customHeight="1">
      <c r="A10" s="1216" t="s">
        <v>57</v>
      </c>
      <c r="B10" s="1216">
        <v>1</v>
      </c>
      <c r="C10" s="1217">
        <v>1</v>
      </c>
      <c r="D10" s="1217">
        <v>2</v>
      </c>
      <c r="E10" s="1217">
        <v>3</v>
      </c>
      <c r="F10" s="1217">
        <v>4</v>
      </c>
      <c r="G10" s="1217"/>
      <c r="H10" s="1217"/>
      <c r="I10" s="1217"/>
      <c r="J10" s="1217"/>
      <c r="K10" s="1217" t="s">
        <v>2845</v>
      </c>
      <c r="L10" s="1217" t="s">
        <v>2846</v>
      </c>
      <c r="M10" s="169"/>
      <c r="O10" s="158"/>
      <c r="Q10" s="158"/>
      <c r="R10" s="158"/>
    </row>
    <row r="11" spans="1:19" ht="20.100000000000001" customHeight="1">
      <c r="A11" s="1236" t="s">
        <v>2835</v>
      </c>
      <c r="B11" s="1211">
        <f>B12+B95+B102+B109+B110+B133</f>
        <v>4042000</v>
      </c>
      <c r="C11" s="1224">
        <f>C12+C95+C102+C109+C110</f>
        <v>4202000</v>
      </c>
      <c r="D11" s="1224">
        <f>D12+D95+D102+D109+D110</f>
        <v>3922000</v>
      </c>
      <c r="E11" s="1224">
        <f>+E12+E92+E109+E110</f>
        <v>6080472.6814969992</v>
      </c>
      <c r="F11" s="1224">
        <f>+F12+F92+F109+F110</f>
        <v>5722427.4628880005</v>
      </c>
      <c r="G11" s="1224">
        <f>G12+G95+G102+G109+G110+G133</f>
        <v>363259.21860900003</v>
      </c>
      <c r="H11" s="1224">
        <f>H12+H95+H102+H109+H110+H133</f>
        <v>10511816.447146002</v>
      </c>
      <c r="I11" s="1224">
        <f>I12+I95+I102+I109+I110+I133</f>
        <v>5077232.2499320004</v>
      </c>
      <c r="J11" s="1224">
        <f>J12+J95+J102+J109+J110+J133</f>
        <v>1185028.7071189999</v>
      </c>
      <c r="K11" s="1224">
        <f>E11/C11*100</f>
        <v>144.70425229645406</v>
      </c>
      <c r="L11" s="1224">
        <f>F11/D11*100</f>
        <v>145.90585066007139</v>
      </c>
      <c r="M11" s="173"/>
      <c r="O11" s="158" t="s">
        <v>953</v>
      </c>
      <c r="P11" s="158"/>
      <c r="Q11" s="158">
        <f>E13-G13</f>
        <v>4357005.0339459991</v>
      </c>
    </row>
    <row r="12" spans="1:19" ht="20.100000000000001" customHeight="1">
      <c r="A12" s="1237" t="s">
        <v>2885</v>
      </c>
      <c r="B12" s="1211">
        <f>B13+B81+B88+B89+B92</f>
        <v>4042000</v>
      </c>
      <c r="C12" s="1224">
        <f>+C13+C81</f>
        <v>4202000</v>
      </c>
      <c r="D12" s="1224">
        <f>+D13+D81</f>
        <v>3922000</v>
      </c>
      <c r="E12" s="1224">
        <f>+E13+E81+E88</f>
        <v>4715050.2525549987</v>
      </c>
      <c r="F12" s="1224">
        <f>+F13+F81+F88</f>
        <v>4357005.033946</v>
      </c>
      <c r="G12" s="1225">
        <f>G13+G81+G88+G89+G92</f>
        <v>358045.21860900003</v>
      </c>
      <c r="H12" s="1224">
        <f>H13+H81+H88+H89+H92</f>
        <v>3650425.3862910001</v>
      </c>
      <c r="I12" s="1224">
        <f>I13+I81+I88+I89+I92</f>
        <v>659396.85408099997</v>
      </c>
      <c r="J12" s="1224">
        <f>J13+J81+J88+J89+J92</f>
        <v>83845.859574000002</v>
      </c>
      <c r="K12" s="1224">
        <f t="shared" ref="K12:K13" si="0">E12/C12*100</f>
        <v>112.20966807603519</v>
      </c>
      <c r="L12" s="1224">
        <f t="shared" ref="L12:L75" si="1">F12/D12*100</f>
        <v>111.09140831070883</v>
      </c>
      <c r="M12" s="175">
        <f>+(E13+E81)/(C13+C81)*100</f>
        <v>112.20966807603519</v>
      </c>
      <c r="N12" s="176"/>
      <c r="O12" s="176" t="s">
        <v>950</v>
      </c>
      <c r="P12" s="158"/>
      <c r="Q12" s="158">
        <f>+Q11-Q13</f>
        <v>1653659.9229969992</v>
      </c>
      <c r="R12" s="158"/>
    </row>
    <row r="13" spans="1:19" s="177" customFormat="1" ht="20.100000000000001" customHeight="1">
      <c r="A13" s="1237" t="s">
        <v>2886</v>
      </c>
      <c r="B13" s="1211">
        <f>B14+B23+B32+B40+B48+B49+B50+B51+B52+B55+B56+B60+B61+B63+B65+B66+B47+B72+B64</f>
        <v>4031000</v>
      </c>
      <c r="C13" s="1224">
        <f>+C14+C23+C32+C40+C47+C48+C49+C50+C51+C52+C55+C56+C61+C63+C65+C66+C64+C79</f>
        <v>4191000</v>
      </c>
      <c r="D13" s="1224">
        <f>+D14+D23+D32+D40+D47+D48+D49+D50+D51+D52+D55+D56+D61+D63+D65+D66+D64+D79</f>
        <v>3922000</v>
      </c>
      <c r="E13" s="1224">
        <f>E14+E23+E32+E40+E48+E49+E50+E51+E52+E55+E56+E60+E61+E63+E65+E66+E47+E72+E57+E58+E59+E62+E64</f>
        <v>4685967.9937059991</v>
      </c>
      <c r="F13" s="1224">
        <f t="shared" ref="F13:J13" si="2">F14+F23+F32+F40+F48+F49+F50+F51+F52+F55+F56+F60+F61+F63+F65+F66+F47+F72+F57+F58+F59+F62+F64</f>
        <v>4357005.033946</v>
      </c>
      <c r="G13" s="1224">
        <f t="shared" si="2"/>
        <v>328962.95976000006</v>
      </c>
      <c r="H13" s="1224">
        <f t="shared" si="2"/>
        <v>3630953.3862910001</v>
      </c>
      <c r="I13" s="1224">
        <f t="shared" si="2"/>
        <v>653749.42008099996</v>
      </c>
      <c r="J13" s="1224">
        <f t="shared" si="2"/>
        <v>72302.227574000004</v>
      </c>
      <c r="K13" s="1224">
        <f t="shared" si="0"/>
        <v>111.81025993094724</v>
      </c>
      <c r="L13" s="1224">
        <f t="shared" si="1"/>
        <v>111.09140831070883</v>
      </c>
      <c r="M13" s="175" t="e">
        <f>E13/"#REF!*100"</f>
        <v>#VALUE!</v>
      </c>
      <c r="N13" s="528"/>
      <c r="O13" s="529" t="s">
        <v>954</v>
      </c>
      <c r="P13" s="180"/>
      <c r="Q13" s="930">
        <f>H15+H16+H17+H24+H25+H26+I24+I25+H33+H34+H41+I41+H42+H43+I42+H50+H51</f>
        <v>2703345.1109489999</v>
      </c>
      <c r="R13" s="180"/>
    </row>
    <row r="14" spans="1:19" s="177" customFormat="1" ht="20.100000000000001" customHeight="1">
      <c r="A14" s="1237" t="s">
        <v>2887</v>
      </c>
      <c r="B14" s="1211">
        <f>SUM(B15:B22)</f>
        <v>1191000</v>
      </c>
      <c r="C14" s="1224">
        <f>SUM(C15:C22)</f>
        <v>1191000</v>
      </c>
      <c r="D14" s="1224">
        <f>C14</f>
        <v>1191000</v>
      </c>
      <c r="E14" s="1224">
        <f>+G14+H14+I14+J14</f>
        <v>1546024.2765840001</v>
      </c>
      <c r="F14" s="1224">
        <f>H14+I14+J14</f>
        <v>1546024.2765840001</v>
      </c>
      <c r="G14" s="1224">
        <f>SUM(G15:G22)</f>
        <v>0</v>
      </c>
      <c r="H14" s="1224">
        <f>SUM(H15:H22)</f>
        <v>1546024.2765840001</v>
      </c>
      <c r="I14" s="1226">
        <f>SUM(I15:I22)</f>
        <v>0</v>
      </c>
      <c r="J14" s="1226">
        <f>SUM(J15:J22)</f>
        <v>0</v>
      </c>
      <c r="K14" s="1224">
        <f>E14/C14*100</f>
        <v>129.80892330680101</v>
      </c>
      <c r="L14" s="1224">
        <f t="shared" si="1"/>
        <v>129.80892330680101</v>
      </c>
      <c r="M14" s="175" t="e">
        <f>E14/"#REF!*100"</f>
        <v>#VALUE!</v>
      </c>
      <c r="N14" s="179"/>
      <c r="P14" s="180"/>
    </row>
    <row r="15" spans="1:19" ht="20.100000000000001" customHeight="1">
      <c r="A15" s="1238" t="s">
        <v>2888</v>
      </c>
      <c r="B15" s="1218">
        <v>963150</v>
      </c>
      <c r="C15" s="1227">
        <v>963150</v>
      </c>
      <c r="D15" s="1227">
        <f t="shared" ref="D15:D22" si="3">C15</f>
        <v>963150</v>
      </c>
      <c r="E15" s="1227">
        <f>+G15+H15+I15+J15</f>
        <v>1228346.5174159999</v>
      </c>
      <c r="F15" s="1227">
        <f>H15+I15+J15</f>
        <v>1228346.5174159999</v>
      </c>
      <c r="G15" s="1226">
        <v>0</v>
      </c>
      <c r="H15" s="1227">
        <v>1228346.5174159999</v>
      </c>
      <c r="I15" s="1226">
        <v>0</v>
      </c>
      <c r="J15" s="1226">
        <v>0</v>
      </c>
      <c r="K15" s="1227">
        <f>E15/C15*100</f>
        <v>127.53429034065304</v>
      </c>
      <c r="L15" s="1227">
        <f t="shared" si="1"/>
        <v>127.53429034065304</v>
      </c>
      <c r="M15" s="184" t="e">
        <f>E15/"#REF!*100"</f>
        <v>#VALUE!</v>
      </c>
      <c r="N15" s="185"/>
      <c r="O15" s="441" t="s">
        <v>958</v>
      </c>
      <c r="Q15" s="158">
        <f>+H13</f>
        <v>3630953.3862910001</v>
      </c>
      <c r="R15" s="158"/>
      <c r="S15" s="155">
        <v>4751713.32</v>
      </c>
    </row>
    <row r="16" spans="1:19" ht="20.100000000000001" customHeight="1">
      <c r="A16" s="1238" t="s">
        <v>2889</v>
      </c>
      <c r="B16" s="1219">
        <v>227000</v>
      </c>
      <c r="C16" s="1228">
        <v>227000</v>
      </c>
      <c r="D16" s="1227">
        <f t="shared" si="3"/>
        <v>227000</v>
      </c>
      <c r="E16" s="1227">
        <f>+G16+H16+I16+J16</f>
        <v>314104.28264500003</v>
      </c>
      <c r="F16" s="1227">
        <f>H16+I16+J16</f>
        <v>314104.28264500003</v>
      </c>
      <c r="G16" s="1226">
        <v>0</v>
      </c>
      <c r="H16" s="1227">
        <v>314104.28264500003</v>
      </c>
      <c r="I16" s="1226">
        <v>0</v>
      </c>
      <c r="J16" s="1226">
        <v>0</v>
      </c>
      <c r="K16" s="1227">
        <f>E16/C16*100</f>
        <v>138.37193068061674</v>
      </c>
      <c r="L16" s="1227">
        <f t="shared" si="1"/>
        <v>138.37193068061674</v>
      </c>
      <c r="M16" s="184"/>
      <c r="N16" s="526"/>
      <c r="O16" s="446" t="s">
        <v>951</v>
      </c>
      <c r="P16" s="158"/>
      <c r="Q16" s="158">
        <f>+Q12-Q19</f>
        <v>1223411.8926109993</v>
      </c>
      <c r="R16" s="158"/>
      <c r="S16" s="158">
        <f>+S15-E12</f>
        <v>36663.067445001565</v>
      </c>
    </row>
    <row r="17" spans="1:19" ht="20.100000000000001" customHeight="1">
      <c r="A17" s="1238" t="s">
        <v>2890</v>
      </c>
      <c r="B17" s="1212">
        <v>0</v>
      </c>
      <c r="C17" s="1226">
        <v>0</v>
      </c>
      <c r="D17" s="1227">
        <f t="shared" si="3"/>
        <v>0</v>
      </c>
      <c r="E17" s="1226">
        <f t="shared" ref="E17:E71" si="4">+G17+H17+I17+J17</f>
        <v>0</v>
      </c>
      <c r="F17" s="1227">
        <f t="shared" ref="F17:F78" si="5">H17+I17+J17</f>
        <v>0</v>
      </c>
      <c r="G17" s="1226">
        <v>0</v>
      </c>
      <c r="H17" s="1226">
        <v>0</v>
      </c>
      <c r="I17" s="1226">
        <v>0</v>
      </c>
      <c r="J17" s="1226">
        <v>0</v>
      </c>
      <c r="K17" s="1227">
        <v>0</v>
      </c>
      <c r="L17" s="1227">
        <v>0</v>
      </c>
      <c r="M17" s="184" t="e">
        <f>E17/"#REF!*100"</f>
        <v>#VALUE!</v>
      </c>
      <c r="N17" s="185"/>
      <c r="O17" s="530" t="s">
        <v>952</v>
      </c>
      <c r="Q17" s="158">
        <f>+Q13-Q20</f>
        <v>2407541.4936799998</v>
      </c>
      <c r="R17" s="158">
        <f>+H15+H16+H17+H24+H25+H26+H33+H34+H41+H42+H43+H50+H51</f>
        <v>2407541.4936800003</v>
      </c>
    </row>
    <row r="18" spans="1:19" ht="20.100000000000001" customHeight="1">
      <c r="A18" s="1238" t="s">
        <v>2891</v>
      </c>
      <c r="B18" s="1212">
        <v>0</v>
      </c>
      <c r="C18" s="1226">
        <v>0</v>
      </c>
      <c r="D18" s="1227">
        <f t="shared" si="3"/>
        <v>0</v>
      </c>
      <c r="E18" s="1226">
        <f t="shared" si="4"/>
        <v>0</v>
      </c>
      <c r="F18" s="1227">
        <f t="shared" si="5"/>
        <v>0</v>
      </c>
      <c r="G18" s="1226">
        <v>0</v>
      </c>
      <c r="H18" s="1226">
        <v>0</v>
      </c>
      <c r="I18" s="1226">
        <v>0</v>
      </c>
      <c r="J18" s="1226">
        <v>0</v>
      </c>
      <c r="K18" s="1227">
        <v>0</v>
      </c>
      <c r="L18" s="1227">
        <v>0</v>
      </c>
      <c r="M18" s="184"/>
      <c r="N18" s="527"/>
      <c r="O18" s="158" t="s">
        <v>957</v>
      </c>
      <c r="P18" s="158"/>
      <c r="Q18" s="158">
        <f>+I13+J13</f>
        <v>726051.64765499998</v>
      </c>
      <c r="S18" s="155">
        <f>17191.07+19472</f>
        <v>36663.07</v>
      </c>
    </row>
    <row r="19" spans="1:19" ht="20.100000000000001" customHeight="1">
      <c r="A19" s="1238" t="s">
        <v>2892</v>
      </c>
      <c r="B19" s="1218">
        <v>850</v>
      </c>
      <c r="C19" s="1227">
        <v>850</v>
      </c>
      <c r="D19" s="1227">
        <f t="shared" si="3"/>
        <v>850</v>
      </c>
      <c r="E19" s="1227">
        <f t="shared" si="4"/>
        <v>3573.4765229999998</v>
      </c>
      <c r="F19" s="1227">
        <f t="shared" si="5"/>
        <v>3573.4765229999998</v>
      </c>
      <c r="G19" s="1226">
        <v>0</v>
      </c>
      <c r="H19" s="1227">
        <v>3573.4765229999998</v>
      </c>
      <c r="I19" s="1226">
        <v>0</v>
      </c>
      <c r="J19" s="1226">
        <v>0</v>
      </c>
      <c r="K19" s="1227">
        <f t="shared" ref="K19:K79" si="6">E19/C19*100</f>
        <v>420.40900270588236</v>
      </c>
      <c r="L19" s="1227">
        <f t="shared" si="1"/>
        <v>420.40900270588236</v>
      </c>
      <c r="M19" s="184"/>
      <c r="O19" s="155" t="s">
        <v>955</v>
      </c>
      <c r="P19" s="158"/>
      <c r="Q19" s="158">
        <f>+Q18-Q20</f>
        <v>430248.030386</v>
      </c>
    </row>
    <row r="20" spans="1:19" ht="20.100000000000001" customHeight="1">
      <c r="A20" s="1238" t="s">
        <v>2893</v>
      </c>
      <c r="B20" s="1212">
        <v>0</v>
      </c>
      <c r="C20" s="1226">
        <v>0</v>
      </c>
      <c r="D20" s="1227">
        <f t="shared" si="3"/>
        <v>0</v>
      </c>
      <c r="E20" s="1226">
        <f t="shared" si="4"/>
        <v>0</v>
      </c>
      <c r="F20" s="1227">
        <f t="shared" si="5"/>
        <v>0</v>
      </c>
      <c r="G20" s="1226">
        <v>0</v>
      </c>
      <c r="H20" s="1226">
        <v>0</v>
      </c>
      <c r="I20" s="1226">
        <v>0</v>
      </c>
      <c r="J20" s="1226">
        <v>0</v>
      </c>
      <c r="K20" s="1227">
        <v>0</v>
      </c>
      <c r="L20" s="1227">
        <v>0</v>
      </c>
      <c r="M20" s="184" t="e">
        <f>E20/"#REF!*100"</f>
        <v>#VALUE!</v>
      </c>
      <c r="O20" s="158" t="s">
        <v>956</v>
      </c>
      <c r="P20" s="158"/>
      <c r="Q20" s="158">
        <f>+I24+I25+I41+I42</f>
        <v>295803.61726899998</v>
      </c>
      <c r="R20" s="158"/>
    </row>
    <row r="21" spans="1:19" ht="20.100000000000001" customHeight="1">
      <c r="A21" s="1238" t="s">
        <v>2894</v>
      </c>
      <c r="B21" s="1212">
        <v>0</v>
      </c>
      <c r="C21" s="1226">
        <v>0</v>
      </c>
      <c r="D21" s="1227">
        <f t="shared" si="3"/>
        <v>0</v>
      </c>
      <c r="E21" s="1226">
        <f t="shared" si="4"/>
        <v>0</v>
      </c>
      <c r="F21" s="1227">
        <f t="shared" si="5"/>
        <v>0</v>
      </c>
      <c r="G21" s="1226">
        <v>0</v>
      </c>
      <c r="H21" s="1226">
        <v>0</v>
      </c>
      <c r="I21" s="1226">
        <v>0</v>
      </c>
      <c r="J21" s="1226">
        <v>0</v>
      </c>
      <c r="K21" s="1227">
        <v>0</v>
      </c>
      <c r="L21" s="1227">
        <v>0</v>
      </c>
      <c r="M21" s="184"/>
    </row>
    <row r="22" spans="1:19" ht="20.100000000000001" customHeight="1">
      <c r="A22" s="1238" t="s">
        <v>2895</v>
      </c>
      <c r="B22" s="1212">
        <v>0</v>
      </c>
      <c r="C22" s="1226">
        <v>0</v>
      </c>
      <c r="D22" s="1227">
        <f t="shared" si="3"/>
        <v>0</v>
      </c>
      <c r="E22" s="1226">
        <f>+G22+H22+I22+J22</f>
        <v>0</v>
      </c>
      <c r="F22" s="1227">
        <f t="shared" si="5"/>
        <v>0</v>
      </c>
      <c r="G22" s="1226">
        <v>0</v>
      </c>
      <c r="H22" s="1226">
        <v>0</v>
      </c>
      <c r="I22" s="1226">
        <v>0</v>
      </c>
      <c r="J22" s="1226">
        <v>0</v>
      </c>
      <c r="K22" s="1227">
        <v>0</v>
      </c>
      <c r="L22" s="1227">
        <v>0</v>
      </c>
      <c r="M22" s="184" t="e">
        <f>E22/"#REF!*100"</f>
        <v>#VALUE!</v>
      </c>
      <c r="N22" s="158"/>
      <c r="O22" s="158">
        <f>+D12-3922000</f>
        <v>0</v>
      </c>
      <c r="P22" s="158"/>
    </row>
    <row r="23" spans="1:19" s="177" customFormat="1" ht="20.100000000000001" customHeight="1">
      <c r="A23" s="1237" t="s">
        <v>2896</v>
      </c>
      <c r="B23" s="1211">
        <f>SUM(B24:B31)</f>
        <v>155000</v>
      </c>
      <c r="C23" s="1224">
        <f>SUM(C24:C31)</f>
        <v>155000</v>
      </c>
      <c r="D23" s="1224">
        <f>+C23</f>
        <v>155000</v>
      </c>
      <c r="E23" s="1224">
        <f>+G23+H23+I23+J23</f>
        <v>84102.993558999995</v>
      </c>
      <c r="F23" s="1224">
        <f t="shared" si="5"/>
        <v>84102.993558999995</v>
      </c>
      <c r="G23" s="1226">
        <f>SUM(G24:G31)</f>
        <v>0</v>
      </c>
      <c r="H23" s="1224">
        <f>SUM(H24:H31)</f>
        <v>82776.833870000002</v>
      </c>
      <c r="I23" s="1224">
        <f>SUM(I24:I31)</f>
        <v>1326.1596890000001</v>
      </c>
      <c r="J23" s="1226">
        <f>SUM(J24:J31)</f>
        <v>0</v>
      </c>
      <c r="K23" s="1224">
        <f t="shared" si="6"/>
        <v>54.259995844516126</v>
      </c>
      <c r="L23" s="1224">
        <f t="shared" si="1"/>
        <v>54.259995844516126</v>
      </c>
      <c r="M23" s="175" t="e">
        <f>E23/"#REF!*100"</f>
        <v>#VALUE!</v>
      </c>
      <c r="O23" s="180">
        <f>+E11-F11</f>
        <v>358045.21860899869</v>
      </c>
      <c r="P23" s="180"/>
    </row>
    <row r="24" spans="1:19" ht="20.100000000000001" customHeight="1">
      <c r="A24" s="1238" t="s">
        <v>2897</v>
      </c>
      <c r="B24" s="1218">
        <v>72200</v>
      </c>
      <c r="C24" s="1227">
        <v>72200</v>
      </c>
      <c r="D24" s="1227">
        <f t="shared" ref="D24:D31" si="7">+C24</f>
        <v>72200</v>
      </c>
      <c r="E24" s="1227">
        <f>+G24+H24+I24+J24</f>
        <v>45091.352215999999</v>
      </c>
      <c r="F24" s="1227">
        <f t="shared" si="5"/>
        <v>45091.352215999999</v>
      </c>
      <c r="G24" s="1226">
        <v>0</v>
      </c>
      <c r="H24" s="1227">
        <v>44770.108957999997</v>
      </c>
      <c r="I24" s="1227">
        <v>321.24325800000003</v>
      </c>
      <c r="J24" s="1226">
        <v>0</v>
      </c>
      <c r="K24" s="1227">
        <f t="shared" si="6"/>
        <v>62.453396421052631</v>
      </c>
      <c r="L24" s="1227">
        <f t="shared" si="1"/>
        <v>62.453396421052631</v>
      </c>
      <c r="M24" s="184" t="e">
        <f>E24/"#REF!*100"</f>
        <v>#VALUE!</v>
      </c>
      <c r="O24" s="158"/>
      <c r="P24" s="158">
        <f>+E13-E12</f>
        <v>-29082.258848999627</v>
      </c>
    </row>
    <row r="25" spans="1:19" ht="20.100000000000001" customHeight="1">
      <c r="A25" s="1238" t="s">
        <v>2898</v>
      </c>
      <c r="B25" s="1218">
        <v>75000</v>
      </c>
      <c r="C25" s="1227">
        <v>75000</v>
      </c>
      <c r="D25" s="1227">
        <f t="shared" si="7"/>
        <v>75000</v>
      </c>
      <c r="E25" s="1227">
        <f t="shared" si="4"/>
        <v>35288.194295000001</v>
      </c>
      <c r="F25" s="1227">
        <f t="shared" si="5"/>
        <v>35288.194295000001</v>
      </c>
      <c r="G25" s="1226">
        <v>0</v>
      </c>
      <c r="H25" s="1227">
        <v>34283.277864000003</v>
      </c>
      <c r="I25" s="1227">
        <v>1004.916431</v>
      </c>
      <c r="J25" s="1226">
        <v>0</v>
      </c>
      <c r="K25" s="1227">
        <f t="shared" si="6"/>
        <v>47.050925726666669</v>
      </c>
      <c r="L25" s="1227">
        <f t="shared" si="1"/>
        <v>47.050925726666669</v>
      </c>
      <c r="M25" s="184" t="e">
        <f>E25/"#REF!*100"</f>
        <v>#VALUE!</v>
      </c>
      <c r="N25" s="158"/>
      <c r="O25" s="158">
        <f>+G11-O23</f>
        <v>5214.0000000013388</v>
      </c>
      <c r="P25" s="158"/>
    </row>
    <row r="26" spans="1:19" ht="20.100000000000001" customHeight="1">
      <c r="A26" s="1238" t="s">
        <v>2899</v>
      </c>
      <c r="B26" s="1218">
        <v>300</v>
      </c>
      <c r="C26" s="1227">
        <v>300</v>
      </c>
      <c r="D26" s="1227">
        <f t="shared" si="7"/>
        <v>300</v>
      </c>
      <c r="E26" s="1227">
        <f t="shared" si="4"/>
        <v>526.56280900000002</v>
      </c>
      <c r="F26" s="1227">
        <f t="shared" si="5"/>
        <v>526.56280900000002</v>
      </c>
      <c r="G26" s="1226">
        <v>0</v>
      </c>
      <c r="H26" s="1227">
        <v>526.56280900000002</v>
      </c>
      <c r="I26" s="1226">
        <v>0</v>
      </c>
      <c r="J26" s="1226">
        <v>0</v>
      </c>
      <c r="K26" s="1227">
        <f t="shared" si="6"/>
        <v>175.52093633333334</v>
      </c>
      <c r="L26" s="1227">
        <f t="shared" si="1"/>
        <v>175.52093633333334</v>
      </c>
      <c r="M26" s="184" t="e">
        <f>E26/"#REF!*100"</f>
        <v>#VALUE!</v>
      </c>
      <c r="O26" s="158"/>
    </row>
    <row r="27" spans="1:19" ht="20.100000000000001" customHeight="1">
      <c r="A27" s="1238" t="s">
        <v>2900</v>
      </c>
      <c r="B27" s="1212">
        <v>0</v>
      </c>
      <c r="C27" s="1226">
        <v>0</v>
      </c>
      <c r="D27" s="1227">
        <f t="shared" si="7"/>
        <v>0</v>
      </c>
      <c r="E27" s="1226">
        <f t="shared" si="4"/>
        <v>0</v>
      </c>
      <c r="F27" s="1227">
        <f t="shared" si="5"/>
        <v>0</v>
      </c>
      <c r="G27" s="1226">
        <v>0</v>
      </c>
      <c r="H27" s="1226">
        <v>0</v>
      </c>
      <c r="I27" s="1226">
        <v>0</v>
      </c>
      <c r="J27" s="1226">
        <v>0</v>
      </c>
      <c r="K27" s="1227">
        <v>0</v>
      </c>
      <c r="L27" s="1227">
        <v>0</v>
      </c>
      <c r="M27" s="184"/>
      <c r="O27" s="188"/>
      <c r="P27" s="158"/>
    </row>
    <row r="28" spans="1:19" ht="20.100000000000001" customHeight="1">
      <c r="A28" s="1238" t="s">
        <v>2901</v>
      </c>
      <c r="B28" s="1218">
        <v>7500</v>
      </c>
      <c r="C28" s="1227">
        <v>7500</v>
      </c>
      <c r="D28" s="1227">
        <f t="shared" si="7"/>
        <v>7500</v>
      </c>
      <c r="E28" s="1227">
        <f t="shared" si="4"/>
        <v>3196.884239</v>
      </c>
      <c r="F28" s="1227">
        <f t="shared" si="5"/>
        <v>3196.884239</v>
      </c>
      <c r="G28" s="1226">
        <v>0</v>
      </c>
      <c r="H28" s="1227">
        <v>3196.884239</v>
      </c>
      <c r="I28" s="1226">
        <v>0</v>
      </c>
      <c r="J28" s="1226">
        <v>0</v>
      </c>
      <c r="K28" s="1227">
        <f t="shared" si="6"/>
        <v>42.62512318666667</v>
      </c>
      <c r="L28" s="1227">
        <f t="shared" si="1"/>
        <v>42.62512318666667</v>
      </c>
      <c r="M28" s="184" t="e">
        <f t="shared" ref="M28:M37" si="8">E28/"#REF!*100"</f>
        <v>#VALUE!</v>
      </c>
      <c r="O28" s="188"/>
      <c r="P28" s="158"/>
    </row>
    <row r="29" spans="1:19" ht="20.100000000000001" customHeight="1">
      <c r="A29" s="1238" t="s">
        <v>2902</v>
      </c>
      <c r="B29" s="1212">
        <v>0</v>
      </c>
      <c r="C29" s="1226">
        <v>0</v>
      </c>
      <c r="D29" s="1227">
        <f t="shared" si="7"/>
        <v>0</v>
      </c>
      <c r="E29" s="1226">
        <f t="shared" si="4"/>
        <v>0</v>
      </c>
      <c r="F29" s="1227">
        <f t="shared" si="5"/>
        <v>0</v>
      </c>
      <c r="G29" s="1226">
        <v>0</v>
      </c>
      <c r="H29" s="1226">
        <v>0</v>
      </c>
      <c r="I29" s="1226">
        <v>0</v>
      </c>
      <c r="J29" s="1226">
        <v>0</v>
      </c>
      <c r="K29" s="1227">
        <v>0</v>
      </c>
      <c r="L29" s="1227">
        <v>0</v>
      </c>
      <c r="M29" s="184" t="e">
        <f t="shared" si="8"/>
        <v>#VALUE!</v>
      </c>
      <c r="O29" s="158"/>
    </row>
    <row r="30" spans="1:19" ht="20.100000000000001" customHeight="1">
      <c r="A30" s="1238" t="s">
        <v>2903</v>
      </c>
      <c r="B30" s="1212">
        <v>0</v>
      </c>
      <c r="C30" s="1226">
        <v>0</v>
      </c>
      <c r="D30" s="1227">
        <f t="shared" si="7"/>
        <v>0</v>
      </c>
      <c r="E30" s="1226">
        <f t="shared" si="4"/>
        <v>0</v>
      </c>
      <c r="F30" s="1227">
        <f t="shared" si="5"/>
        <v>0</v>
      </c>
      <c r="G30" s="1226">
        <v>0</v>
      </c>
      <c r="H30" s="1226">
        <v>0</v>
      </c>
      <c r="I30" s="1226">
        <v>0</v>
      </c>
      <c r="J30" s="1226">
        <v>0</v>
      </c>
      <c r="K30" s="1227">
        <v>0</v>
      </c>
      <c r="L30" s="1227">
        <v>0</v>
      </c>
      <c r="M30" s="184" t="e">
        <f t="shared" si="8"/>
        <v>#VALUE!</v>
      </c>
    </row>
    <row r="31" spans="1:19" ht="20.100000000000001" customHeight="1">
      <c r="A31" s="1238" t="s">
        <v>2904</v>
      </c>
      <c r="B31" s="1212">
        <v>0</v>
      </c>
      <c r="C31" s="1226">
        <v>0</v>
      </c>
      <c r="D31" s="1227">
        <f t="shared" si="7"/>
        <v>0</v>
      </c>
      <c r="E31" s="1226">
        <f t="shared" si="4"/>
        <v>0</v>
      </c>
      <c r="F31" s="1227">
        <f t="shared" si="5"/>
        <v>0</v>
      </c>
      <c r="G31" s="1226">
        <v>0</v>
      </c>
      <c r="H31" s="1226">
        <v>0</v>
      </c>
      <c r="I31" s="1226">
        <v>0</v>
      </c>
      <c r="J31" s="1226">
        <v>0</v>
      </c>
      <c r="K31" s="1227">
        <v>0</v>
      </c>
      <c r="L31" s="1227">
        <v>0</v>
      </c>
      <c r="M31" s="184" t="e">
        <f t="shared" si="8"/>
        <v>#VALUE!</v>
      </c>
    </row>
    <row r="32" spans="1:19" s="177" customFormat="1" ht="20.100000000000001" customHeight="1">
      <c r="A32" s="1237" t="s">
        <v>2905</v>
      </c>
      <c r="B32" s="1211">
        <f>SUM(B33:B39)</f>
        <v>10000</v>
      </c>
      <c r="C32" s="1224">
        <f>SUM(C33:C39)</f>
        <v>10000</v>
      </c>
      <c r="D32" s="1224">
        <f>+C32</f>
        <v>10000</v>
      </c>
      <c r="E32" s="1224">
        <f>+G32+H32+I32+J32</f>
        <v>71510.326986</v>
      </c>
      <c r="F32" s="1224">
        <f t="shared" si="5"/>
        <v>71510.326986</v>
      </c>
      <c r="G32" s="1224">
        <f>SUM(G33:G39)</f>
        <v>0</v>
      </c>
      <c r="H32" s="1224">
        <f>SUM(H33:H39)</f>
        <v>71510.326986</v>
      </c>
      <c r="I32" s="1226">
        <f>SUM(I33:I39)</f>
        <v>0</v>
      </c>
      <c r="J32" s="1226">
        <f>SUM(J33:J39)</f>
        <v>0</v>
      </c>
      <c r="K32" s="1224">
        <f t="shared" si="6"/>
        <v>715.10326985999995</v>
      </c>
      <c r="L32" s="1224">
        <f t="shared" si="1"/>
        <v>715.10326985999995</v>
      </c>
      <c r="M32" s="189" t="e">
        <f t="shared" si="8"/>
        <v>#VALUE!</v>
      </c>
      <c r="N32" s="190"/>
      <c r="P32" s="180"/>
    </row>
    <row r="33" spans="1:16" ht="20.100000000000001" customHeight="1">
      <c r="A33" s="1238" t="s">
        <v>2906</v>
      </c>
      <c r="B33" s="1218">
        <v>5450</v>
      </c>
      <c r="C33" s="1227">
        <v>5450</v>
      </c>
      <c r="D33" s="1227">
        <f t="shared" ref="D33:D39" si="9">+C33</f>
        <v>5450</v>
      </c>
      <c r="E33" s="1227">
        <f t="shared" si="4"/>
        <v>26602.593685</v>
      </c>
      <c r="F33" s="1227">
        <f t="shared" si="5"/>
        <v>26602.593685</v>
      </c>
      <c r="G33" s="1226">
        <v>0</v>
      </c>
      <c r="H33" s="1227">
        <v>26602.593685</v>
      </c>
      <c r="I33" s="1226">
        <v>0</v>
      </c>
      <c r="J33" s="1226">
        <v>0</v>
      </c>
      <c r="K33" s="1227">
        <f t="shared" si="6"/>
        <v>488.12098504587152</v>
      </c>
      <c r="L33" s="1227">
        <f t="shared" si="1"/>
        <v>488.12098504587152</v>
      </c>
      <c r="M33" s="184" t="e">
        <f t="shared" si="8"/>
        <v>#VALUE!</v>
      </c>
      <c r="P33" s="158"/>
    </row>
    <row r="34" spans="1:16" ht="20.100000000000001" customHeight="1">
      <c r="A34" s="1238" t="s">
        <v>2907</v>
      </c>
      <c r="B34" s="1218">
        <v>4500</v>
      </c>
      <c r="C34" s="1227">
        <v>4500</v>
      </c>
      <c r="D34" s="1227">
        <f t="shared" si="9"/>
        <v>4500</v>
      </c>
      <c r="E34" s="1227">
        <f t="shared" si="4"/>
        <v>44900.533301000003</v>
      </c>
      <c r="F34" s="1227">
        <f t="shared" si="5"/>
        <v>44900.533301000003</v>
      </c>
      <c r="G34" s="1226">
        <v>0</v>
      </c>
      <c r="H34" s="1227">
        <v>44900.533301000003</v>
      </c>
      <c r="I34" s="1226">
        <v>0</v>
      </c>
      <c r="J34" s="1226">
        <v>0</v>
      </c>
      <c r="K34" s="1227">
        <f t="shared" si="6"/>
        <v>997.78962891111109</v>
      </c>
      <c r="L34" s="1227">
        <f t="shared" si="1"/>
        <v>997.78962891111109</v>
      </c>
      <c r="M34" s="191" t="e">
        <f t="shared" si="8"/>
        <v>#VALUE!</v>
      </c>
    </row>
    <row r="35" spans="1:16" ht="20.100000000000001" customHeight="1">
      <c r="A35" s="1238" t="s">
        <v>2908</v>
      </c>
      <c r="B35" s="1212">
        <v>0</v>
      </c>
      <c r="C35" s="1226">
        <v>0</v>
      </c>
      <c r="D35" s="1227">
        <f t="shared" si="9"/>
        <v>0</v>
      </c>
      <c r="E35" s="1226">
        <v>0</v>
      </c>
      <c r="F35" s="1227">
        <f t="shared" si="5"/>
        <v>0</v>
      </c>
      <c r="G35" s="1226">
        <v>0</v>
      </c>
      <c r="H35" s="1226">
        <v>0</v>
      </c>
      <c r="I35" s="1226">
        <v>0</v>
      </c>
      <c r="J35" s="1226">
        <v>0</v>
      </c>
      <c r="K35" s="1227">
        <v>0</v>
      </c>
      <c r="L35" s="1227">
        <v>0</v>
      </c>
      <c r="M35" s="191"/>
    </row>
    <row r="36" spans="1:16" ht="20.100000000000001" customHeight="1">
      <c r="A36" s="1238" t="s">
        <v>2909</v>
      </c>
      <c r="B36" s="1212">
        <v>0</v>
      </c>
      <c r="C36" s="1226">
        <v>0</v>
      </c>
      <c r="D36" s="1227">
        <f t="shared" si="9"/>
        <v>0</v>
      </c>
      <c r="E36" s="1226">
        <f t="shared" si="4"/>
        <v>0</v>
      </c>
      <c r="F36" s="1227">
        <f t="shared" si="5"/>
        <v>0</v>
      </c>
      <c r="G36" s="1226">
        <v>0</v>
      </c>
      <c r="H36" s="1226">
        <v>0</v>
      </c>
      <c r="I36" s="1226">
        <v>0</v>
      </c>
      <c r="J36" s="1226">
        <v>0</v>
      </c>
      <c r="K36" s="1227">
        <v>0</v>
      </c>
      <c r="L36" s="1227">
        <v>0</v>
      </c>
      <c r="M36" s="184" t="e">
        <f t="shared" si="8"/>
        <v>#VALUE!</v>
      </c>
      <c r="P36" s="158">
        <f>+C41+C42+C43+C44</f>
        <v>597640</v>
      </c>
    </row>
    <row r="37" spans="1:16" ht="20.100000000000001" customHeight="1">
      <c r="A37" s="1238" t="s">
        <v>2910</v>
      </c>
      <c r="B37" s="1218">
        <v>50</v>
      </c>
      <c r="C37" s="1227">
        <v>50</v>
      </c>
      <c r="D37" s="1227">
        <f t="shared" si="9"/>
        <v>50</v>
      </c>
      <c r="E37" s="1226">
        <f t="shared" si="4"/>
        <v>0</v>
      </c>
      <c r="F37" s="1227">
        <f t="shared" si="5"/>
        <v>0</v>
      </c>
      <c r="G37" s="1226">
        <v>0</v>
      </c>
      <c r="H37" s="1226">
        <v>0</v>
      </c>
      <c r="I37" s="1226">
        <v>0</v>
      </c>
      <c r="J37" s="1226">
        <v>0</v>
      </c>
      <c r="K37" s="1227">
        <f t="shared" si="6"/>
        <v>0</v>
      </c>
      <c r="L37" s="1227">
        <f t="shared" si="1"/>
        <v>0</v>
      </c>
      <c r="M37" s="184" t="e">
        <f t="shared" si="8"/>
        <v>#VALUE!</v>
      </c>
    </row>
    <row r="38" spans="1:16" ht="20.100000000000001" customHeight="1">
      <c r="A38" s="1238" t="s">
        <v>2911</v>
      </c>
      <c r="B38" s="1212">
        <v>0</v>
      </c>
      <c r="C38" s="1226">
        <v>0</v>
      </c>
      <c r="D38" s="1227">
        <f t="shared" si="9"/>
        <v>0</v>
      </c>
      <c r="E38" s="1227">
        <f t="shared" si="4"/>
        <v>7.2</v>
      </c>
      <c r="F38" s="1227">
        <f t="shared" si="5"/>
        <v>7.2</v>
      </c>
      <c r="G38" s="1226">
        <v>0</v>
      </c>
      <c r="H38" s="1227">
        <v>7.2</v>
      </c>
      <c r="I38" s="1226">
        <v>0</v>
      </c>
      <c r="J38" s="1226">
        <v>0</v>
      </c>
      <c r="K38" s="1227">
        <v>0</v>
      </c>
      <c r="L38" s="1227">
        <v>0</v>
      </c>
      <c r="M38" s="184"/>
      <c r="O38" s="158"/>
    </row>
    <row r="39" spans="1:16" ht="20.100000000000001" customHeight="1">
      <c r="A39" s="1238" t="s">
        <v>2912</v>
      </c>
      <c r="B39" s="1212">
        <v>0</v>
      </c>
      <c r="C39" s="1226">
        <v>0</v>
      </c>
      <c r="D39" s="1227">
        <f t="shared" si="9"/>
        <v>0</v>
      </c>
      <c r="E39" s="1226">
        <f t="shared" si="4"/>
        <v>0</v>
      </c>
      <c r="F39" s="1227">
        <f t="shared" si="5"/>
        <v>0</v>
      </c>
      <c r="G39" s="1226">
        <v>0</v>
      </c>
      <c r="H39" s="1226">
        <v>0</v>
      </c>
      <c r="I39" s="1226">
        <v>0</v>
      </c>
      <c r="J39" s="1226">
        <v>0</v>
      </c>
      <c r="K39" s="1227">
        <v>0</v>
      </c>
      <c r="L39" s="1227">
        <v>0</v>
      </c>
      <c r="M39" s="184" t="e">
        <f>E39/"#REF!*100"</f>
        <v>#VALUE!</v>
      </c>
    </row>
    <row r="40" spans="1:16" s="177" customFormat="1" ht="20.100000000000001" customHeight="1">
      <c r="A40" s="1237" t="s">
        <v>2913</v>
      </c>
      <c r="B40" s="1211">
        <f>SUM(B41:B46)</f>
        <v>601000</v>
      </c>
      <c r="C40" s="1224">
        <f>SUM(C41:C46)</f>
        <v>601000</v>
      </c>
      <c r="D40" s="1224">
        <f>SUM(D41:D46)</f>
        <v>596640</v>
      </c>
      <c r="E40" s="1224">
        <f t="shared" si="4"/>
        <v>556933.40420400002</v>
      </c>
      <c r="F40" s="1224">
        <f t="shared" si="5"/>
        <v>556474.66227199999</v>
      </c>
      <c r="G40" s="1224">
        <f>SUM(G41:G46)</f>
        <v>458.74193200000002</v>
      </c>
      <c r="H40" s="1224">
        <f>SUM(H41:H46)</f>
        <v>261997.204692</v>
      </c>
      <c r="I40" s="1224">
        <f>SUM(I41:I46)</f>
        <v>294477.45757999999</v>
      </c>
      <c r="J40" s="1226">
        <f>SUM(J41:J46)</f>
        <v>0</v>
      </c>
      <c r="K40" s="1224">
        <f t="shared" si="6"/>
        <v>92.667787721131461</v>
      </c>
      <c r="L40" s="1224">
        <f t="shared" si="1"/>
        <v>93.268078283722176</v>
      </c>
      <c r="M40" s="175" t="e">
        <f>E40/"#REF!*100"</f>
        <v>#VALUE!</v>
      </c>
      <c r="N40" s="177">
        <v>543050.16736399999</v>
      </c>
      <c r="O40" s="177" t="s">
        <v>162</v>
      </c>
    </row>
    <row r="41" spans="1:16" ht="20.100000000000001" customHeight="1">
      <c r="A41" s="1238" t="s">
        <v>2914</v>
      </c>
      <c r="B41" s="1218">
        <v>471700</v>
      </c>
      <c r="C41" s="1227">
        <v>482410</v>
      </c>
      <c r="D41" s="1227">
        <f>+C41-1000</f>
        <v>481410</v>
      </c>
      <c r="E41" s="1227">
        <f>+G41+H41+I41+J41</f>
        <v>362517.98718499998</v>
      </c>
      <c r="F41" s="1227">
        <f t="shared" si="5"/>
        <v>362517.98718499998</v>
      </c>
      <c r="G41" s="1227">
        <v>0</v>
      </c>
      <c r="H41" s="1227">
        <v>118928.622932</v>
      </c>
      <c r="I41" s="1227">
        <v>243589.36425300001</v>
      </c>
      <c r="J41" s="1226">
        <v>0</v>
      </c>
      <c r="K41" s="1227">
        <f t="shared" si="6"/>
        <v>75.147278701726734</v>
      </c>
      <c r="L41" s="1227">
        <f t="shared" si="1"/>
        <v>75.303376993622891</v>
      </c>
      <c r="M41" s="184" t="e">
        <f>E41/"#REF!*100"</f>
        <v>#VALUE!</v>
      </c>
      <c r="N41" s="158">
        <f>+E40-N40</f>
        <v>13883.236840000027</v>
      </c>
      <c r="P41" s="158">
        <f>+B41+B42+B43</f>
        <v>596500</v>
      </c>
    </row>
    <row r="42" spans="1:16" ht="20.100000000000001" customHeight="1">
      <c r="A42" s="1238" t="s">
        <v>2915</v>
      </c>
      <c r="B42" s="1218">
        <v>123000</v>
      </c>
      <c r="C42" s="1227">
        <v>109150</v>
      </c>
      <c r="D42" s="1227">
        <f t="shared" ref="D42:D44" si="10">+C42</f>
        <v>109150</v>
      </c>
      <c r="E42" s="1227">
        <f t="shared" si="4"/>
        <v>184195.147069</v>
      </c>
      <c r="F42" s="1227">
        <f t="shared" si="5"/>
        <v>184195.147069</v>
      </c>
      <c r="G42" s="1227">
        <v>0</v>
      </c>
      <c r="H42" s="1227">
        <v>133307.05374199999</v>
      </c>
      <c r="I42" s="1227">
        <v>50888.093327000002</v>
      </c>
      <c r="J42" s="1226">
        <v>0</v>
      </c>
      <c r="K42" s="1227">
        <f t="shared" si="6"/>
        <v>168.75414298579935</v>
      </c>
      <c r="L42" s="1227">
        <f t="shared" si="1"/>
        <v>168.75414298579935</v>
      </c>
      <c r="M42" s="184" t="e">
        <f>E42/"#REF!*100"</f>
        <v>#VALUE!</v>
      </c>
      <c r="P42" s="158">
        <f>+C41+C42+C43+C46</f>
        <v>596545</v>
      </c>
    </row>
    <row r="43" spans="1:16" ht="20.100000000000001" customHeight="1">
      <c r="A43" s="1238" t="s">
        <v>2916</v>
      </c>
      <c r="B43" s="1218">
        <v>1800</v>
      </c>
      <c r="C43" s="1227">
        <v>1625</v>
      </c>
      <c r="D43" s="1227">
        <f t="shared" si="10"/>
        <v>1625</v>
      </c>
      <c r="E43" s="1227">
        <f t="shared" si="4"/>
        <v>1709.2983829999998</v>
      </c>
      <c r="F43" s="1227">
        <f t="shared" si="5"/>
        <v>1250.5564509999999</v>
      </c>
      <c r="G43" s="1226">
        <v>458.74193200000002</v>
      </c>
      <c r="H43" s="1227">
        <v>1250.5564509999999</v>
      </c>
      <c r="I43" s="1226">
        <v>0</v>
      </c>
      <c r="J43" s="1226">
        <v>0</v>
      </c>
      <c r="K43" s="1227">
        <f t="shared" si="6"/>
        <v>105.18759279999999</v>
      </c>
      <c r="L43" s="1227">
        <f t="shared" si="1"/>
        <v>76.957320061538454</v>
      </c>
      <c r="M43" s="184" t="e">
        <f>E43/"#REF!*100"</f>
        <v>#VALUE!</v>
      </c>
    </row>
    <row r="44" spans="1:16" ht="20.100000000000001" customHeight="1">
      <c r="A44" s="1238" t="s">
        <v>2917</v>
      </c>
      <c r="B44" s="1218">
        <v>4500</v>
      </c>
      <c r="C44" s="1227">
        <v>4455</v>
      </c>
      <c r="D44" s="1227">
        <f t="shared" si="10"/>
        <v>4455</v>
      </c>
      <c r="E44" s="1227">
        <f t="shared" si="4"/>
        <v>8510.9715670000005</v>
      </c>
      <c r="F44" s="1227">
        <f t="shared" si="5"/>
        <v>8510.9715670000005</v>
      </c>
      <c r="G44" s="1226">
        <v>0</v>
      </c>
      <c r="H44" s="1227">
        <v>8510.9715670000005</v>
      </c>
      <c r="I44" s="1226">
        <v>0</v>
      </c>
      <c r="J44" s="1226">
        <v>0</v>
      </c>
      <c r="K44" s="1227">
        <f t="shared" si="6"/>
        <v>191.0431328170595</v>
      </c>
      <c r="L44" s="1227">
        <f t="shared" si="1"/>
        <v>191.0431328170595</v>
      </c>
      <c r="M44" s="184"/>
    </row>
    <row r="45" spans="1:16" ht="20.100000000000001" customHeight="1">
      <c r="A45" s="1238" t="s">
        <v>2918</v>
      </c>
      <c r="B45" s="1212">
        <v>0</v>
      </c>
      <c r="C45" s="1226">
        <v>0</v>
      </c>
      <c r="D45" s="1226"/>
      <c r="E45" s="1226">
        <f t="shared" si="4"/>
        <v>0</v>
      </c>
      <c r="F45" s="1227">
        <f t="shared" si="5"/>
        <v>0</v>
      </c>
      <c r="G45" s="1226">
        <v>0</v>
      </c>
      <c r="H45" s="1226">
        <v>0</v>
      </c>
      <c r="I45" s="1226">
        <v>0</v>
      </c>
      <c r="J45" s="1226">
        <v>0</v>
      </c>
      <c r="K45" s="1227">
        <v>0</v>
      </c>
      <c r="L45" s="1227">
        <v>0</v>
      </c>
      <c r="M45" s="184" t="e">
        <f>E45/"#REF!*100"</f>
        <v>#VALUE!</v>
      </c>
    </row>
    <row r="46" spans="1:16" ht="20.100000000000001" customHeight="1">
      <c r="A46" s="1238" t="s">
        <v>2919</v>
      </c>
      <c r="B46" s="1212">
        <v>0</v>
      </c>
      <c r="C46" s="1227">
        <v>3360</v>
      </c>
      <c r="D46" s="1227"/>
      <c r="E46" s="1226">
        <f t="shared" si="4"/>
        <v>0</v>
      </c>
      <c r="F46" s="1227">
        <f t="shared" si="5"/>
        <v>0</v>
      </c>
      <c r="G46" s="1226">
        <v>0</v>
      </c>
      <c r="H46" s="1226">
        <v>0</v>
      </c>
      <c r="I46" s="1226">
        <v>0</v>
      </c>
      <c r="J46" s="1226">
        <v>0</v>
      </c>
      <c r="K46" s="1227">
        <f t="shared" si="6"/>
        <v>0</v>
      </c>
      <c r="L46" s="1227">
        <v>0</v>
      </c>
      <c r="M46" s="184" t="e">
        <f>E46/"#REF!*100"</f>
        <v>#VALUE!</v>
      </c>
    </row>
    <row r="47" spans="1:16" s="177" customFormat="1" ht="20.100000000000001" customHeight="1">
      <c r="A47" s="1237" t="s">
        <v>2920</v>
      </c>
      <c r="B47" s="1211">
        <v>160000</v>
      </c>
      <c r="C47" s="1224">
        <v>150000</v>
      </c>
      <c r="D47" s="1224">
        <f>+C47</f>
        <v>150000</v>
      </c>
      <c r="E47" s="1224">
        <f t="shared" si="4"/>
        <v>150901.529974</v>
      </c>
      <c r="F47" s="1224">
        <f t="shared" si="5"/>
        <v>150901.529974</v>
      </c>
      <c r="G47" s="1226">
        <v>0</v>
      </c>
      <c r="H47" s="1226">
        <v>0</v>
      </c>
      <c r="I47" s="1224">
        <v>132842.06804700001</v>
      </c>
      <c r="J47" s="1224">
        <v>18059.461927</v>
      </c>
      <c r="K47" s="1224">
        <f t="shared" si="6"/>
        <v>100.60101998266666</v>
      </c>
      <c r="L47" s="1224">
        <f t="shared" si="1"/>
        <v>100.60101998266666</v>
      </c>
      <c r="M47" s="175"/>
      <c r="O47" s="180"/>
    </row>
    <row r="48" spans="1:16" s="177" customFormat="1" ht="20.100000000000001" customHeight="1">
      <c r="A48" s="1237" t="s">
        <v>2921</v>
      </c>
      <c r="B48" s="1211">
        <v>7000</v>
      </c>
      <c r="C48" s="1224">
        <v>7000</v>
      </c>
      <c r="D48" s="1224">
        <f t="shared" ref="D48:D50" si="11">+C48</f>
        <v>7000</v>
      </c>
      <c r="E48" s="1224">
        <f t="shared" si="4"/>
        <v>1730.911349</v>
      </c>
      <c r="F48" s="1224">
        <f t="shared" si="5"/>
        <v>1730.911349</v>
      </c>
      <c r="G48" s="1226">
        <v>0</v>
      </c>
      <c r="H48" s="1224">
        <v>105.08002500000001</v>
      </c>
      <c r="I48" s="1224">
        <v>1195.704158</v>
      </c>
      <c r="J48" s="1224">
        <v>430.12716599999999</v>
      </c>
      <c r="K48" s="1224">
        <f t="shared" si="6"/>
        <v>24.727304985714284</v>
      </c>
      <c r="L48" s="1224">
        <f t="shared" si="1"/>
        <v>24.727304985714284</v>
      </c>
      <c r="M48" s="175" t="e">
        <f>E48/"#REF!*100"</f>
        <v>#VALUE!</v>
      </c>
      <c r="N48" s="190">
        <v>10220.554547</v>
      </c>
      <c r="O48" s="180">
        <f>+N48-E48</f>
        <v>8489.6431979999998</v>
      </c>
    </row>
    <row r="49" spans="1:14" s="177" customFormat="1" ht="20.100000000000001" customHeight="1">
      <c r="A49" s="1237" t="s">
        <v>2922</v>
      </c>
      <c r="B49" s="1211">
        <v>3000</v>
      </c>
      <c r="C49" s="1224">
        <v>3000</v>
      </c>
      <c r="D49" s="1224">
        <f t="shared" si="11"/>
        <v>3000</v>
      </c>
      <c r="E49" s="1224">
        <f t="shared" si="4"/>
        <v>5392.989818</v>
      </c>
      <c r="F49" s="1224">
        <f t="shared" si="5"/>
        <v>5392.989818</v>
      </c>
      <c r="G49" s="1226">
        <v>0</v>
      </c>
      <c r="H49" s="1226">
        <v>0</v>
      </c>
      <c r="I49" s="1224">
        <v>8.9236909999999998</v>
      </c>
      <c r="J49" s="1224">
        <v>5384.0661270000001</v>
      </c>
      <c r="K49" s="1224">
        <f t="shared" si="6"/>
        <v>179.76632726666665</v>
      </c>
      <c r="L49" s="1224">
        <f t="shared" si="1"/>
        <v>179.76632726666665</v>
      </c>
      <c r="M49" s="175"/>
      <c r="N49" s="190"/>
    </row>
    <row r="50" spans="1:14" s="177" customFormat="1" ht="20.100000000000001" customHeight="1">
      <c r="A50" s="1237" t="s">
        <v>2923</v>
      </c>
      <c r="B50" s="1211">
        <v>310000</v>
      </c>
      <c r="C50" s="1224">
        <v>310000</v>
      </c>
      <c r="D50" s="1224">
        <f t="shared" si="11"/>
        <v>310000</v>
      </c>
      <c r="E50" s="1224">
        <f t="shared" si="4"/>
        <v>311532.13652399997</v>
      </c>
      <c r="F50" s="1224">
        <f t="shared" si="5"/>
        <v>311532.13652399997</v>
      </c>
      <c r="G50" s="1226">
        <v>0</v>
      </c>
      <c r="H50" s="1224">
        <v>311532.13652399997</v>
      </c>
      <c r="I50" s="1226">
        <v>0</v>
      </c>
      <c r="J50" s="1226">
        <v>0</v>
      </c>
      <c r="K50" s="1224">
        <f t="shared" si="6"/>
        <v>100.49423758838709</v>
      </c>
      <c r="L50" s="1224">
        <f t="shared" si="1"/>
        <v>100.49423758838709</v>
      </c>
      <c r="M50" s="175" t="e">
        <f>E50/"#REF!*100"</f>
        <v>#VALUE!</v>
      </c>
    </row>
    <row r="51" spans="1:14" s="177" customFormat="1" ht="20.100000000000001" customHeight="1">
      <c r="A51" s="1237" t="s">
        <v>2924</v>
      </c>
      <c r="B51" s="1211">
        <v>320000</v>
      </c>
      <c r="C51" s="1224">
        <v>320000</v>
      </c>
      <c r="D51" s="1224">
        <v>127760</v>
      </c>
      <c r="E51" s="1224">
        <f t="shared" si="4"/>
        <v>400508.77685800003</v>
      </c>
      <c r="F51" s="1224">
        <f t="shared" si="5"/>
        <v>148989.24735300001</v>
      </c>
      <c r="G51" s="1224">
        <v>251519.52950500001</v>
      </c>
      <c r="H51" s="1224">
        <v>148989.24735300001</v>
      </c>
      <c r="I51" s="1226">
        <v>0</v>
      </c>
      <c r="J51" s="1226">
        <v>0</v>
      </c>
      <c r="K51" s="1224">
        <f t="shared" si="6"/>
        <v>125.15899276812502</v>
      </c>
      <c r="L51" s="1224">
        <f t="shared" si="1"/>
        <v>116.61650544223545</v>
      </c>
      <c r="M51" s="175"/>
    </row>
    <row r="52" spans="1:14" s="177" customFormat="1" ht="20.100000000000001" customHeight="1">
      <c r="A52" s="1237" t="s">
        <v>2925</v>
      </c>
      <c r="B52" s="1211">
        <f>+B53+B54</f>
        <v>65000</v>
      </c>
      <c r="C52" s="1224">
        <v>75000</v>
      </c>
      <c r="D52" s="1224">
        <f>+D54</f>
        <v>59000</v>
      </c>
      <c r="E52" s="1224">
        <f t="shared" si="4"/>
        <v>84442.454005999985</v>
      </c>
      <c r="F52" s="1224">
        <f t="shared" si="5"/>
        <v>62779.633491999994</v>
      </c>
      <c r="G52" s="1224">
        <f>+G53+G54</f>
        <v>21662.820513999999</v>
      </c>
      <c r="H52" s="1224">
        <f>+H53+H54</f>
        <v>31158.494369999997</v>
      </c>
      <c r="I52" s="1224">
        <f>+I53+I54</f>
        <v>12022.111008</v>
      </c>
      <c r="J52" s="1224">
        <f>+J53+J54</f>
        <v>19599.028114000001</v>
      </c>
      <c r="K52" s="1224">
        <f t="shared" si="6"/>
        <v>112.58993867466664</v>
      </c>
      <c r="L52" s="1224">
        <f t="shared" si="1"/>
        <v>106.40615846101693</v>
      </c>
      <c r="M52" s="175" t="e">
        <f>E52/"#REF!*100"</f>
        <v>#VALUE!</v>
      </c>
      <c r="N52" s="180">
        <v>84442.454006</v>
      </c>
    </row>
    <row r="53" spans="1:14" s="1129" customFormat="1" ht="20.100000000000001" customHeight="1">
      <c r="A53" s="1238" t="s">
        <v>2926</v>
      </c>
      <c r="B53" s="1218">
        <v>16000</v>
      </c>
      <c r="C53" s="1226">
        <v>16000</v>
      </c>
      <c r="D53" s="1226"/>
      <c r="E53" s="1227">
        <f t="shared" si="4"/>
        <v>21877.146172999997</v>
      </c>
      <c r="F53" s="1227">
        <f t="shared" si="5"/>
        <v>214.325659</v>
      </c>
      <c r="G53" s="1227">
        <v>21662.820513999999</v>
      </c>
      <c r="H53" s="1227">
        <v>214.325659</v>
      </c>
      <c r="I53" s="1226">
        <v>0</v>
      </c>
      <c r="J53" s="1226">
        <v>0</v>
      </c>
      <c r="K53" s="1227">
        <f t="shared" si="6"/>
        <v>136.73216358124998</v>
      </c>
      <c r="L53" s="1227">
        <v>0</v>
      </c>
      <c r="M53" s="1127" t="e">
        <f>E53/"#REF!*100"</f>
        <v>#VALUE!</v>
      </c>
      <c r="N53" s="1128">
        <f>+N52-E52</f>
        <v>0</v>
      </c>
    </row>
    <row r="54" spans="1:14" s="1129" customFormat="1" ht="20.100000000000001" customHeight="1">
      <c r="A54" s="1238" t="s">
        <v>2927</v>
      </c>
      <c r="B54" s="1218">
        <v>49000</v>
      </c>
      <c r="C54" s="1226">
        <v>59000</v>
      </c>
      <c r="D54" s="1226">
        <f>+C54</f>
        <v>59000</v>
      </c>
      <c r="E54" s="1227">
        <f t="shared" si="4"/>
        <v>62565.307832999999</v>
      </c>
      <c r="F54" s="1227">
        <f t="shared" si="5"/>
        <v>62565.307832999999</v>
      </c>
      <c r="G54" s="1226">
        <v>0</v>
      </c>
      <c r="H54" s="1227">
        <v>30944.168710999998</v>
      </c>
      <c r="I54" s="1227">
        <v>12022.111008</v>
      </c>
      <c r="J54" s="1227">
        <f>9410.941742+10188.086372</f>
        <v>19599.028114000001</v>
      </c>
      <c r="K54" s="1227">
        <f t="shared" si="6"/>
        <v>106.04289463220337</v>
      </c>
      <c r="L54" s="1227">
        <f t="shared" si="1"/>
        <v>106.04289463220337</v>
      </c>
      <c r="M54" s="1127" t="e">
        <f>E54/"#REF!*100"</f>
        <v>#VALUE!</v>
      </c>
      <c r="N54" s="1128"/>
    </row>
    <row r="55" spans="1:14" s="177" customFormat="1" ht="20.100000000000001" customHeight="1">
      <c r="A55" s="1237" t="s">
        <v>2928</v>
      </c>
      <c r="B55" s="1211">
        <v>150000</v>
      </c>
      <c r="C55" s="1224">
        <v>310000</v>
      </c>
      <c r="D55" s="1224">
        <f>+C55</f>
        <v>310000</v>
      </c>
      <c r="E55" s="1224">
        <f t="shared" si="4"/>
        <v>323196.48060300003</v>
      </c>
      <c r="F55" s="1224">
        <f t="shared" si="5"/>
        <v>323196.48060300003</v>
      </c>
      <c r="G55" s="1226">
        <v>0</v>
      </c>
      <c r="H55" s="1224">
        <v>135292.369145</v>
      </c>
      <c r="I55" s="1224">
        <v>187904.111458</v>
      </c>
      <c r="J55" s="1224"/>
      <c r="K55" s="1224">
        <f t="shared" si="6"/>
        <v>104.2569292267742</v>
      </c>
      <c r="L55" s="1224">
        <f t="shared" si="1"/>
        <v>104.2569292267742</v>
      </c>
      <c r="M55" s="175"/>
      <c r="N55" s="180"/>
    </row>
    <row r="56" spans="1:14" s="177" customFormat="1" ht="20.100000000000001" customHeight="1">
      <c r="A56" s="1237" t="s">
        <v>2929</v>
      </c>
      <c r="B56" s="1211">
        <v>20000</v>
      </c>
      <c r="C56" s="1224">
        <v>20000</v>
      </c>
      <c r="D56" s="1224">
        <f>+C56</f>
        <v>20000</v>
      </c>
      <c r="E56" s="1224">
        <f t="shared" si="4"/>
        <v>103962.54725799999</v>
      </c>
      <c r="F56" s="1224">
        <f t="shared" si="5"/>
        <v>103962.54725799999</v>
      </c>
      <c r="G56" s="1226">
        <v>0</v>
      </c>
      <c r="H56" s="1224">
        <v>103528.94525999999</v>
      </c>
      <c r="I56" s="1224">
        <v>430.96199799999999</v>
      </c>
      <c r="J56" s="1224">
        <v>2.64</v>
      </c>
      <c r="K56" s="1224">
        <f t="shared" si="6"/>
        <v>519.81273628999998</v>
      </c>
      <c r="L56" s="1224">
        <f t="shared" si="1"/>
        <v>519.81273628999998</v>
      </c>
      <c r="M56" s="175"/>
      <c r="N56" s="180"/>
    </row>
    <row r="57" spans="1:14" s="177" customFormat="1" ht="20.100000000000001" customHeight="1">
      <c r="A57" s="1237" t="s">
        <v>2930</v>
      </c>
      <c r="B57" s="1212">
        <v>0</v>
      </c>
      <c r="C57" s="1226">
        <v>0</v>
      </c>
      <c r="D57" s="1226">
        <v>0</v>
      </c>
      <c r="E57" s="1226">
        <f>+G57+H57+I57+J57</f>
        <v>0</v>
      </c>
      <c r="F57" s="1224">
        <f t="shared" si="5"/>
        <v>0</v>
      </c>
      <c r="G57" s="1226">
        <v>0</v>
      </c>
      <c r="H57" s="1226">
        <v>0</v>
      </c>
      <c r="I57" s="1226">
        <v>0</v>
      </c>
      <c r="J57" s="1226">
        <v>0</v>
      </c>
      <c r="K57" s="1227">
        <v>0</v>
      </c>
      <c r="L57" s="1227">
        <v>0</v>
      </c>
      <c r="M57" s="175"/>
      <c r="N57" s="180"/>
    </row>
    <row r="58" spans="1:14" s="177" customFormat="1" ht="20.100000000000001" customHeight="1">
      <c r="A58" s="1237" t="s">
        <v>2931</v>
      </c>
      <c r="B58" s="1212">
        <v>0</v>
      </c>
      <c r="C58" s="1226">
        <v>0</v>
      </c>
      <c r="D58" s="1226">
        <v>0</v>
      </c>
      <c r="E58" s="1226">
        <f>+G58+H58+I58+J58</f>
        <v>0</v>
      </c>
      <c r="F58" s="1224">
        <f t="shared" si="5"/>
        <v>0</v>
      </c>
      <c r="G58" s="1226">
        <v>0</v>
      </c>
      <c r="H58" s="1226">
        <v>0</v>
      </c>
      <c r="I58" s="1226">
        <v>0</v>
      </c>
      <c r="J58" s="1226">
        <v>0</v>
      </c>
      <c r="K58" s="1227">
        <v>0</v>
      </c>
      <c r="L58" s="1227">
        <v>0</v>
      </c>
      <c r="M58" s="175"/>
      <c r="N58" s="180"/>
    </row>
    <row r="59" spans="1:14" s="177" customFormat="1" ht="20.100000000000001" customHeight="1">
      <c r="A59" s="1237" t="s">
        <v>2932</v>
      </c>
      <c r="B59" s="1212">
        <v>0</v>
      </c>
      <c r="C59" s="1226">
        <v>0</v>
      </c>
      <c r="D59" s="1226">
        <v>0</v>
      </c>
      <c r="E59" s="1226">
        <f>+G59+H59+I59+J59</f>
        <v>0</v>
      </c>
      <c r="F59" s="1224">
        <f t="shared" si="5"/>
        <v>0</v>
      </c>
      <c r="G59" s="1226">
        <v>0</v>
      </c>
      <c r="H59" s="1226">
        <v>0</v>
      </c>
      <c r="I59" s="1226">
        <v>0</v>
      </c>
      <c r="J59" s="1226">
        <v>0</v>
      </c>
      <c r="K59" s="1227">
        <v>0</v>
      </c>
      <c r="L59" s="1227">
        <v>0</v>
      </c>
      <c r="M59" s="175"/>
      <c r="N59" s="180"/>
    </row>
    <row r="60" spans="1:14" s="177" customFormat="1" ht="20.100000000000001" customHeight="1">
      <c r="A60" s="1237" t="s">
        <v>2933</v>
      </c>
      <c r="B60" s="1212">
        <v>0</v>
      </c>
      <c r="C60" s="1226">
        <v>0</v>
      </c>
      <c r="D60" s="1226">
        <v>0</v>
      </c>
      <c r="E60" s="1224">
        <f t="shared" si="4"/>
        <v>5867.3799369999997</v>
      </c>
      <c r="F60" s="1224">
        <f t="shared" si="5"/>
        <v>5867.3799369999997</v>
      </c>
      <c r="G60" s="1226">
        <v>0</v>
      </c>
      <c r="H60" s="1224">
        <v>5867.3799369999997</v>
      </c>
      <c r="I60" s="1226">
        <v>0</v>
      </c>
      <c r="J60" s="1226">
        <v>0</v>
      </c>
      <c r="K60" s="1224">
        <v>0</v>
      </c>
      <c r="L60" s="1227">
        <v>0</v>
      </c>
      <c r="M60" s="175"/>
      <c r="N60" s="180"/>
    </row>
    <row r="61" spans="1:14" s="177" customFormat="1" ht="20.100000000000001" customHeight="1">
      <c r="A61" s="1237" t="s">
        <v>2934</v>
      </c>
      <c r="B61" s="1211">
        <v>152000</v>
      </c>
      <c r="C61" s="1224">
        <f>152000</f>
        <v>152000</v>
      </c>
      <c r="D61" s="1224">
        <v>95600</v>
      </c>
      <c r="E61" s="1224">
        <f t="shared" si="4"/>
        <v>166853.37051400001</v>
      </c>
      <c r="F61" s="1224">
        <f t="shared" si="5"/>
        <v>111531.50270499999</v>
      </c>
      <c r="G61" s="1224">
        <v>55321.867809000003</v>
      </c>
      <c r="H61" s="1224">
        <v>60417.985012999998</v>
      </c>
      <c r="I61" s="1224">
        <v>23541.922451999999</v>
      </c>
      <c r="J61" s="1224">
        <v>27571.595239999999</v>
      </c>
      <c r="K61" s="1224">
        <f t="shared" si="6"/>
        <v>109.77195428552633</v>
      </c>
      <c r="L61" s="1224">
        <f t="shared" si="1"/>
        <v>116.66475178347279</v>
      </c>
      <c r="M61" s="175"/>
      <c r="N61" s="180">
        <v>24230.874657</v>
      </c>
    </row>
    <row r="62" spans="1:14" s="177" customFormat="1" ht="20.100000000000001" customHeight="1">
      <c r="A62" s="1237" t="s">
        <v>2935</v>
      </c>
      <c r="B62" s="1212">
        <v>0</v>
      </c>
      <c r="C62" s="1226">
        <v>0</v>
      </c>
      <c r="D62" s="1226">
        <v>0</v>
      </c>
      <c r="E62" s="1224">
        <f t="shared" si="4"/>
        <v>1909.098751</v>
      </c>
      <c r="F62" s="1224">
        <f t="shared" si="5"/>
        <v>1909.098751</v>
      </c>
      <c r="G62" s="1226">
        <v>0</v>
      </c>
      <c r="H62" s="1224">
        <v>1909.098751</v>
      </c>
      <c r="I62" s="1226">
        <v>0</v>
      </c>
      <c r="J62" s="1226">
        <v>0</v>
      </c>
      <c r="K62" s="1224">
        <v>0</v>
      </c>
      <c r="L62" s="1227">
        <v>0</v>
      </c>
      <c r="M62" s="175"/>
      <c r="N62" s="180"/>
    </row>
    <row r="63" spans="1:14" s="177" customFormat="1" ht="20.100000000000001" customHeight="1">
      <c r="A63" s="1237" t="s">
        <v>2936</v>
      </c>
      <c r="B63" s="1211">
        <v>27000</v>
      </c>
      <c r="C63" s="1224">
        <v>0</v>
      </c>
      <c r="D63" s="1224">
        <v>0</v>
      </c>
      <c r="E63" s="1224">
        <f t="shared" si="4"/>
        <v>2316.415563</v>
      </c>
      <c r="F63" s="1224">
        <f t="shared" si="5"/>
        <v>2316.415563</v>
      </c>
      <c r="G63" s="1226">
        <v>0</v>
      </c>
      <c r="H63" s="1224">
        <v>1061.1065630000001</v>
      </c>
      <c r="I63" s="1226">
        <v>0</v>
      </c>
      <c r="J63" s="1224">
        <v>1255.309</v>
      </c>
      <c r="K63" s="1224">
        <v>0</v>
      </c>
      <c r="L63" s="1227">
        <v>0</v>
      </c>
      <c r="M63" s="175"/>
      <c r="N63" s="180"/>
    </row>
    <row r="64" spans="1:14" s="177" customFormat="1" ht="20.100000000000001" customHeight="1">
      <c r="A64" s="1237" t="s">
        <v>2937</v>
      </c>
      <c r="B64" s="1211">
        <v>30000</v>
      </c>
      <c r="C64" s="1224">
        <v>30000</v>
      </c>
      <c r="D64" s="1224">
        <f>+C64</f>
        <v>30000</v>
      </c>
      <c r="E64" s="1224">
        <f t="shared" si="4"/>
        <v>18258.358273999998</v>
      </c>
      <c r="F64" s="1224">
        <f t="shared" si="5"/>
        <v>18258.358273999998</v>
      </c>
      <c r="G64" s="1226">
        <v>0</v>
      </c>
      <c r="H64" s="1224">
        <v>18258.358273999998</v>
      </c>
      <c r="I64" s="1226">
        <v>0</v>
      </c>
      <c r="J64" s="1224">
        <v>0</v>
      </c>
      <c r="K64" s="1224">
        <f t="shared" si="6"/>
        <v>60.861194246666663</v>
      </c>
      <c r="L64" s="1224">
        <f t="shared" si="1"/>
        <v>60.861194246666663</v>
      </c>
      <c r="M64" s="175"/>
      <c r="N64" s="180"/>
    </row>
    <row r="65" spans="1:14" s="177" customFormat="1" ht="20.100000000000001" customHeight="1">
      <c r="A65" s="1237" t="s">
        <v>2938</v>
      </c>
      <c r="B65" s="1211">
        <v>830000</v>
      </c>
      <c r="C65" s="1224">
        <v>830000</v>
      </c>
      <c r="D65" s="1224">
        <f t="shared" ref="D65:D79" si="12">+C65</f>
        <v>830000</v>
      </c>
      <c r="E65" s="1224">
        <f t="shared" si="4"/>
        <v>850524.54294399999</v>
      </c>
      <c r="F65" s="1224">
        <f t="shared" si="5"/>
        <v>850524.54294399999</v>
      </c>
      <c r="G65" s="1226">
        <v>0</v>
      </c>
      <c r="H65" s="1224">
        <v>850524.54294399999</v>
      </c>
      <c r="I65" s="1226">
        <v>0</v>
      </c>
      <c r="J65" s="1226">
        <v>0</v>
      </c>
      <c r="K65" s="1224">
        <f t="shared" si="6"/>
        <v>102.47283649927709</v>
      </c>
      <c r="L65" s="1224">
        <f t="shared" si="1"/>
        <v>102.47283649927709</v>
      </c>
      <c r="M65" s="175"/>
      <c r="N65" s="180" t="s">
        <v>493</v>
      </c>
    </row>
    <row r="66" spans="1:14" s="494" customFormat="1" ht="18" hidden="1" customHeight="1">
      <c r="A66" s="1239" t="s">
        <v>176</v>
      </c>
      <c r="B66" s="1220">
        <f>B67+B68+B69+B71</f>
        <v>0</v>
      </c>
      <c r="C66" s="1229">
        <v>0</v>
      </c>
      <c r="D66" s="1224">
        <f t="shared" si="12"/>
        <v>0</v>
      </c>
      <c r="E66" s="1229">
        <f t="shared" si="4"/>
        <v>0</v>
      </c>
      <c r="F66" s="1224">
        <f t="shared" si="5"/>
        <v>0</v>
      </c>
      <c r="G66" s="1226">
        <f>SUM(G67:G71)-G70</f>
        <v>0</v>
      </c>
      <c r="H66" s="1229">
        <f>SUM(H67:H71)-H70</f>
        <v>0</v>
      </c>
      <c r="I66" s="1226">
        <f>SUM(I67:I71)-I70</f>
        <v>0</v>
      </c>
      <c r="J66" s="1226">
        <f>J67+J68+J69+J71</f>
        <v>0</v>
      </c>
      <c r="K66" s="1224" t="e">
        <f t="shared" si="6"/>
        <v>#DIV/0!</v>
      </c>
      <c r="L66" s="1224" t="e">
        <f t="shared" si="1"/>
        <v>#DIV/0!</v>
      </c>
      <c r="M66" s="493" t="e">
        <f>E66/"#REF!*100"</f>
        <v>#VALUE!</v>
      </c>
    </row>
    <row r="67" spans="1:14" s="441" customFormat="1" ht="18" hidden="1" customHeight="1">
      <c r="A67" s="1240" t="s">
        <v>177</v>
      </c>
      <c r="B67" s="1221">
        <v>0</v>
      </c>
      <c r="C67" s="1230">
        <v>0</v>
      </c>
      <c r="D67" s="1224">
        <f t="shared" si="12"/>
        <v>0</v>
      </c>
      <c r="E67" s="1231">
        <f t="shared" si="4"/>
        <v>0</v>
      </c>
      <c r="F67" s="1224">
        <f t="shared" si="5"/>
        <v>0</v>
      </c>
      <c r="G67" s="1226">
        <v>0</v>
      </c>
      <c r="H67" s="1230">
        <v>0</v>
      </c>
      <c r="I67" s="1226">
        <v>0</v>
      </c>
      <c r="J67" s="1226"/>
      <c r="K67" s="1224" t="e">
        <f t="shared" si="6"/>
        <v>#DIV/0!</v>
      </c>
      <c r="L67" s="1224" t="e">
        <f t="shared" si="1"/>
        <v>#DIV/0!</v>
      </c>
      <c r="M67" s="497" t="e">
        <f>E67/"#REF!*100"</f>
        <v>#VALUE!</v>
      </c>
    </row>
    <row r="68" spans="1:14" s="441" customFormat="1" ht="18" hidden="1" customHeight="1">
      <c r="A68" s="1240" t="s">
        <v>178</v>
      </c>
      <c r="B68" s="1221">
        <v>0</v>
      </c>
      <c r="C68" s="1230">
        <v>0</v>
      </c>
      <c r="D68" s="1224">
        <f t="shared" si="12"/>
        <v>0</v>
      </c>
      <c r="E68" s="1231">
        <f t="shared" si="4"/>
        <v>0</v>
      </c>
      <c r="F68" s="1224">
        <f t="shared" si="5"/>
        <v>0</v>
      </c>
      <c r="G68" s="1226">
        <v>0</v>
      </c>
      <c r="H68" s="1230">
        <v>0</v>
      </c>
      <c r="I68" s="1226">
        <v>0</v>
      </c>
      <c r="J68" s="1226"/>
      <c r="K68" s="1224" t="e">
        <f t="shared" si="6"/>
        <v>#DIV/0!</v>
      </c>
      <c r="L68" s="1224" t="e">
        <f t="shared" si="1"/>
        <v>#DIV/0!</v>
      </c>
      <c r="M68" s="497" t="e">
        <f>E68/"#REF!*100"</f>
        <v>#VALUE!</v>
      </c>
    </row>
    <row r="69" spans="1:14" s="441" customFormat="1" ht="18" hidden="1" customHeight="1">
      <c r="A69" s="1240" t="s">
        <v>179</v>
      </c>
      <c r="B69" s="1221">
        <v>0</v>
      </c>
      <c r="C69" s="1230">
        <v>0</v>
      </c>
      <c r="D69" s="1224">
        <f t="shared" si="12"/>
        <v>0</v>
      </c>
      <c r="E69" s="1231">
        <f t="shared" si="4"/>
        <v>0</v>
      </c>
      <c r="F69" s="1224">
        <f t="shared" si="5"/>
        <v>0</v>
      </c>
      <c r="G69" s="1226">
        <v>0</v>
      </c>
      <c r="H69" s="1230">
        <v>0</v>
      </c>
      <c r="I69" s="1226">
        <v>0</v>
      </c>
      <c r="J69" s="1226"/>
      <c r="K69" s="1224" t="e">
        <f t="shared" si="6"/>
        <v>#DIV/0!</v>
      </c>
      <c r="L69" s="1224" t="e">
        <f t="shared" si="1"/>
        <v>#DIV/0!</v>
      </c>
      <c r="M69" s="497" t="e">
        <f>E69/"#REF!*100"</f>
        <v>#VALUE!</v>
      </c>
    </row>
    <row r="70" spans="1:14" s="441" customFormat="1" ht="18" hidden="1" customHeight="1">
      <c r="A70" s="1241" t="s">
        <v>180</v>
      </c>
      <c r="B70" s="1221">
        <v>0</v>
      </c>
      <c r="C70" s="1230">
        <v>0</v>
      </c>
      <c r="D70" s="1224">
        <f t="shared" si="12"/>
        <v>0</v>
      </c>
      <c r="E70" s="1232">
        <f t="shared" si="4"/>
        <v>0</v>
      </c>
      <c r="F70" s="1224">
        <f t="shared" si="5"/>
        <v>0</v>
      </c>
      <c r="G70" s="1226">
        <v>0</v>
      </c>
      <c r="H70" s="1230">
        <v>0</v>
      </c>
      <c r="I70" s="1226">
        <v>0</v>
      </c>
      <c r="J70" s="1226"/>
      <c r="K70" s="1224" t="e">
        <f t="shared" si="6"/>
        <v>#DIV/0!</v>
      </c>
      <c r="L70" s="1224" t="e">
        <f t="shared" si="1"/>
        <v>#DIV/0!</v>
      </c>
      <c r="M70" s="497"/>
    </row>
    <row r="71" spans="1:14" s="441" customFormat="1" ht="18" hidden="1" customHeight="1">
      <c r="A71" s="1240" t="s">
        <v>181</v>
      </c>
      <c r="B71" s="1221">
        <v>0</v>
      </c>
      <c r="C71" s="1230">
        <v>0</v>
      </c>
      <c r="D71" s="1224">
        <f t="shared" si="12"/>
        <v>0</v>
      </c>
      <c r="E71" s="1231">
        <f t="shared" si="4"/>
        <v>0</v>
      </c>
      <c r="F71" s="1224">
        <f t="shared" si="5"/>
        <v>0</v>
      </c>
      <c r="G71" s="1226">
        <v>0</v>
      </c>
      <c r="H71" s="1230">
        <v>0</v>
      </c>
      <c r="I71" s="1226">
        <v>0</v>
      </c>
      <c r="J71" s="1226"/>
      <c r="K71" s="1224" t="e">
        <f t="shared" si="6"/>
        <v>#DIV/0!</v>
      </c>
      <c r="L71" s="1224" t="e">
        <f t="shared" si="1"/>
        <v>#DIV/0!</v>
      </c>
      <c r="M71" s="497" t="e">
        <f>E71/"#REF!*100"</f>
        <v>#VALUE!</v>
      </c>
    </row>
    <row r="72" spans="1:14" s="494" customFormat="1" ht="18" hidden="1" customHeight="1">
      <c r="A72" s="1239" t="s">
        <v>182</v>
      </c>
      <c r="B72" s="1221">
        <v>0</v>
      </c>
      <c r="C72" s="1230">
        <v>0</v>
      </c>
      <c r="D72" s="1224">
        <f t="shared" si="12"/>
        <v>0</v>
      </c>
      <c r="E72" s="1229">
        <f>E73+E74+E76+E77+E78</f>
        <v>0</v>
      </c>
      <c r="F72" s="1224">
        <f t="shared" si="5"/>
        <v>0</v>
      </c>
      <c r="G72" s="1226">
        <f>G73+G74+G76+G77+G78</f>
        <v>0</v>
      </c>
      <c r="H72" s="1229">
        <f>+H73+H74+H76+H77+H78</f>
        <v>0</v>
      </c>
      <c r="I72" s="1226">
        <f>+I73+I74+I76+I77+I78</f>
        <v>0</v>
      </c>
      <c r="J72" s="1226">
        <f>J73+J74+J76+J77+J78</f>
        <v>0</v>
      </c>
      <c r="K72" s="1224" t="e">
        <f t="shared" si="6"/>
        <v>#DIV/0!</v>
      </c>
      <c r="L72" s="1224" t="e">
        <f t="shared" si="1"/>
        <v>#DIV/0!</v>
      </c>
      <c r="M72" s="493" t="e">
        <f>E72/"#REF!*100"</f>
        <v>#VALUE!</v>
      </c>
    </row>
    <row r="73" spans="1:14" s="441" customFormat="1" ht="18" hidden="1" customHeight="1">
      <c r="A73" s="1240" t="s">
        <v>183</v>
      </c>
      <c r="B73" s="1221">
        <v>0</v>
      </c>
      <c r="C73" s="1230">
        <v>0</v>
      </c>
      <c r="D73" s="1224">
        <f t="shared" si="12"/>
        <v>0</v>
      </c>
      <c r="E73" s="1231">
        <f t="shared" ref="E73:E78" si="13">+G73+H73+I73+J73</f>
        <v>0</v>
      </c>
      <c r="F73" s="1224">
        <f t="shared" si="5"/>
        <v>0</v>
      </c>
      <c r="G73" s="1226"/>
      <c r="H73" s="1231"/>
      <c r="I73" s="1226"/>
      <c r="J73" s="1226"/>
      <c r="K73" s="1224" t="e">
        <f t="shared" si="6"/>
        <v>#DIV/0!</v>
      </c>
      <c r="L73" s="1224" t="e">
        <f t="shared" si="1"/>
        <v>#DIV/0!</v>
      </c>
      <c r="M73" s="497" t="e">
        <f>E73/"#REF!*100"</f>
        <v>#VALUE!</v>
      </c>
    </row>
    <row r="74" spans="1:14" s="441" customFormat="1" ht="18" hidden="1" customHeight="1">
      <c r="A74" s="1240" t="s">
        <v>184</v>
      </c>
      <c r="B74" s="1221">
        <v>0</v>
      </c>
      <c r="C74" s="1230">
        <v>0</v>
      </c>
      <c r="D74" s="1224">
        <f t="shared" si="12"/>
        <v>0</v>
      </c>
      <c r="E74" s="1231">
        <f t="shared" si="13"/>
        <v>0</v>
      </c>
      <c r="F74" s="1224">
        <f t="shared" si="5"/>
        <v>0</v>
      </c>
      <c r="G74" s="1226"/>
      <c r="H74" s="1231"/>
      <c r="I74" s="1226"/>
      <c r="J74" s="1226"/>
      <c r="K74" s="1224" t="e">
        <f t="shared" si="6"/>
        <v>#DIV/0!</v>
      </c>
      <c r="L74" s="1224" t="e">
        <f t="shared" si="1"/>
        <v>#DIV/0!</v>
      </c>
      <c r="M74" s="497" t="e">
        <f>E74/"#REF!*100"</f>
        <v>#VALUE!</v>
      </c>
    </row>
    <row r="75" spans="1:14" s="4" customFormat="1" ht="18" hidden="1" customHeight="1">
      <c r="A75" s="1242" t="s">
        <v>185</v>
      </c>
      <c r="B75" s="1222"/>
      <c r="C75" s="1233"/>
      <c r="D75" s="1224">
        <f t="shared" si="12"/>
        <v>0</v>
      </c>
      <c r="E75" s="1233">
        <f t="shared" si="13"/>
        <v>0</v>
      </c>
      <c r="F75" s="1224">
        <f t="shared" si="5"/>
        <v>0</v>
      </c>
      <c r="G75" s="1226"/>
      <c r="H75" s="1233"/>
      <c r="I75" s="1226"/>
      <c r="J75" s="1226"/>
      <c r="K75" s="1224" t="e">
        <f t="shared" si="6"/>
        <v>#DIV/0!</v>
      </c>
      <c r="L75" s="1224" t="e">
        <f t="shared" si="1"/>
        <v>#DIV/0!</v>
      </c>
      <c r="M75" s="197"/>
    </row>
    <row r="76" spans="1:14" s="4" customFormat="1" ht="18" hidden="1" customHeight="1">
      <c r="A76" s="1243" t="s">
        <v>186</v>
      </c>
      <c r="B76" s="1223"/>
      <c r="C76" s="1234"/>
      <c r="D76" s="1224">
        <f t="shared" si="12"/>
        <v>0</v>
      </c>
      <c r="E76" s="1234">
        <f t="shared" si="13"/>
        <v>0</v>
      </c>
      <c r="F76" s="1224">
        <f t="shared" si="5"/>
        <v>0</v>
      </c>
      <c r="G76" s="1226"/>
      <c r="H76" s="1234"/>
      <c r="I76" s="1226"/>
      <c r="J76" s="1226"/>
      <c r="K76" s="1224" t="e">
        <f t="shared" si="6"/>
        <v>#DIV/0!</v>
      </c>
      <c r="L76" s="1224" t="e">
        <f t="shared" ref="L76:L79" si="14">F76/D76*100</f>
        <v>#DIV/0!</v>
      </c>
      <c r="M76" s="197" t="e">
        <f t="shared" ref="M76:M86" si="15">E76/"#REF!*100"</f>
        <v>#VALUE!</v>
      </c>
    </row>
    <row r="77" spans="1:14" s="4" customFormat="1" ht="18" hidden="1" customHeight="1">
      <c r="A77" s="1243" t="s">
        <v>187</v>
      </c>
      <c r="B77" s="1223"/>
      <c r="C77" s="1234"/>
      <c r="D77" s="1224">
        <f t="shared" si="12"/>
        <v>0</v>
      </c>
      <c r="E77" s="1234">
        <f t="shared" si="13"/>
        <v>0</v>
      </c>
      <c r="F77" s="1224">
        <f t="shared" si="5"/>
        <v>0</v>
      </c>
      <c r="G77" s="1226"/>
      <c r="H77" s="1234"/>
      <c r="I77" s="1226"/>
      <c r="J77" s="1226"/>
      <c r="K77" s="1224" t="e">
        <f t="shared" si="6"/>
        <v>#DIV/0!</v>
      </c>
      <c r="L77" s="1224" t="e">
        <f t="shared" si="14"/>
        <v>#DIV/0!</v>
      </c>
      <c r="M77" s="197" t="e">
        <f t="shared" si="15"/>
        <v>#VALUE!</v>
      </c>
    </row>
    <row r="78" spans="1:14" s="4" customFormat="1" ht="18" hidden="1" customHeight="1">
      <c r="A78" s="1243" t="s">
        <v>188</v>
      </c>
      <c r="B78" s="1223"/>
      <c r="C78" s="1234"/>
      <c r="D78" s="1224">
        <f t="shared" si="12"/>
        <v>0</v>
      </c>
      <c r="E78" s="1234">
        <f t="shared" si="13"/>
        <v>0</v>
      </c>
      <c r="F78" s="1224">
        <f t="shared" si="5"/>
        <v>0</v>
      </c>
      <c r="G78" s="1226"/>
      <c r="H78" s="1234"/>
      <c r="I78" s="1226"/>
      <c r="J78" s="1226"/>
      <c r="K78" s="1224" t="e">
        <f t="shared" si="6"/>
        <v>#DIV/0!</v>
      </c>
      <c r="L78" s="1224" t="e">
        <f t="shared" si="14"/>
        <v>#DIV/0!</v>
      </c>
      <c r="M78" s="197" t="e">
        <f t="shared" si="15"/>
        <v>#VALUE!</v>
      </c>
    </row>
    <row r="79" spans="1:14" s="177" customFormat="1" ht="20.100000000000001" customHeight="1">
      <c r="A79" s="1237" t="s">
        <v>2939</v>
      </c>
      <c r="B79" s="1212">
        <v>0</v>
      </c>
      <c r="C79" s="1224">
        <v>27000</v>
      </c>
      <c r="D79" s="1224">
        <f t="shared" si="12"/>
        <v>27000</v>
      </c>
      <c r="E79" s="1226">
        <v>0</v>
      </c>
      <c r="F79" s="1224">
        <f t="shared" ref="F79:F101" si="16">H79+I79+J79</f>
        <v>0</v>
      </c>
      <c r="G79" s="1226">
        <v>0</v>
      </c>
      <c r="H79" s="1226">
        <v>0</v>
      </c>
      <c r="I79" s="1226">
        <v>0</v>
      </c>
      <c r="J79" s="1226">
        <v>0</v>
      </c>
      <c r="K79" s="1224">
        <f t="shared" si="6"/>
        <v>0</v>
      </c>
      <c r="L79" s="1227">
        <f t="shared" si="14"/>
        <v>0</v>
      </c>
      <c r="M79" s="175"/>
    </row>
    <row r="80" spans="1:14" s="177" customFormat="1" ht="20.100000000000001" customHeight="1">
      <c r="A80" s="1237" t="s">
        <v>2940</v>
      </c>
      <c r="B80" s="1212"/>
      <c r="C80" s="1224"/>
      <c r="D80" s="1224">
        <v>0</v>
      </c>
      <c r="E80" s="1226">
        <v>0</v>
      </c>
      <c r="F80" s="1224">
        <v>0</v>
      </c>
      <c r="G80" s="1226"/>
      <c r="H80" s="1226"/>
      <c r="I80" s="1226"/>
      <c r="J80" s="1226"/>
      <c r="K80" s="1224">
        <v>0</v>
      </c>
      <c r="L80" s="1227">
        <v>0</v>
      </c>
      <c r="M80" s="175"/>
    </row>
    <row r="81" spans="1:17" s="177" customFormat="1" ht="20.100000000000001" customHeight="1">
      <c r="A81" s="1237" t="s">
        <v>2941</v>
      </c>
      <c r="B81" s="1211">
        <f>+B82+B83+B85+B86+B87</f>
        <v>11000</v>
      </c>
      <c r="C81" s="1224">
        <v>11000</v>
      </c>
      <c r="D81" s="1224">
        <v>0</v>
      </c>
      <c r="E81" s="1224">
        <f>E82+E83+E85+E86+E87+E84</f>
        <v>29082.258848999998</v>
      </c>
      <c r="F81" s="1224">
        <f t="shared" si="16"/>
        <v>0</v>
      </c>
      <c r="G81" s="1224">
        <f>G82+G83+G85+G86+G87+G84</f>
        <v>29082.258848999998</v>
      </c>
      <c r="H81" s="1226">
        <f>H82+H83+H85+H86+H87</f>
        <v>0</v>
      </c>
      <c r="I81" s="1226">
        <f>I82+I83+I85+I86+I87</f>
        <v>0</v>
      </c>
      <c r="J81" s="1226">
        <f>J82+J83+J85+J86+J87</f>
        <v>0</v>
      </c>
      <c r="K81" s="1224">
        <f t="shared" ref="K81" si="17">E81/C81*100</f>
        <v>264.38417135454546</v>
      </c>
      <c r="L81" s="1227">
        <v>0</v>
      </c>
      <c r="M81" s="175" t="e">
        <f t="shared" si="15"/>
        <v>#VALUE!</v>
      </c>
      <c r="N81" s="177">
        <v>16903.514629000001</v>
      </c>
    </row>
    <row r="82" spans="1:17" s="1250" customFormat="1" ht="20.100000000000001" customHeight="1">
      <c r="A82" s="1244" t="s">
        <v>2942</v>
      </c>
      <c r="B82" s="1245">
        <v>0</v>
      </c>
      <c r="C82" s="1246">
        <v>0</v>
      </c>
      <c r="D82" s="1246">
        <v>0</v>
      </c>
      <c r="E82" s="1247">
        <f t="shared" ref="E82:E88" si="18">+G82+H82+I82+J82</f>
        <v>0</v>
      </c>
      <c r="F82" s="1246">
        <f t="shared" si="16"/>
        <v>0</v>
      </c>
      <c r="G82" s="1246">
        <v>0</v>
      </c>
      <c r="H82" s="1246">
        <v>0</v>
      </c>
      <c r="I82" s="1246">
        <v>0</v>
      </c>
      <c r="J82" s="1246">
        <v>0</v>
      </c>
      <c r="K82" s="1246">
        <v>0</v>
      </c>
      <c r="L82" s="1246">
        <v>0</v>
      </c>
      <c r="M82" s="1248" t="e">
        <f t="shared" si="15"/>
        <v>#VALUE!</v>
      </c>
      <c r="N82" s="1249">
        <f>+N81-E81</f>
        <v>-12178.744219999997</v>
      </c>
    </row>
    <row r="83" spans="1:17" s="1250" customFormat="1" ht="20.100000000000001" customHeight="1">
      <c r="A83" s="1244" t="s">
        <v>2943</v>
      </c>
      <c r="B83" s="1251">
        <v>1420</v>
      </c>
      <c r="C83" s="1246">
        <v>0</v>
      </c>
      <c r="D83" s="1246">
        <v>0</v>
      </c>
      <c r="E83" s="1247">
        <f>+G83+H83+I83+J83</f>
        <v>846.65086299999996</v>
      </c>
      <c r="F83" s="1246">
        <f t="shared" si="16"/>
        <v>0</v>
      </c>
      <c r="G83" s="1246">
        <v>846.65086299999996</v>
      </c>
      <c r="H83" s="1246">
        <v>0</v>
      </c>
      <c r="I83" s="1246">
        <v>0</v>
      </c>
      <c r="J83" s="1246">
        <v>0</v>
      </c>
      <c r="K83" s="1246">
        <v>0</v>
      </c>
      <c r="L83" s="1246">
        <v>0</v>
      </c>
      <c r="M83" s="1248" t="e">
        <f t="shared" si="15"/>
        <v>#VALUE!</v>
      </c>
    </row>
    <row r="84" spans="1:17" s="1250" customFormat="1" ht="20.100000000000001" customHeight="1">
      <c r="A84" s="1244" t="s">
        <v>2944</v>
      </c>
      <c r="B84" s="1245">
        <v>0</v>
      </c>
      <c r="C84" s="1246">
        <v>0</v>
      </c>
      <c r="D84" s="1246">
        <v>0</v>
      </c>
      <c r="E84" s="1247">
        <f>+G84+H84+I84+J84</f>
        <v>100.896101</v>
      </c>
      <c r="F84" s="1246">
        <f t="shared" si="16"/>
        <v>0</v>
      </c>
      <c r="G84" s="1246">
        <v>100.896101</v>
      </c>
      <c r="H84" s="1246">
        <v>0</v>
      </c>
      <c r="I84" s="1246">
        <v>0</v>
      </c>
      <c r="J84" s="1246">
        <v>0</v>
      </c>
      <c r="K84" s="1246">
        <v>0</v>
      </c>
      <c r="L84" s="1246">
        <v>0</v>
      </c>
      <c r="M84" s="1248"/>
    </row>
    <row r="85" spans="1:17" s="1250" customFormat="1" ht="20.100000000000001" customHeight="1">
      <c r="A85" s="1244" t="s">
        <v>2945</v>
      </c>
      <c r="B85" s="1251">
        <v>80</v>
      </c>
      <c r="C85" s="1246">
        <v>0</v>
      </c>
      <c r="D85" s="1246">
        <v>0</v>
      </c>
      <c r="E85" s="1247">
        <f t="shared" si="18"/>
        <v>386.70600000000002</v>
      </c>
      <c r="F85" s="1246">
        <f t="shared" si="16"/>
        <v>0</v>
      </c>
      <c r="G85" s="1246">
        <v>386.70600000000002</v>
      </c>
      <c r="H85" s="1246">
        <v>0</v>
      </c>
      <c r="I85" s="1246">
        <v>0</v>
      </c>
      <c r="J85" s="1246">
        <v>0</v>
      </c>
      <c r="K85" s="1246">
        <v>0</v>
      </c>
      <c r="L85" s="1246">
        <v>0</v>
      </c>
      <c r="M85" s="1248" t="e">
        <f t="shared" si="15"/>
        <v>#VALUE!</v>
      </c>
    </row>
    <row r="86" spans="1:17" s="1250" customFormat="1" ht="20.100000000000001" customHeight="1">
      <c r="A86" s="1244" t="s">
        <v>2946</v>
      </c>
      <c r="B86" s="1251">
        <v>9500</v>
      </c>
      <c r="C86" s="1246">
        <v>0</v>
      </c>
      <c r="D86" s="1246">
        <v>0</v>
      </c>
      <c r="E86" s="1247">
        <f t="shared" si="18"/>
        <v>27722.228384999999</v>
      </c>
      <c r="F86" s="1246">
        <f t="shared" si="16"/>
        <v>0</v>
      </c>
      <c r="G86" s="1246">
        <v>27722.228384999999</v>
      </c>
      <c r="H86" s="1246">
        <v>0</v>
      </c>
      <c r="I86" s="1246">
        <v>0</v>
      </c>
      <c r="J86" s="1246">
        <v>0</v>
      </c>
      <c r="K86" s="1246">
        <v>0</v>
      </c>
      <c r="L86" s="1246">
        <v>0</v>
      </c>
      <c r="M86" s="1248" t="e">
        <f t="shared" si="15"/>
        <v>#VALUE!</v>
      </c>
      <c r="N86" s="1250">
        <f>27900/1000000</f>
        <v>2.7900000000000001E-2</v>
      </c>
    </row>
    <row r="87" spans="1:17" s="1250" customFormat="1" ht="20.100000000000001" customHeight="1">
      <c r="A87" s="1244" t="s">
        <v>2947</v>
      </c>
      <c r="B87" s="1245">
        <v>0</v>
      </c>
      <c r="C87" s="1246">
        <v>0</v>
      </c>
      <c r="D87" s="1246">
        <v>0</v>
      </c>
      <c r="E87" s="1247">
        <f t="shared" si="18"/>
        <v>25.7775</v>
      </c>
      <c r="F87" s="1246">
        <f t="shared" si="16"/>
        <v>0</v>
      </c>
      <c r="G87" s="1246">
        <v>25.7775</v>
      </c>
      <c r="H87" s="1246">
        <v>0</v>
      </c>
      <c r="I87" s="1246">
        <v>0</v>
      </c>
      <c r="J87" s="1246">
        <v>0</v>
      </c>
      <c r="K87" s="1246">
        <v>0</v>
      </c>
      <c r="L87" s="1246">
        <v>0</v>
      </c>
      <c r="M87" s="1248"/>
    </row>
    <row r="88" spans="1:17" ht="20.100000000000001" customHeight="1">
      <c r="A88" s="1237" t="s">
        <v>2948</v>
      </c>
      <c r="B88" s="1212">
        <v>0</v>
      </c>
      <c r="C88" s="1226">
        <v>0</v>
      </c>
      <c r="D88" s="1226">
        <v>0</v>
      </c>
      <c r="E88" s="1224">
        <f t="shared" si="18"/>
        <v>0</v>
      </c>
      <c r="F88" s="1226">
        <f t="shared" si="16"/>
        <v>0</v>
      </c>
      <c r="G88" s="1226">
        <v>0</v>
      </c>
      <c r="H88" s="1226">
        <v>0</v>
      </c>
      <c r="I88" s="1226">
        <v>0</v>
      </c>
      <c r="J88" s="1226">
        <v>0</v>
      </c>
      <c r="K88" s="1226">
        <v>0</v>
      </c>
      <c r="L88" s="1235">
        <v>0</v>
      </c>
      <c r="M88" s="184"/>
    </row>
    <row r="89" spans="1:17" s="177" customFormat="1" ht="18" hidden="1" customHeight="1">
      <c r="A89" s="1237" t="s">
        <v>196</v>
      </c>
      <c r="B89" s="1212">
        <f>B90+B91</f>
        <v>0</v>
      </c>
      <c r="C89" s="1226">
        <f>C90+C91</f>
        <v>0</v>
      </c>
      <c r="D89" s="1226"/>
      <c r="E89" s="1224">
        <f>G89+H89+I89+J89</f>
        <v>17191.065999999999</v>
      </c>
      <c r="F89" s="1224">
        <f t="shared" si="16"/>
        <v>17191.065999999999</v>
      </c>
      <c r="G89" s="1235">
        <f>G90+G91</f>
        <v>0</v>
      </c>
      <c r="H89" s="1235">
        <f>H90+H91</f>
        <v>0</v>
      </c>
      <c r="I89" s="1224">
        <f>I90+I91</f>
        <v>5647.4340000000002</v>
      </c>
      <c r="J89" s="1224">
        <f>J90+J91</f>
        <v>11543.632</v>
      </c>
      <c r="K89" s="1227">
        <v>0</v>
      </c>
      <c r="L89" s="1235">
        <v>0</v>
      </c>
      <c r="M89" s="175"/>
      <c r="O89" s="177" t="s">
        <v>945</v>
      </c>
    </row>
    <row r="90" spans="1:17" hidden="1">
      <c r="A90" s="1238" t="s">
        <v>197</v>
      </c>
      <c r="B90" s="1212">
        <v>0</v>
      </c>
      <c r="C90" s="1226">
        <v>0</v>
      </c>
      <c r="D90" s="1226"/>
      <c r="E90" s="1227">
        <f t="shared" ref="E90:E108" si="19">G90+H90+I90+J90</f>
        <v>16631.394</v>
      </c>
      <c r="F90" s="1224">
        <f t="shared" si="16"/>
        <v>16631.394</v>
      </c>
      <c r="G90" s="1235">
        <v>0</v>
      </c>
      <c r="H90" s="1235">
        <v>0</v>
      </c>
      <c r="I90" s="1227">
        <v>5647.4340000000002</v>
      </c>
      <c r="J90" s="1227">
        <v>10983.96</v>
      </c>
      <c r="K90" s="1227">
        <v>0</v>
      </c>
      <c r="L90" s="1235">
        <v>0</v>
      </c>
      <c r="M90" s="184"/>
      <c r="N90" s="155" t="s">
        <v>944</v>
      </c>
      <c r="O90" s="158">
        <f>H11-'TH CHI_62_342_51_52_53_31'!F108</f>
        <v>6143.3973080031574</v>
      </c>
      <c r="P90" s="158">
        <f>I11-'TH CHI_62_342_51_52_53_31'!I108</f>
        <v>89885.052839000709</v>
      </c>
      <c r="Q90" s="158">
        <f>J11-'TH CHI_62_342_51_52_53_31'!L108</f>
        <v>26695.917823999887</v>
      </c>
    </row>
    <row r="91" spans="1:17" ht="18" hidden="1" customHeight="1">
      <c r="A91" s="1238" t="s">
        <v>198</v>
      </c>
      <c r="B91" s="1212">
        <v>0</v>
      </c>
      <c r="C91" s="1226">
        <v>0</v>
      </c>
      <c r="D91" s="1226"/>
      <c r="E91" s="1227">
        <f t="shared" si="19"/>
        <v>559.67200000000003</v>
      </c>
      <c r="F91" s="1224">
        <f t="shared" si="16"/>
        <v>559.67200000000003</v>
      </c>
      <c r="G91" s="1235">
        <v>0</v>
      </c>
      <c r="H91" s="1235">
        <v>0</v>
      </c>
      <c r="I91" s="1235">
        <v>0</v>
      </c>
      <c r="J91" s="1227">
        <v>559.67200000000003</v>
      </c>
      <c r="K91" s="1227">
        <v>0</v>
      </c>
      <c r="L91" s="1235">
        <v>0</v>
      </c>
      <c r="M91" s="184"/>
      <c r="N91" s="158">
        <f>O90+P90+Q90</f>
        <v>122724.36797100375</v>
      </c>
    </row>
    <row r="92" spans="1:17" s="177" customFormat="1" ht="20.100000000000001" customHeight="1">
      <c r="A92" s="1237" t="s">
        <v>2949</v>
      </c>
      <c r="B92" s="1210">
        <f>B93+B94</f>
        <v>0</v>
      </c>
      <c r="C92" s="1235">
        <f>C93+C94</f>
        <v>0</v>
      </c>
      <c r="D92" s="1235">
        <v>0</v>
      </c>
      <c r="E92" s="1224">
        <f t="shared" si="19"/>
        <v>19472</v>
      </c>
      <c r="F92" s="1224">
        <f t="shared" si="16"/>
        <v>19472</v>
      </c>
      <c r="G92" s="1235">
        <f>G93+G94</f>
        <v>0</v>
      </c>
      <c r="H92" s="1224">
        <f>H93+H94</f>
        <v>19472</v>
      </c>
      <c r="I92" s="1235">
        <f>I93+I94</f>
        <v>0</v>
      </c>
      <c r="J92" s="1235">
        <f>J93+J94</f>
        <v>0</v>
      </c>
      <c r="K92" s="1226">
        <v>0</v>
      </c>
      <c r="L92" s="1235">
        <v>0</v>
      </c>
      <c r="M92" s="175"/>
      <c r="P92" s="180">
        <f>+P90+Q90</f>
        <v>116580.9706630006</v>
      </c>
    </row>
    <row r="93" spans="1:17" ht="24" hidden="1">
      <c r="A93" s="1238" t="s">
        <v>199</v>
      </c>
      <c r="B93" s="1210">
        <v>0</v>
      </c>
      <c r="C93" s="1235">
        <v>0</v>
      </c>
      <c r="D93" s="1235"/>
      <c r="E93" s="1227">
        <f t="shared" si="19"/>
        <v>0</v>
      </c>
      <c r="F93" s="1224">
        <f t="shared" si="16"/>
        <v>0</v>
      </c>
      <c r="G93" s="1235">
        <v>0</v>
      </c>
      <c r="H93" s="1235">
        <v>0</v>
      </c>
      <c r="I93" s="1235">
        <v>0</v>
      </c>
      <c r="J93" s="1235">
        <v>0</v>
      </c>
      <c r="K93" s="1226">
        <v>0</v>
      </c>
      <c r="L93" s="1235">
        <v>0</v>
      </c>
      <c r="M93" s="184"/>
      <c r="P93" s="155">
        <v>370846.62238399964</v>
      </c>
    </row>
    <row r="94" spans="1:17" ht="18" hidden="1" customHeight="1">
      <c r="A94" s="1238" t="s">
        <v>200</v>
      </c>
      <c r="B94" s="1210">
        <v>0</v>
      </c>
      <c r="C94" s="1235">
        <v>0</v>
      </c>
      <c r="D94" s="1235"/>
      <c r="E94" s="1227">
        <f t="shared" si="19"/>
        <v>19472</v>
      </c>
      <c r="F94" s="1224">
        <f t="shared" si="16"/>
        <v>19472</v>
      </c>
      <c r="G94" s="1235">
        <v>0</v>
      </c>
      <c r="H94" s="1227">
        <v>19472</v>
      </c>
      <c r="I94" s="1235">
        <v>0</v>
      </c>
      <c r="J94" s="1235">
        <v>0</v>
      </c>
      <c r="K94" s="1226">
        <v>0</v>
      </c>
      <c r="L94" s="1235">
        <v>0</v>
      </c>
      <c r="M94" s="184"/>
    </row>
    <row r="95" spans="1:17" s="177" customFormat="1" ht="32.25" hidden="1" customHeight="1">
      <c r="A95" s="1237" t="s">
        <v>201</v>
      </c>
      <c r="B95" s="1210">
        <f>B96+B99</f>
        <v>0</v>
      </c>
      <c r="C95" s="1235">
        <f>C96+C99</f>
        <v>0</v>
      </c>
      <c r="D95" s="1235"/>
      <c r="E95" s="1235">
        <f t="shared" si="19"/>
        <v>0</v>
      </c>
      <c r="F95" s="1224">
        <f t="shared" si="16"/>
        <v>0</v>
      </c>
      <c r="G95" s="1235">
        <f>G96+G99</f>
        <v>0</v>
      </c>
      <c r="H95" s="1235">
        <f>H96+H99</f>
        <v>0</v>
      </c>
      <c r="I95" s="1235">
        <f>I96+I99</f>
        <v>0</v>
      </c>
      <c r="J95" s="1235">
        <f>J96+J99</f>
        <v>0</v>
      </c>
      <c r="K95" s="1226">
        <v>0</v>
      </c>
      <c r="L95" s="1235">
        <v>0</v>
      </c>
      <c r="M95" s="175"/>
      <c r="P95" s="180">
        <f>+P93-P92</f>
        <v>254265.65172099904</v>
      </c>
    </row>
    <row r="96" spans="1:17" s="177" customFormat="1" ht="18.75" hidden="1" customHeight="1">
      <c r="A96" s="1237" t="s">
        <v>202</v>
      </c>
      <c r="B96" s="1210">
        <f>B97+B98</f>
        <v>0</v>
      </c>
      <c r="C96" s="1235">
        <f>C97+C98</f>
        <v>0</v>
      </c>
      <c r="D96" s="1235"/>
      <c r="E96" s="1235">
        <f t="shared" si="19"/>
        <v>0</v>
      </c>
      <c r="F96" s="1224">
        <f t="shared" si="16"/>
        <v>0</v>
      </c>
      <c r="G96" s="1235">
        <f>G97+G98</f>
        <v>0</v>
      </c>
      <c r="H96" s="1235">
        <f>H97+H98</f>
        <v>0</v>
      </c>
      <c r="I96" s="1235">
        <f>I97+I98</f>
        <v>0</v>
      </c>
      <c r="J96" s="1235">
        <f>J97+J98</f>
        <v>0</v>
      </c>
      <c r="K96" s="1226">
        <v>0</v>
      </c>
      <c r="L96" s="1235">
        <v>0</v>
      </c>
      <c r="M96" s="175"/>
    </row>
    <row r="97" spans="1:15" ht="18.75" hidden="1" customHeight="1">
      <c r="A97" s="1238" t="s">
        <v>203</v>
      </c>
      <c r="B97" s="1210">
        <v>0</v>
      </c>
      <c r="C97" s="1235">
        <v>0</v>
      </c>
      <c r="D97" s="1235"/>
      <c r="E97" s="1235">
        <f t="shared" si="19"/>
        <v>0</v>
      </c>
      <c r="F97" s="1224">
        <f t="shared" si="16"/>
        <v>0</v>
      </c>
      <c r="G97" s="1235">
        <v>0</v>
      </c>
      <c r="H97" s="1235">
        <v>0</v>
      </c>
      <c r="I97" s="1235">
        <v>0</v>
      </c>
      <c r="J97" s="1235">
        <v>0</v>
      </c>
      <c r="K97" s="1226">
        <v>0</v>
      </c>
      <c r="L97" s="1235">
        <v>0</v>
      </c>
      <c r="M97" s="184"/>
    </row>
    <row r="98" spans="1:15" ht="18.75" hidden="1" customHeight="1">
      <c r="A98" s="1238" t="s">
        <v>204</v>
      </c>
      <c r="B98" s="1210">
        <v>0</v>
      </c>
      <c r="C98" s="1235">
        <v>0</v>
      </c>
      <c r="D98" s="1235"/>
      <c r="E98" s="1235">
        <f t="shared" si="19"/>
        <v>0</v>
      </c>
      <c r="F98" s="1224">
        <f t="shared" si="16"/>
        <v>0</v>
      </c>
      <c r="G98" s="1235">
        <v>0</v>
      </c>
      <c r="H98" s="1235">
        <v>0</v>
      </c>
      <c r="I98" s="1235">
        <v>0</v>
      </c>
      <c r="J98" s="1235">
        <v>0</v>
      </c>
      <c r="K98" s="1226">
        <v>0</v>
      </c>
      <c r="L98" s="1235">
        <v>0</v>
      </c>
      <c r="M98" s="184"/>
    </row>
    <row r="99" spans="1:15" s="177" customFormat="1" ht="18" hidden="1" customHeight="1">
      <c r="A99" s="1237" t="s">
        <v>205</v>
      </c>
      <c r="B99" s="1210">
        <f>B100+B101</f>
        <v>0</v>
      </c>
      <c r="C99" s="1235">
        <f>C100+C101</f>
        <v>0</v>
      </c>
      <c r="D99" s="1235"/>
      <c r="E99" s="1235">
        <f t="shared" si="19"/>
        <v>0</v>
      </c>
      <c r="F99" s="1224">
        <f t="shared" si="16"/>
        <v>0</v>
      </c>
      <c r="G99" s="1235">
        <f>G100+G101</f>
        <v>0</v>
      </c>
      <c r="H99" s="1235">
        <f>H100+H101</f>
        <v>0</v>
      </c>
      <c r="I99" s="1235">
        <f>I100+I101</f>
        <v>0</v>
      </c>
      <c r="J99" s="1235">
        <f>J100+J101</f>
        <v>0</v>
      </c>
      <c r="K99" s="1226">
        <v>0</v>
      </c>
      <c r="L99" s="1235">
        <v>0</v>
      </c>
      <c r="M99" s="175"/>
    </row>
    <row r="100" spans="1:15" ht="18.75" hidden="1" customHeight="1">
      <c r="A100" s="1238" t="s">
        <v>203</v>
      </c>
      <c r="B100" s="1210">
        <v>0</v>
      </c>
      <c r="C100" s="1235">
        <v>0</v>
      </c>
      <c r="D100" s="1235"/>
      <c r="E100" s="1235">
        <f t="shared" si="19"/>
        <v>0</v>
      </c>
      <c r="F100" s="1224">
        <f t="shared" si="16"/>
        <v>0</v>
      </c>
      <c r="G100" s="1235">
        <v>0</v>
      </c>
      <c r="H100" s="1235">
        <v>0</v>
      </c>
      <c r="I100" s="1235">
        <v>0</v>
      </c>
      <c r="J100" s="1235">
        <v>0</v>
      </c>
      <c r="K100" s="1226">
        <v>0</v>
      </c>
      <c r="L100" s="1235">
        <v>0</v>
      </c>
      <c r="M100" s="184"/>
    </row>
    <row r="101" spans="1:15" hidden="1">
      <c r="A101" s="1238" t="s">
        <v>204</v>
      </c>
      <c r="B101" s="1210">
        <v>0</v>
      </c>
      <c r="C101" s="1235">
        <v>0</v>
      </c>
      <c r="D101" s="1235"/>
      <c r="E101" s="1235">
        <f t="shared" si="19"/>
        <v>0</v>
      </c>
      <c r="F101" s="1224">
        <f t="shared" si="16"/>
        <v>0</v>
      </c>
      <c r="G101" s="1235">
        <v>0</v>
      </c>
      <c r="H101" s="1235">
        <v>0</v>
      </c>
      <c r="I101" s="1235">
        <v>0</v>
      </c>
      <c r="J101" s="1235">
        <v>0</v>
      </c>
      <c r="K101" s="1226">
        <v>0</v>
      </c>
      <c r="L101" s="1235">
        <v>0</v>
      </c>
      <c r="M101" s="184"/>
      <c r="N101" s="158">
        <f>H108+I108</f>
        <v>1815.826802</v>
      </c>
    </row>
    <row r="102" spans="1:15" s="177" customFormat="1" ht="18" hidden="1" customHeight="1">
      <c r="A102" s="1237" t="s">
        <v>206</v>
      </c>
      <c r="B102" s="1210">
        <f>B103+B108</f>
        <v>0</v>
      </c>
      <c r="C102" s="1235">
        <f>C103+C108</f>
        <v>0</v>
      </c>
      <c r="D102" s="1235"/>
      <c r="E102" s="1224">
        <v>0</v>
      </c>
      <c r="F102" s="1224">
        <v>0</v>
      </c>
      <c r="G102" s="1224">
        <f>G103+G108</f>
        <v>5214</v>
      </c>
      <c r="H102" s="1224">
        <f>H103+H108</f>
        <v>5831628.8268020004</v>
      </c>
      <c r="I102" s="1224">
        <f>I103+I108</f>
        <v>4169359.5692720003</v>
      </c>
      <c r="J102" s="1224">
        <f>J103+J108</f>
        <v>1033470.479235</v>
      </c>
      <c r="K102" s="1226">
        <v>0</v>
      </c>
      <c r="L102" s="1235">
        <v>0</v>
      </c>
      <c r="M102" s="175"/>
    </row>
    <row r="103" spans="1:15" s="177" customFormat="1" ht="18" hidden="1" customHeight="1">
      <c r="A103" s="1237" t="s">
        <v>207</v>
      </c>
      <c r="B103" s="1210">
        <f>B104+B105</f>
        <v>0</v>
      </c>
      <c r="C103" s="1235">
        <f>C104+C105</f>
        <v>0</v>
      </c>
      <c r="D103" s="1235"/>
      <c r="E103" s="1224">
        <f t="shared" si="19"/>
        <v>11032643.048507001</v>
      </c>
      <c r="F103" s="1224">
        <f t="shared" ref="F103:F108" si="20">+H103</f>
        <v>5829813</v>
      </c>
      <c r="G103" s="1235">
        <f>G104+G105</f>
        <v>0</v>
      </c>
      <c r="H103" s="1224">
        <f>H104+H105</f>
        <v>5829813</v>
      </c>
      <c r="I103" s="1224">
        <f>I104+I105</f>
        <v>4169359.5692720003</v>
      </c>
      <c r="J103" s="1224">
        <f>J104+J105</f>
        <v>1033470.479235</v>
      </c>
      <c r="K103" s="1226">
        <v>0</v>
      </c>
      <c r="L103" s="1235">
        <v>0</v>
      </c>
      <c r="M103" s="175"/>
    </row>
    <row r="104" spans="1:15" s="177" customFormat="1" ht="18" hidden="1" customHeight="1">
      <c r="A104" s="1237" t="s">
        <v>208</v>
      </c>
      <c r="B104" s="1210">
        <v>0</v>
      </c>
      <c r="C104" s="1235">
        <v>0</v>
      </c>
      <c r="D104" s="1235"/>
      <c r="E104" s="1224">
        <f t="shared" si="19"/>
        <v>6777662.2131140009</v>
      </c>
      <c r="F104" s="1224">
        <f t="shared" si="20"/>
        <v>3398277</v>
      </c>
      <c r="G104" s="1235">
        <v>0</v>
      </c>
      <c r="H104" s="1224">
        <v>3398277</v>
      </c>
      <c r="I104" s="1224">
        <v>2795442.0380000002</v>
      </c>
      <c r="J104" s="1224">
        <v>583943.17511399998</v>
      </c>
      <c r="K104" s="1226">
        <v>0</v>
      </c>
      <c r="L104" s="1235">
        <v>0</v>
      </c>
      <c r="M104" s="175"/>
    </row>
    <row r="105" spans="1:15" s="177" customFormat="1" ht="18" hidden="1" customHeight="1">
      <c r="A105" s="1237" t="s">
        <v>209</v>
      </c>
      <c r="B105" s="1210">
        <f>B106+B107</f>
        <v>0</v>
      </c>
      <c r="C105" s="1235">
        <f>C106+C107</f>
        <v>0</v>
      </c>
      <c r="D105" s="1235"/>
      <c r="E105" s="1224">
        <f t="shared" si="19"/>
        <v>4254980.8353929995</v>
      </c>
      <c r="F105" s="1224">
        <f t="shared" si="20"/>
        <v>2431536</v>
      </c>
      <c r="G105" s="1235">
        <f>G106+G107</f>
        <v>0</v>
      </c>
      <c r="H105" s="1224">
        <f>H106+H107</f>
        <v>2431536</v>
      </c>
      <c r="I105" s="1224">
        <f>I106+I107</f>
        <v>1373917.5312719999</v>
      </c>
      <c r="J105" s="1224">
        <f>J106+J107</f>
        <v>449527.30412099999</v>
      </c>
      <c r="K105" s="1226">
        <v>0</v>
      </c>
      <c r="L105" s="1235">
        <v>0</v>
      </c>
      <c r="M105" s="175"/>
    </row>
    <row r="106" spans="1:15" ht="18" hidden="1" customHeight="1">
      <c r="A106" s="1238" t="s">
        <v>210</v>
      </c>
      <c r="B106" s="1210">
        <v>0</v>
      </c>
      <c r="C106" s="1235">
        <v>0</v>
      </c>
      <c r="D106" s="1235"/>
      <c r="E106" s="1227">
        <f>G106+H106+I106+J106</f>
        <v>4254980.8353929995</v>
      </c>
      <c r="F106" s="1224">
        <f t="shared" si="20"/>
        <v>2431536</v>
      </c>
      <c r="G106" s="1235">
        <v>0</v>
      </c>
      <c r="H106" s="1227">
        <f>2416462+15074</f>
        <v>2431536</v>
      </c>
      <c r="I106" s="1227">
        <v>1373917.5312719999</v>
      </c>
      <c r="J106" s="1227">
        <v>449527.30412099999</v>
      </c>
      <c r="K106" s="1226">
        <v>0</v>
      </c>
      <c r="L106" s="1235">
        <v>0</v>
      </c>
      <c r="M106" s="184"/>
      <c r="N106" s="158">
        <f>H106+H107</f>
        <v>2431536</v>
      </c>
    </row>
    <row r="107" spans="1:15" ht="18" hidden="1" customHeight="1">
      <c r="A107" s="1238" t="s">
        <v>211</v>
      </c>
      <c r="B107" s="1210">
        <v>0</v>
      </c>
      <c r="C107" s="1235">
        <v>0</v>
      </c>
      <c r="D107" s="1235"/>
      <c r="E107" s="1235">
        <f>G107+H107+I107+J107</f>
        <v>0</v>
      </c>
      <c r="F107" s="1224">
        <f t="shared" si="20"/>
        <v>0</v>
      </c>
      <c r="G107" s="1235">
        <v>0</v>
      </c>
      <c r="H107" s="1235">
        <v>0</v>
      </c>
      <c r="I107" s="1235">
        <v>0</v>
      </c>
      <c r="J107" s="1235">
        <v>0</v>
      </c>
      <c r="K107" s="1226">
        <v>0</v>
      </c>
      <c r="L107" s="1235">
        <v>0</v>
      </c>
      <c r="M107" s="184"/>
      <c r="N107" s="155">
        <v>1664334.9840579999</v>
      </c>
      <c r="O107" s="158">
        <f>N106-N107</f>
        <v>767201.01594200009</v>
      </c>
    </row>
    <row r="108" spans="1:15" s="177" customFormat="1" ht="18" hidden="1" customHeight="1">
      <c r="A108" s="1237" t="s">
        <v>212</v>
      </c>
      <c r="B108" s="1210">
        <v>0</v>
      </c>
      <c r="C108" s="1235">
        <v>0</v>
      </c>
      <c r="D108" s="1235"/>
      <c r="E108" s="1224">
        <f t="shared" si="19"/>
        <v>7029.8268019999996</v>
      </c>
      <c r="F108" s="1224">
        <f t="shared" si="20"/>
        <v>1815.826802</v>
      </c>
      <c r="G108" s="1224">
        <v>5214</v>
      </c>
      <c r="H108" s="1224">
        <v>1815.826802</v>
      </c>
      <c r="I108" s="1235">
        <v>0</v>
      </c>
      <c r="J108" s="1235">
        <v>0</v>
      </c>
      <c r="K108" s="1226">
        <v>0</v>
      </c>
      <c r="L108" s="1235">
        <v>0</v>
      </c>
      <c r="M108" s="175"/>
    </row>
    <row r="109" spans="1:15" s="177" customFormat="1" ht="20.100000000000001" customHeight="1">
      <c r="A109" s="1237" t="s">
        <v>2950</v>
      </c>
      <c r="B109" s="1210">
        <v>0</v>
      </c>
      <c r="C109" s="1235">
        <v>0</v>
      </c>
      <c r="D109" s="1235">
        <v>0</v>
      </c>
      <c r="E109" s="1224">
        <f>G109+H109+I109+J109</f>
        <v>1076220.2512020001</v>
      </c>
      <c r="F109" s="1224">
        <f>+H109+I109+J109</f>
        <v>1076220.2512020001</v>
      </c>
      <c r="G109" s="1235">
        <v>0</v>
      </c>
      <c r="H109" s="1224">
        <v>868431.32582499995</v>
      </c>
      <c r="I109" s="1224">
        <v>168512.56127999999</v>
      </c>
      <c r="J109" s="1224">
        <v>39276.364096999998</v>
      </c>
      <c r="K109" s="1226">
        <v>0</v>
      </c>
      <c r="L109" s="1235">
        <v>0</v>
      </c>
      <c r="M109" s="175"/>
      <c r="N109" s="177">
        <v>988742.91058799997</v>
      </c>
      <c r="O109" s="180">
        <f>+N109-E109</f>
        <v>-87477.340614000103</v>
      </c>
    </row>
    <row r="110" spans="1:15" s="177" customFormat="1" ht="20.100000000000001" customHeight="1">
      <c r="A110" s="1237" t="s">
        <v>2951</v>
      </c>
      <c r="B110" s="1210">
        <v>0</v>
      </c>
      <c r="C110" s="1235">
        <v>0</v>
      </c>
      <c r="D110" s="1235">
        <v>0</v>
      </c>
      <c r="E110" s="1224">
        <f>G110+H110+I110+J110</f>
        <v>269730.17774000001</v>
      </c>
      <c r="F110" s="1224">
        <f>+H110+I110+J110</f>
        <v>269730.17774000001</v>
      </c>
      <c r="G110" s="1224">
        <v>0</v>
      </c>
      <c r="H110" s="1224">
        <v>161330.90822799999</v>
      </c>
      <c r="I110" s="1224">
        <v>79963.265299000006</v>
      </c>
      <c r="J110" s="1224">
        <v>28436.004213</v>
      </c>
      <c r="K110" s="1226">
        <v>0</v>
      </c>
      <c r="L110" s="1235">
        <v>0</v>
      </c>
      <c r="M110" s="175"/>
    </row>
    <row r="111" spans="1:15" s="211" customFormat="1" ht="18" hidden="1" customHeight="1">
      <c r="A111" s="1214" t="s">
        <v>215</v>
      </c>
      <c r="B111" s="922">
        <v>0</v>
      </c>
      <c r="C111" s="922">
        <v>0</v>
      </c>
      <c r="D111" s="922"/>
      <c r="E111" s="922">
        <f>+G111+H111+I111+J111</f>
        <v>0</v>
      </c>
      <c r="F111" s="922"/>
      <c r="G111" s="922">
        <v>0</v>
      </c>
      <c r="H111" s="1215"/>
      <c r="I111" s="922">
        <v>0</v>
      </c>
      <c r="J111" s="922"/>
      <c r="K111" s="925"/>
      <c r="L111" s="922"/>
      <c r="M111" s="210"/>
      <c r="N111" s="211" t="s">
        <v>216</v>
      </c>
    </row>
    <row r="112" spans="1:15" s="177" customFormat="1" ht="18" hidden="1" customHeight="1">
      <c r="A112" s="212" t="s">
        <v>217</v>
      </c>
      <c r="B112" s="204"/>
      <c r="C112" s="204"/>
      <c r="D112" s="204"/>
      <c r="E112" s="204">
        <f>+G112+H112+I112+J112</f>
        <v>0</v>
      </c>
      <c r="F112" s="204"/>
      <c r="G112" s="204"/>
      <c r="H112" s="205"/>
      <c r="I112" s="204"/>
      <c r="J112" s="204"/>
      <c r="K112" s="206"/>
      <c r="L112" s="204"/>
      <c r="M112" s="175" t="e">
        <f>E112/"#REF!*100"</f>
        <v>#VALUE!</v>
      </c>
    </row>
    <row r="113" spans="1:14" s="177" customFormat="1" ht="18" hidden="1" customHeight="1">
      <c r="A113" s="212" t="s">
        <v>218</v>
      </c>
      <c r="B113" s="204">
        <v>0</v>
      </c>
      <c r="C113" s="204">
        <v>0</v>
      </c>
      <c r="D113" s="204"/>
      <c r="E113" s="204">
        <f>+G113+H113+I113+J113</f>
        <v>0</v>
      </c>
      <c r="F113" s="204"/>
      <c r="G113" s="204"/>
      <c r="H113" s="205"/>
      <c r="I113" s="204"/>
      <c r="J113" s="204"/>
      <c r="K113" s="206"/>
      <c r="L113" s="204"/>
      <c r="M113" s="175" t="e">
        <f>E113/"#REF!*100"</f>
        <v>#VALUE!</v>
      </c>
    </row>
    <row r="114" spans="1:14" s="177" customFormat="1" ht="18" hidden="1" customHeight="1">
      <c r="A114" s="212" t="s">
        <v>219</v>
      </c>
      <c r="B114" s="204">
        <v>0</v>
      </c>
      <c r="C114" s="204"/>
      <c r="D114" s="204"/>
      <c r="E114" s="204">
        <f>+G114+H114+I114+J114</f>
        <v>0</v>
      </c>
      <c r="F114" s="204"/>
      <c r="G114" s="204"/>
      <c r="H114" s="205"/>
      <c r="I114" s="204"/>
      <c r="J114" s="204"/>
      <c r="K114" s="206"/>
      <c r="L114" s="204"/>
      <c r="M114" s="175" t="e">
        <f>E114/"#REF!*100"</f>
        <v>#VALUE!</v>
      </c>
    </row>
    <row r="115" spans="1:14" ht="18" hidden="1" customHeight="1">
      <c r="A115" s="212" t="s">
        <v>220</v>
      </c>
      <c r="B115" s="204">
        <f>SUM(B117:B118)</f>
        <v>0</v>
      </c>
      <c r="C115" s="204">
        <f>+C117+C118+C119</f>
        <v>0</v>
      </c>
      <c r="D115" s="204"/>
      <c r="E115" s="205">
        <f>+E117+E118+E119</f>
        <v>0</v>
      </c>
      <c r="F115" s="205"/>
      <c r="G115" s="204">
        <f>G117+G118+G119</f>
        <v>0</v>
      </c>
      <c r="H115" s="205">
        <f>H117+H118+H119</f>
        <v>0</v>
      </c>
      <c r="I115" s="204">
        <f>I117+I118+I119</f>
        <v>0</v>
      </c>
      <c r="J115" s="204">
        <f>J117+J118+J119</f>
        <v>0</v>
      </c>
      <c r="K115" s="206"/>
      <c r="L115" s="204" t="e">
        <f>+E115/C115*100</f>
        <v>#DIV/0!</v>
      </c>
      <c r="M115" s="175" t="e">
        <f>E115/"#REF!*100"</f>
        <v>#VALUE!</v>
      </c>
    </row>
    <row r="116" spans="1:14" ht="18" hidden="1" customHeight="1">
      <c r="A116" s="212" t="s">
        <v>221</v>
      </c>
      <c r="B116" s="206"/>
      <c r="C116" s="206"/>
      <c r="D116" s="206"/>
      <c r="E116" s="204"/>
      <c r="F116" s="204"/>
      <c r="G116" s="206"/>
      <c r="H116" s="213"/>
      <c r="I116" s="206"/>
      <c r="J116" s="206"/>
      <c r="K116" s="206"/>
      <c r="L116" s="206"/>
      <c r="M116" s="184"/>
    </row>
    <row r="117" spans="1:14" ht="18" hidden="1" customHeight="1">
      <c r="A117" s="214" t="s">
        <v>222</v>
      </c>
      <c r="B117" s="206">
        <v>0</v>
      </c>
      <c r="C117" s="215"/>
      <c r="D117" s="215"/>
      <c r="E117" s="206">
        <f>H117+I117+J117</f>
        <v>0</v>
      </c>
      <c r="F117" s="206"/>
      <c r="G117" s="206"/>
      <c r="H117" s="213"/>
      <c r="I117" s="206"/>
      <c r="J117" s="206"/>
      <c r="K117" s="206"/>
      <c r="L117" s="206"/>
      <c r="M117" s="184" t="e">
        <f t="shared" ref="M117:M123" si="21">E117/"#REF!*100"</f>
        <v>#VALUE!</v>
      </c>
      <c r="N117" s="158">
        <f>+E117+E118</f>
        <v>0</v>
      </c>
    </row>
    <row r="118" spans="1:14" ht="18" hidden="1" customHeight="1">
      <c r="A118" s="214" t="s">
        <v>223</v>
      </c>
      <c r="B118" s="206">
        <v>0</v>
      </c>
      <c r="C118" s="206">
        <v>0</v>
      </c>
      <c r="D118" s="206"/>
      <c r="E118" s="206">
        <f t="shared" ref="E118:E124" si="22">H118+I118+J118</f>
        <v>0</v>
      </c>
      <c r="F118" s="206"/>
      <c r="G118" s="206"/>
      <c r="H118" s="213"/>
      <c r="I118" s="206"/>
      <c r="J118" s="206"/>
      <c r="K118" s="206"/>
      <c r="L118" s="206"/>
      <c r="M118" s="184" t="e">
        <f t="shared" si="21"/>
        <v>#VALUE!</v>
      </c>
    </row>
    <row r="119" spans="1:14" ht="18" hidden="1" customHeight="1">
      <c r="A119" s="214" t="s">
        <v>224</v>
      </c>
      <c r="B119" s="206"/>
      <c r="C119" s="206"/>
      <c r="D119" s="206"/>
      <c r="E119" s="213">
        <f>+E120+E121+E122+E123+E124</f>
        <v>0</v>
      </c>
      <c r="F119" s="213"/>
      <c r="G119" s="206">
        <f>SUM(G120:G123)</f>
        <v>0</v>
      </c>
      <c r="H119" s="213">
        <f>+H120+H121+H122+H123+H124</f>
        <v>0</v>
      </c>
      <c r="I119" s="206">
        <f>SUM(I120:I123)</f>
        <v>0</v>
      </c>
      <c r="J119" s="206">
        <f>SUM(J120:J123)</f>
        <v>0</v>
      </c>
      <c r="K119" s="206"/>
      <c r="L119" s="206" t="e">
        <f>+E119/C119*100</f>
        <v>#DIV/0!</v>
      </c>
      <c r="M119" s="184" t="e">
        <f t="shared" si="21"/>
        <v>#VALUE!</v>
      </c>
    </row>
    <row r="120" spans="1:14" ht="18" hidden="1" customHeight="1">
      <c r="A120" s="214" t="s">
        <v>225</v>
      </c>
      <c r="B120" s="206"/>
      <c r="C120" s="206"/>
      <c r="D120" s="206"/>
      <c r="E120" s="206">
        <f t="shared" si="22"/>
        <v>0</v>
      </c>
      <c r="F120" s="206"/>
      <c r="G120" s="206"/>
      <c r="H120" s="213"/>
      <c r="I120" s="206"/>
      <c r="J120" s="206"/>
      <c r="K120" s="206"/>
      <c r="L120" s="206"/>
      <c r="M120" s="184" t="e">
        <f t="shared" si="21"/>
        <v>#VALUE!</v>
      </c>
    </row>
    <row r="121" spans="1:14" ht="18" hidden="1" customHeight="1">
      <c r="A121" s="214" t="s">
        <v>160</v>
      </c>
      <c r="B121" s="206"/>
      <c r="C121" s="206"/>
      <c r="D121" s="206"/>
      <c r="E121" s="206">
        <f t="shared" si="22"/>
        <v>0</v>
      </c>
      <c r="F121" s="206"/>
      <c r="G121" s="206"/>
      <c r="H121" s="213"/>
      <c r="I121" s="206"/>
      <c r="J121" s="206"/>
      <c r="K121" s="206"/>
      <c r="L121" s="206"/>
      <c r="M121" s="184" t="e">
        <f t="shared" si="21"/>
        <v>#VALUE!</v>
      </c>
    </row>
    <row r="122" spans="1:14" ht="18" hidden="1" customHeight="1">
      <c r="A122" s="214" t="s">
        <v>226</v>
      </c>
      <c r="B122" s="206"/>
      <c r="C122" s="206"/>
      <c r="D122" s="206"/>
      <c r="E122" s="206">
        <f t="shared" si="22"/>
        <v>0</v>
      </c>
      <c r="F122" s="206"/>
      <c r="G122" s="206"/>
      <c r="H122" s="213"/>
      <c r="I122" s="206"/>
      <c r="J122" s="206"/>
      <c r="K122" s="206"/>
      <c r="L122" s="206"/>
      <c r="M122" s="184" t="e">
        <f t="shared" si="21"/>
        <v>#VALUE!</v>
      </c>
    </row>
    <row r="123" spans="1:14" ht="18" hidden="1" customHeight="1">
      <c r="A123" s="214" t="s">
        <v>227</v>
      </c>
      <c r="B123" s="206"/>
      <c r="C123" s="206"/>
      <c r="D123" s="206"/>
      <c r="E123" s="206">
        <f t="shared" si="22"/>
        <v>0</v>
      </c>
      <c r="F123" s="206"/>
      <c r="G123" s="206"/>
      <c r="H123" s="213"/>
      <c r="I123" s="206"/>
      <c r="J123" s="206"/>
      <c r="K123" s="206"/>
      <c r="L123" s="206"/>
      <c r="M123" s="184" t="e">
        <f t="shared" si="21"/>
        <v>#VALUE!</v>
      </c>
    </row>
    <row r="124" spans="1:14" ht="18" hidden="1" customHeight="1">
      <c r="A124" s="214" t="s">
        <v>228</v>
      </c>
      <c r="B124" s="206"/>
      <c r="C124" s="206"/>
      <c r="D124" s="206"/>
      <c r="E124" s="206">
        <f t="shared" si="22"/>
        <v>0</v>
      </c>
      <c r="F124" s="206"/>
      <c r="G124" s="206"/>
      <c r="H124" s="213"/>
      <c r="I124" s="206"/>
      <c r="J124" s="206"/>
      <c r="K124" s="206"/>
      <c r="L124" s="206"/>
      <c r="M124" s="184"/>
    </row>
    <row r="125" spans="1:14" ht="18" hidden="1" customHeight="1">
      <c r="A125" s="212" t="s">
        <v>229</v>
      </c>
      <c r="B125" s="216">
        <f>+B126+B127</f>
        <v>0</v>
      </c>
      <c r="C125" s="216">
        <f>+C126+C127</f>
        <v>0</v>
      </c>
      <c r="D125" s="216"/>
      <c r="E125" s="204">
        <f t="shared" ref="E125:E131" si="23">+G125+H125+I125+J125</f>
        <v>3841252.2598970002</v>
      </c>
      <c r="F125" s="204"/>
      <c r="G125" s="204">
        <f>+G126+G127</f>
        <v>0</v>
      </c>
      <c r="H125" s="205">
        <f>+H126+H127+H130</f>
        <v>2359441.4879370001</v>
      </c>
      <c r="I125" s="204">
        <f>+I126+I127</f>
        <v>1110290.815073</v>
      </c>
      <c r="J125" s="204">
        <f>+J126+J127</f>
        <v>371519.95688700001</v>
      </c>
      <c r="K125" s="206"/>
      <c r="L125" s="204"/>
      <c r="M125" s="175" t="e">
        <f>E125/"#REF!*100"</f>
        <v>#VALUE!</v>
      </c>
      <c r="N125" s="158">
        <f>+E125+E131</f>
        <v>3847415.88136</v>
      </c>
    </row>
    <row r="126" spans="1:14" ht="18" hidden="1" customHeight="1">
      <c r="A126" s="217" t="s">
        <v>230</v>
      </c>
      <c r="B126" s="216">
        <v>0</v>
      </c>
      <c r="C126" s="216">
        <v>0</v>
      </c>
      <c r="D126" s="216"/>
      <c r="E126" s="206">
        <f t="shared" si="23"/>
        <v>0</v>
      </c>
      <c r="F126" s="206"/>
      <c r="G126" s="206"/>
      <c r="H126" s="213"/>
      <c r="I126" s="218"/>
      <c r="J126" s="206"/>
      <c r="K126" s="206"/>
      <c r="L126" s="206"/>
      <c r="M126" s="184" t="e">
        <f>E126/"#REF!*100"</f>
        <v>#VALUE!</v>
      </c>
    </row>
    <row r="127" spans="1:14" ht="18" hidden="1" customHeight="1">
      <c r="A127" s="217" t="s">
        <v>231</v>
      </c>
      <c r="B127" s="216">
        <f>+B128+B129</f>
        <v>0</v>
      </c>
      <c r="C127" s="216">
        <f>+C128+C129</f>
        <v>0</v>
      </c>
      <c r="D127" s="216"/>
      <c r="E127" s="206">
        <f t="shared" si="23"/>
        <v>3841252.2598970002</v>
      </c>
      <c r="F127" s="206"/>
      <c r="G127" s="206">
        <f>+G128+G129</f>
        <v>0</v>
      </c>
      <c r="H127" s="213">
        <f>+H128+H129</f>
        <v>2359441.4879370001</v>
      </c>
      <c r="I127" s="219">
        <f>+I128+I129</f>
        <v>1110290.815073</v>
      </c>
      <c r="J127" s="219">
        <f>+J128+J129</f>
        <v>371519.95688700001</v>
      </c>
      <c r="K127" s="206"/>
      <c r="L127" s="206"/>
      <c r="M127" s="220" t="e">
        <f>E127/"#REF!*100"</f>
        <v>#VALUE!</v>
      </c>
    </row>
    <row r="128" spans="1:14" ht="18" hidden="1" customHeight="1">
      <c r="A128" s="217" t="s">
        <v>232</v>
      </c>
      <c r="B128" s="216">
        <v>0</v>
      </c>
      <c r="C128" s="216">
        <v>0</v>
      </c>
      <c r="D128" s="216"/>
      <c r="E128" s="206">
        <f t="shared" si="23"/>
        <v>3623885.4719600007</v>
      </c>
      <c r="F128" s="206"/>
      <c r="G128" s="206"/>
      <c r="H128" s="213">
        <f>2006074.7+136000+26176-26176</f>
        <v>2142074.7000000002</v>
      </c>
      <c r="I128" s="218">
        <v>1110290.815073</v>
      </c>
      <c r="J128" s="206">
        <v>371519.95688700001</v>
      </c>
      <c r="K128" s="206"/>
      <c r="L128" s="206"/>
      <c r="M128" s="220" t="e">
        <f>E128/"#REF!*100"</f>
        <v>#VALUE!</v>
      </c>
    </row>
    <row r="129" spans="1:15" ht="18" hidden="1" customHeight="1">
      <c r="A129" s="217" t="s">
        <v>233</v>
      </c>
      <c r="B129" s="216">
        <v>0</v>
      </c>
      <c r="C129" s="216">
        <v>0</v>
      </c>
      <c r="D129" s="216"/>
      <c r="E129" s="206">
        <f t="shared" si="23"/>
        <v>217366.78793699999</v>
      </c>
      <c r="F129" s="206"/>
      <c r="G129" s="206"/>
      <c r="H129" s="219">
        <v>217366.78793699999</v>
      </c>
      <c r="I129" s="206"/>
      <c r="J129" s="206"/>
      <c r="K129" s="206"/>
      <c r="L129" s="206"/>
      <c r="M129" s="220" t="e">
        <f>E129/"#REF!*100"</f>
        <v>#VALUE!</v>
      </c>
      <c r="N129" s="155">
        <v>46547</v>
      </c>
      <c r="O129" s="158">
        <v>170729.78793699999</v>
      </c>
    </row>
    <row r="130" spans="1:15" s="226" customFormat="1" ht="30" hidden="1">
      <c r="A130" s="221" t="s">
        <v>234</v>
      </c>
      <c r="B130" s="222"/>
      <c r="C130" s="222"/>
      <c r="D130" s="222"/>
      <c r="E130" s="223">
        <f t="shared" si="23"/>
        <v>0</v>
      </c>
      <c r="F130" s="223"/>
      <c r="G130" s="223"/>
      <c r="H130" s="224"/>
      <c r="I130" s="223"/>
      <c r="J130" s="223"/>
      <c r="K130" s="206"/>
      <c r="L130" s="223"/>
      <c r="M130" s="225"/>
      <c r="O130" s="227"/>
    </row>
    <row r="131" spans="1:15" s="177" customFormat="1" ht="18" hidden="1" customHeight="1">
      <c r="A131" s="228" t="s">
        <v>235</v>
      </c>
      <c r="B131" s="229">
        <v>0</v>
      </c>
      <c r="C131" s="229">
        <v>0</v>
      </c>
      <c r="D131" s="229"/>
      <c r="E131" s="204">
        <f t="shared" si="23"/>
        <v>6163.6214630000004</v>
      </c>
      <c r="F131" s="204"/>
      <c r="G131" s="204"/>
      <c r="H131" s="205">
        <v>6163.6214630000004</v>
      </c>
      <c r="I131" s="204"/>
      <c r="J131" s="204">
        <v>0</v>
      </c>
      <c r="K131" s="206"/>
      <c r="L131" s="204"/>
      <c r="M131" s="230" t="e">
        <f>E131/"#REF!*100"</f>
        <v>#VALUE!</v>
      </c>
    </row>
    <row r="132" spans="1:15" ht="18" hidden="1" customHeight="1">
      <c r="A132" s="231" t="s">
        <v>236</v>
      </c>
      <c r="B132" s="204">
        <f>B11</f>
        <v>4042000</v>
      </c>
      <c r="C132" s="204">
        <f t="shared" ref="C132:J132" si="24">C12+C115+C125+C131</f>
        <v>4202000</v>
      </c>
      <c r="D132" s="204"/>
      <c r="E132" s="204">
        <f t="shared" si="24"/>
        <v>8562466.1339149997</v>
      </c>
      <c r="F132" s="204"/>
      <c r="G132" s="204">
        <f t="shared" si="24"/>
        <v>358045.21860900003</v>
      </c>
      <c r="H132" s="205">
        <f t="shared" si="24"/>
        <v>6016030.4956910005</v>
      </c>
      <c r="I132" s="204">
        <f t="shared" si="24"/>
        <v>1769687.669154</v>
      </c>
      <c r="J132" s="204">
        <f t="shared" si="24"/>
        <v>455365.81646100001</v>
      </c>
      <c r="K132" s="206"/>
      <c r="L132" s="204">
        <f>+H132/C132*100</f>
        <v>143.17064482843884</v>
      </c>
      <c r="M132" s="220"/>
    </row>
    <row r="133" spans="1:15" ht="17.100000000000001" hidden="1" customHeight="1">
      <c r="A133" s="232" t="s">
        <v>237</v>
      </c>
      <c r="B133" s="233"/>
      <c r="C133" s="233"/>
      <c r="D133" s="233"/>
      <c r="E133" s="204">
        <f>G133+H133+I133+J133</f>
        <v>0</v>
      </c>
      <c r="F133" s="204"/>
      <c r="G133" s="234"/>
      <c r="H133" s="235"/>
      <c r="I133" s="235"/>
      <c r="J133" s="235"/>
      <c r="K133" s="206"/>
      <c r="L133" s="236"/>
      <c r="M133" s="220"/>
    </row>
    <row r="134" spans="1:15" ht="17.100000000000001" customHeight="1">
      <c r="A134" s="237"/>
      <c r="B134" s="238"/>
      <c r="C134" s="238"/>
      <c r="D134" s="238"/>
      <c r="E134" s="238"/>
      <c r="F134" s="238"/>
      <c r="G134" s="239"/>
      <c r="H134" s="240"/>
      <c r="I134" s="240"/>
      <c r="J134" s="240"/>
      <c r="K134" s="230"/>
      <c r="L134" s="220"/>
      <c r="M134" s="220"/>
    </row>
    <row r="135" spans="1:15" ht="17.100000000000001" hidden="1" customHeight="1">
      <c r="A135" s="241" t="s">
        <v>2718</v>
      </c>
      <c r="B135" s="238"/>
      <c r="C135" s="1672" t="s">
        <v>2718</v>
      </c>
      <c r="D135" s="1672"/>
      <c r="E135" s="1672"/>
      <c r="F135" s="1672"/>
      <c r="G135" s="1672"/>
      <c r="H135" s="1672"/>
      <c r="I135" s="240"/>
      <c r="J135" s="242" t="s">
        <v>2719</v>
      </c>
      <c r="K135" s="230"/>
      <c r="L135" s="220"/>
      <c r="M135" s="220"/>
    </row>
    <row r="136" spans="1:15" ht="17.100000000000001" hidden="1" customHeight="1">
      <c r="A136" s="243" t="s">
        <v>238</v>
      </c>
      <c r="B136" s="238"/>
      <c r="C136" s="1671" t="s">
        <v>239</v>
      </c>
      <c r="D136" s="1671"/>
      <c r="E136" s="1671"/>
      <c r="F136" s="1671"/>
      <c r="G136" s="1671"/>
      <c r="H136" s="1671"/>
      <c r="I136" s="240"/>
      <c r="J136" s="244" t="s">
        <v>85</v>
      </c>
      <c r="K136" s="230"/>
      <c r="L136" s="220"/>
      <c r="M136" s="220"/>
    </row>
    <row r="137" spans="1:15" ht="17.100000000000001" hidden="1" customHeight="1">
      <c r="A137" s="237"/>
      <c r="B137" s="238"/>
      <c r="C137" s="238"/>
      <c r="D137" s="238"/>
      <c r="E137" s="238"/>
      <c r="F137" s="238"/>
      <c r="G137" s="239"/>
      <c r="H137" s="240"/>
      <c r="I137" s="240"/>
      <c r="J137" s="245" t="s">
        <v>86</v>
      </c>
      <c r="K137" s="230"/>
      <c r="L137" s="220"/>
      <c r="M137" s="220"/>
    </row>
    <row r="138" spans="1:15" ht="17.100000000000001" hidden="1" customHeight="1">
      <c r="A138" s="237"/>
      <c r="B138" s="238"/>
      <c r="C138" s="238"/>
      <c r="D138" s="238"/>
      <c r="E138" s="238"/>
      <c r="F138" s="238"/>
      <c r="G138" s="239"/>
      <c r="H138" s="240"/>
      <c r="I138" s="240"/>
      <c r="J138" s="240"/>
      <c r="K138" s="230"/>
      <c r="L138" s="220"/>
      <c r="M138" s="220"/>
    </row>
    <row r="139" spans="1:15" ht="17.100000000000001" customHeight="1">
      <c r="A139" s="237"/>
      <c r="B139" s="238"/>
      <c r="C139" s="238"/>
      <c r="D139" s="238"/>
      <c r="E139" s="238"/>
      <c r="F139" s="238"/>
      <c r="G139" s="239"/>
      <c r="H139" s="240"/>
      <c r="I139" s="240"/>
      <c r="J139" s="240"/>
      <c r="K139" s="230"/>
      <c r="L139" s="220"/>
      <c r="M139" s="220"/>
    </row>
    <row r="140" spans="1:15" ht="17.100000000000001" customHeight="1">
      <c r="A140" s="237"/>
      <c r="B140" s="238"/>
      <c r="C140" s="238"/>
      <c r="D140" s="238"/>
      <c r="E140" s="238"/>
      <c r="F140" s="238"/>
      <c r="G140" s="239"/>
      <c r="H140" s="240"/>
      <c r="I140" s="240"/>
      <c r="J140" s="240"/>
      <c r="K140" s="230"/>
      <c r="L140" s="220"/>
      <c r="M140" s="220"/>
      <c r="N140" s="158"/>
      <c r="O140" s="158"/>
    </row>
    <row r="141" spans="1:15">
      <c r="A141" s="246"/>
      <c r="B141" s="246"/>
      <c r="E141" s="246"/>
      <c r="F141" s="246"/>
      <c r="I141" s="246"/>
      <c r="J141" s="246"/>
      <c r="K141" s="246"/>
    </row>
    <row r="142" spans="1:15">
      <c r="A142" s="247"/>
      <c r="B142" s="248"/>
      <c r="E142" s="249"/>
      <c r="F142" s="249"/>
      <c r="G142" s="250"/>
      <c r="H142" s="248"/>
      <c r="I142" s="247"/>
      <c r="J142" s="249"/>
      <c r="K142" s="248"/>
      <c r="L142" s="251"/>
      <c r="M142" s="251"/>
    </row>
    <row r="143" spans="1:15">
      <c r="I143" s="249"/>
      <c r="J143" s="247"/>
    </row>
    <row r="144" spans="1:15">
      <c r="A144" s="125"/>
      <c r="E144" s="125"/>
      <c r="F144" s="125"/>
    </row>
    <row r="145" spans="1:19">
      <c r="A145" s="252"/>
      <c r="E145" s="125"/>
      <c r="F145" s="125"/>
    </row>
    <row r="146" spans="1:19">
      <c r="A146" s="252"/>
      <c r="E146" s="125"/>
      <c r="F146" s="125"/>
      <c r="N146" s="158"/>
    </row>
    <row r="147" spans="1:19">
      <c r="A147" s="125"/>
      <c r="N147" s="158"/>
    </row>
    <row r="148" spans="1:19">
      <c r="A148" s="125"/>
    </row>
    <row r="149" spans="1:19" s="154" customFormat="1">
      <c r="A149" s="125"/>
      <c r="L149" s="155"/>
      <c r="M149" s="155"/>
      <c r="N149" s="155"/>
      <c r="O149" s="155"/>
      <c r="P149" s="155"/>
      <c r="Q149" s="155"/>
      <c r="R149" s="155"/>
      <c r="S149" s="155"/>
    </row>
    <row r="150" spans="1:19" s="154" customFormat="1">
      <c r="L150" s="155"/>
      <c r="M150" s="155"/>
      <c r="N150" s="155"/>
      <c r="O150" s="155"/>
      <c r="P150" s="155"/>
      <c r="Q150" s="155"/>
      <c r="R150" s="155"/>
      <c r="S150" s="155"/>
    </row>
  </sheetData>
  <sheetProtection selectLockedCells="1" selectUnlockedCells="1"/>
  <mergeCells count="11">
    <mergeCell ref="C135:H135"/>
    <mergeCell ref="C136:H136"/>
    <mergeCell ref="E8:F8"/>
    <mergeCell ref="C8:D8"/>
    <mergeCell ref="F7:L7"/>
    <mergeCell ref="F1:L1"/>
    <mergeCell ref="A4:L4"/>
    <mergeCell ref="A5:L5"/>
    <mergeCell ref="G8:J8"/>
    <mergeCell ref="K8:L8"/>
    <mergeCell ref="A8:A9"/>
  </mergeCells>
  <printOptions horizontalCentered="1"/>
  <pageMargins left="0.19685039370078741" right="0.19685039370078741" top="0.59055118110236227" bottom="0.59055118110236227" header="0" footer="0"/>
  <pageSetup paperSize="9" firstPageNumber="0" orientation="portrait" r:id="rId1"/>
  <headerFooter differentFirst="1" alignWithMargins="0">
    <oddFooter>&amp;C&amp;"Times New Roman,Regular"&amp;12&amp;P</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54A1E68-5E5A-438A-96C1-E209FB8F8731}"/>
</file>

<file path=customXml/itemProps2.xml><?xml version="1.0" encoding="utf-8"?>
<ds:datastoreItem xmlns:ds="http://schemas.openxmlformats.org/officeDocument/2006/customXml" ds:itemID="{09DC1134-AA0E-42DB-93A5-5CF82DC12706}"/>
</file>

<file path=customXml/itemProps3.xml><?xml version="1.0" encoding="utf-8"?>
<ds:datastoreItem xmlns:ds="http://schemas.openxmlformats.org/officeDocument/2006/customXml" ds:itemID="{4C95DC6E-3403-42CA-BEB3-69479D2D894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65</vt:i4>
      </vt:variant>
    </vt:vector>
  </HeadingPairs>
  <TitlesOfParts>
    <vt:vector size="92" baseType="lpstr">
      <vt:lpstr>CAN DOI_60_342 BTC</vt:lpstr>
      <vt:lpstr>CAN DOI_60_342</vt:lpstr>
      <vt:lpstr>CAN DOI 49_ND31</vt:lpstr>
      <vt:lpstr>TH THU_61_342_50_31</vt:lpstr>
      <vt:lpstr>TH CHI_62_342_BTC</vt:lpstr>
      <vt:lpstr>BIEU 62_CK_NSNN</vt:lpstr>
      <vt:lpstr>BIEU_63_CK NSNN</vt:lpstr>
      <vt:lpstr>CAN DOI 48_ND31_BC</vt:lpstr>
      <vt:lpstr>TH THU_50_ND31_BC</vt:lpstr>
      <vt:lpstr>BIEU 64  CK NSNN</vt:lpstr>
      <vt:lpstr>BIEU 65 CK NSNN</vt:lpstr>
      <vt:lpstr>BIEU 66_CK NSNN</vt:lpstr>
      <vt:lpstr>BIEU 67 CK NSNN</vt:lpstr>
      <vt:lpstr>BIEU 68 CK NSNN</vt:lpstr>
      <vt:lpstr>TH CHI 51 ND31</vt:lpstr>
      <vt:lpstr>TH CHI 53 ND31 BC</vt:lpstr>
      <vt:lpstr>TRA NO VAY</vt:lpstr>
      <vt:lpstr>CHI HUYEN 58_31</vt:lpstr>
      <vt:lpstr>DAU TU</vt:lpstr>
      <vt:lpstr>TH CHI_62_342_51_52_53_31</vt:lpstr>
      <vt:lpstr>TM DP, TT 68_342</vt:lpstr>
      <vt:lpstr>TM THIEN TAI 67_342</vt:lpstr>
      <vt:lpstr>TM QLHC 66_342</vt:lpstr>
      <vt:lpstr>KIEM TOAN 69_342</vt:lpstr>
      <vt:lpstr>CHUYEN NGUON 70_342</vt:lpstr>
      <vt:lpstr>MAU 59_342</vt:lpstr>
      <vt:lpstr>MAU 58_342</vt:lpstr>
      <vt:lpstr>'BIEU 62_CK_NSNN'!__xlnm.Print_Area</vt:lpstr>
      <vt:lpstr>'BIEU 64  CK NSNN'!__xlnm.Print_Area</vt:lpstr>
      <vt:lpstr>'BIEU 65 CK NSNN'!__xlnm.Print_Area</vt:lpstr>
      <vt:lpstr>'BIEU_63_CK NSNN'!__xlnm.Print_Area</vt:lpstr>
      <vt:lpstr>'CAN DOI 48_ND31_BC'!__xlnm.Print_Area</vt:lpstr>
      <vt:lpstr>'CAN DOI 49_ND31'!__xlnm.Print_Area</vt:lpstr>
      <vt:lpstr>'CAN DOI_60_342'!__xlnm.Print_Area</vt:lpstr>
      <vt:lpstr>'CAN DOI_60_342 BTC'!__xlnm.Print_Area</vt:lpstr>
      <vt:lpstr>'CHI HUYEN 58_31'!__xlnm.Print_Area</vt:lpstr>
      <vt:lpstr>'TH CHI 51 ND31'!__xlnm.Print_Area</vt:lpstr>
      <vt:lpstr>'TH CHI 53 ND31 BC'!__xlnm.Print_Area</vt:lpstr>
      <vt:lpstr>'TH CHI_62_342_51_52_53_31'!__xlnm.Print_Area</vt:lpstr>
      <vt:lpstr>'TH CHI_62_342_BTC'!__xlnm.Print_Area</vt:lpstr>
      <vt:lpstr>'TH THU_50_ND31_BC'!__xlnm.Print_Area</vt:lpstr>
      <vt:lpstr>'TH THU_61_342_50_31'!__xlnm.Print_Area</vt:lpstr>
      <vt:lpstr>'TM DP, TT 68_342'!__xlnm.Print_Area</vt:lpstr>
      <vt:lpstr>'TM QLHC 66_342'!__xlnm.Print_Area</vt:lpstr>
      <vt:lpstr>'TM THIEN TAI 67_342'!__xlnm.Print_Area</vt:lpstr>
      <vt:lpstr>'BIEU 62_CK_NSNN'!__xlnm.Print_Titles</vt:lpstr>
      <vt:lpstr>'BIEU 64  CK NSNN'!__xlnm.Print_Titles</vt:lpstr>
      <vt:lpstr>'BIEU 65 CK NSNN'!__xlnm.Print_Titles</vt:lpstr>
      <vt:lpstr>'BIEU_63_CK NSNN'!__xlnm.Print_Titles</vt:lpstr>
      <vt:lpstr>'CAN DOI 48_ND31_BC'!__xlnm.Print_Titles</vt:lpstr>
      <vt:lpstr>'CAN DOI 49_ND31'!__xlnm.Print_Titles</vt:lpstr>
      <vt:lpstr>'TH CHI 51 ND31'!__xlnm.Print_Titles</vt:lpstr>
      <vt:lpstr>'TH CHI 53 ND31 BC'!__xlnm.Print_Titles</vt:lpstr>
      <vt:lpstr>'TH CHI_62_342_51_52_53_31'!__xlnm.Print_Titles</vt:lpstr>
      <vt:lpstr>'TH CHI_62_342_BTC'!__xlnm.Print_Titles</vt:lpstr>
      <vt:lpstr>'TH THU_50_ND31_BC'!__xlnm.Print_Titles</vt:lpstr>
      <vt:lpstr>'TH THU_61_342_50_31'!__xlnm.Print_Titles</vt:lpstr>
      <vt:lpstr>page\x2dtotal</vt:lpstr>
      <vt:lpstr>page\x2dtotal\x2dmaster0</vt:lpstr>
      <vt:lpstr>'BIEU_63_CK NSNN'!Print_Area</vt:lpstr>
      <vt:lpstr>'CAN DOI 49_ND31'!Print_Area</vt:lpstr>
      <vt:lpstr>'CAN DOI_60_342'!Print_Area</vt:lpstr>
      <vt:lpstr>'CAN DOI_60_342 BTC'!Print_Area</vt:lpstr>
      <vt:lpstr>'CHUYEN NGUON 70_342'!Print_Area</vt:lpstr>
      <vt:lpstr>'DAU TU'!Print_Area</vt:lpstr>
      <vt:lpstr>'KIEM TOAN 69_342'!Print_Area</vt:lpstr>
      <vt:lpstr>'MAU 59_342'!Print_Area</vt:lpstr>
      <vt:lpstr>'TH CHI 53 ND31 BC'!Print_Area</vt:lpstr>
      <vt:lpstr>'TH CHI_62_342_51_52_53_31'!Print_Area</vt:lpstr>
      <vt:lpstr>'TH CHI_62_342_BTC'!Print_Area</vt:lpstr>
      <vt:lpstr>'TH THU_61_342_50_31'!Print_Area</vt:lpstr>
      <vt:lpstr>'TM DP, TT 68_342'!Print_Area</vt:lpstr>
      <vt:lpstr>'TM QLHC 66_342'!Print_Area</vt:lpstr>
      <vt:lpstr>'TM THIEN TAI 67_342'!Print_Area</vt:lpstr>
      <vt:lpstr>'BIEU 62_CK_NSNN'!Print_Titles</vt:lpstr>
      <vt:lpstr>'BIEU 64  CK NSNN'!Print_Titles</vt:lpstr>
      <vt:lpstr>'BIEU 65 CK NSNN'!Print_Titles</vt:lpstr>
      <vt:lpstr>'BIEU 66_CK NSNN'!Print_Titles</vt:lpstr>
      <vt:lpstr>'BIEU 68 CK NSNN'!Print_Titles</vt:lpstr>
      <vt:lpstr>'BIEU_63_CK NSNN'!Print_Titles</vt:lpstr>
      <vt:lpstr>'CAN DOI 48_ND31_BC'!Print_Titles</vt:lpstr>
      <vt:lpstr>'CAN DOI 49_ND31'!Print_Titles</vt:lpstr>
      <vt:lpstr>'CHUYEN NGUON 70_342'!Print_Titles</vt:lpstr>
      <vt:lpstr>'DAU TU'!Print_Titles</vt:lpstr>
      <vt:lpstr>'KIEM TOAN 69_342'!Print_Titles</vt:lpstr>
      <vt:lpstr>'MAU 59_342'!Print_Titles</vt:lpstr>
      <vt:lpstr>'TH CHI 51 ND31'!Print_Titles</vt:lpstr>
      <vt:lpstr>'TH CHI 53 ND31 BC'!Print_Titles</vt:lpstr>
      <vt:lpstr>'TH CHI_62_342_51_52_53_31'!Print_Titles</vt:lpstr>
      <vt:lpstr>'TH CHI_62_342_BTC'!Print_Titles</vt:lpstr>
      <vt:lpstr>'TH THU_50_ND31_BC'!Print_Titles</vt:lpstr>
      <vt:lpstr>'TH THU_61_342_50_31'!Print_Titles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CHONG</dc:creator>
  <cp:lastModifiedBy>Administrator</cp:lastModifiedBy>
  <cp:lastPrinted>2019-12-17T02:02:47Z</cp:lastPrinted>
  <dcterms:created xsi:type="dcterms:W3CDTF">2018-08-27T07:51:31Z</dcterms:created>
  <dcterms:modified xsi:type="dcterms:W3CDTF">2019-12-17T02:09:07Z</dcterms:modified>
</cp:coreProperties>
</file>