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worksheets/sheet14.xml" ContentType="application/vnd.openxmlformats-officedocument.spreadsheetml.worksheet+xml"/>
  <Override PartName="/xl/worksheets/sheet15.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styles.xml" ContentType="application/vnd.openxmlformats-officedocument.spreadsheetml.styles+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360" windowWidth="15015" windowHeight="7650" tabRatio="650" firstSheet="7" activeTab="7"/>
  </bookViews>
  <sheets>
    <sheet name="62" sheetId="1" state="hidden" r:id="rId1"/>
    <sheet name="63" sheetId="3" state="hidden" r:id="rId2"/>
    <sheet name="51" sheetId="4" state="hidden" r:id="rId3"/>
    <sheet name="64" sheetId="6" state="hidden" r:id="rId4"/>
    <sheet name="65" sheetId="5" state="hidden" r:id="rId5"/>
    <sheet name="66" sheetId="7" state="hidden" r:id="rId6"/>
    <sheet name="58" sheetId="11" state="hidden" r:id="rId7"/>
    <sheet name="67" sheetId="12" r:id="rId8"/>
    <sheet name="68" sheetId="14" state="hidden" r:id="rId9"/>
    <sheet name="49" sheetId="2" state="hidden" r:id="rId10"/>
    <sheet name="55(DT)" sheetId="8" state="hidden" r:id="rId11"/>
    <sheet name="56" sheetId="9" state="hidden" r:id="rId12"/>
    <sheet name="57" sheetId="10" state="hidden" r:id="rId13"/>
    <sheet name="60" sheetId="13" state="hidden" r:id="rId14"/>
    <sheet name="Sheet1" sheetId="18" state="hidden" r:id="rId15"/>
    <sheet name="Sheet2" sheetId="19" state="hidden" r:id="rId16"/>
  </sheets>
  <externalReferences>
    <externalReference r:id="rId17"/>
  </externalReferences>
  <definedNames>
    <definedName name="chuong_phuluc_48" localSheetId="0">'62'!$A$1</definedName>
    <definedName name="chuong_phuluc_48_name" localSheetId="0">'62'!$A$2</definedName>
    <definedName name="chuong_phuluc_49" localSheetId="0">'49'!$A$1</definedName>
    <definedName name="chuong_phuluc_49_name" localSheetId="0">'49'!$A$2</definedName>
    <definedName name="chuong_phuluc_50" localSheetId="0">'63'!$A$1</definedName>
    <definedName name="chuong_phuluc_50_name" localSheetId="0">'63'!$A$2</definedName>
    <definedName name="chuong_phuluc_51" localSheetId="0">'51'!$A$1</definedName>
    <definedName name="chuong_phuluc_51_name" localSheetId="0">'51'!$A$2</definedName>
    <definedName name="chuong_phuluc_52" localSheetId="0">'65'!$A$1</definedName>
    <definedName name="chuong_phuluc_52_name" localSheetId="0">'65'!$A$2</definedName>
    <definedName name="chuong_phuluc_53" localSheetId="0">'64'!$A$1</definedName>
    <definedName name="chuong_phuluc_53_name" localSheetId="0">'64'!$A$2</definedName>
    <definedName name="chuong_phuluc_54" localSheetId="0">'66'!$A$1</definedName>
    <definedName name="chuong_phuluc_54_name" localSheetId="0">'66'!$A$2</definedName>
    <definedName name="chuong_phuluc_55" localSheetId="0">'55(DT)'!$A$1</definedName>
    <definedName name="chuong_phuluc_55_name" localSheetId="0">'55(DT)'!$A$2</definedName>
    <definedName name="chuong_phuluc_56" localSheetId="0">'56'!$A$1</definedName>
    <definedName name="chuong_phuluc_56_name" localSheetId="0">'56'!$A$2</definedName>
    <definedName name="chuong_phuluc_57" localSheetId="0">'57'!$A$1</definedName>
    <definedName name="chuong_phuluc_57_name" localSheetId="0">'57'!$A$2</definedName>
    <definedName name="chuong_phuluc_58" localSheetId="0">'58'!$A$1</definedName>
    <definedName name="chuong_phuluc_58_name" localSheetId="0">'58'!$A$2</definedName>
    <definedName name="chuong_phuluc_59" localSheetId="0">'67'!$A$1</definedName>
    <definedName name="chuong_phuluc_59_name" localSheetId="0">'67'!$A$2</definedName>
    <definedName name="chuong_phuluc_60" localSheetId="0">'60'!$A$1</definedName>
    <definedName name="chuong_phuluc_60_name" localSheetId="0">'60'!$A$2</definedName>
    <definedName name="chuong_phuluc_61" localSheetId="0">'68'!$A$1</definedName>
    <definedName name="chuong_phuluc_61_name" localSheetId="0">'68'!$A$2</definedName>
    <definedName name="chuong_phuluc_62" localSheetId="0">#REF!</definedName>
    <definedName name="chuong_phuluc_62_name" localSheetId="0">#REF!</definedName>
    <definedName name="chuong_phuluc_63" localSheetId="0">#REF!</definedName>
    <definedName name="chuong_phuluc_63_name" localSheetId="0">#REF!</definedName>
    <definedName name="chuong_phuluc_64" localSheetId="0">#REF!</definedName>
    <definedName name="chuong_phuluc_64_name" localSheetId="0">#REF!</definedName>
    <definedName name="_xlnm.Print_Titles" localSheetId="2">'51'!$5:$6</definedName>
    <definedName name="_xlnm.Print_Titles" localSheetId="0">'62'!$5:$7</definedName>
    <definedName name="_xlnm.Print_Titles" localSheetId="1">'63'!$5:$7</definedName>
    <definedName name="_xlnm.Print_Titles" localSheetId="3">'64'!$5:$7</definedName>
    <definedName name="_xlnm.Print_Titles" localSheetId="4">'65'!$5:$7</definedName>
    <definedName name="_xlnm.Print_Titles" localSheetId="5">'66'!$5:$8</definedName>
  </definedNames>
  <calcPr calcId="124519"/>
</workbook>
</file>

<file path=xl/calcChain.xml><?xml version="1.0" encoding="utf-8"?>
<calcChain xmlns="http://schemas.openxmlformats.org/spreadsheetml/2006/main">
  <c r="X31" i="14"/>
  <c r="U31"/>
  <c r="R31"/>
  <c r="O31"/>
  <c r="L31"/>
  <c r="I31"/>
  <c r="H31"/>
  <c r="AI31" s="1"/>
  <c r="G31"/>
  <c r="F31"/>
  <c r="E31"/>
  <c r="D31"/>
  <c r="AH31" s="1"/>
  <c r="X30"/>
  <c r="U30"/>
  <c r="R30"/>
  <c r="O30"/>
  <c r="L30"/>
  <c r="I30"/>
  <c r="H30"/>
  <c r="G30"/>
  <c r="AH30" s="1"/>
  <c r="E30"/>
  <c r="AI30" s="1"/>
  <c r="X29"/>
  <c r="U29"/>
  <c r="R29"/>
  <c r="O29"/>
  <c r="L29"/>
  <c r="J29"/>
  <c r="I29" s="1"/>
  <c r="H29"/>
  <c r="AI29" s="1"/>
  <c r="E29"/>
  <c r="D29"/>
  <c r="C29" s="1"/>
  <c r="X28"/>
  <c r="U28"/>
  <c r="R28"/>
  <c r="O28"/>
  <c r="L28"/>
  <c r="J28"/>
  <c r="I28" s="1"/>
  <c r="H28"/>
  <c r="AI28" s="1"/>
  <c r="E28"/>
  <c r="D28"/>
  <c r="C28" s="1"/>
  <c r="X27"/>
  <c r="U27"/>
  <c r="R27"/>
  <c r="O27"/>
  <c r="L27"/>
  <c r="I27"/>
  <c r="H27"/>
  <c r="G27"/>
  <c r="AH27" s="1"/>
  <c r="E27"/>
  <c r="AI27" s="1"/>
  <c r="D27"/>
  <c r="C27"/>
  <c r="X26"/>
  <c r="U26"/>
  <c r="R26"/>
  <c r="O26"/>
  <c r="L26"/>
  <c r="J26"/>
  <c r="I26"/>
  <c r="H26"/>
  <c r="AI26" s="1"/>
  <c r="G26"/>
  <c r="AH26" s="1"/>
  <c r="E26"/>
  <c r="D26"/>
  <c r="C26"/>
  <c r="X25"/>
  <c r="U25"/>
  <c r="R25"/>
  <c r="O25"/>
  <c r="L25"/>
  <c r="I25"/>
  <c r="H25"/>
  <c r="AI25" s="1"/>
  <c r="G25"/>
  <c r="F25"/>
  <c r="E25"/>
  <c r="D25"/>
  <c r="AH25" s="1"/>
  <c r="X24"/>
  <c r="U24"/>
  <c r="R24"/>
  <c r="O24"/>
  <c r="L24"/>
  <c r="I24"/>
  <c r="H24"/>
  <c r="G24"/>
  <c r="AH24" s="1"/>
  <c r="E24"/>
  <c r="AI24" s="1"/>
  <c r="D24"/>
  <c r="C24"/>
  <c r="X23"/>
  <c r="U23"/>
  <c r="R23"/>
  <c r="O23"/>
  <c r="L23"/>
  <c r="I23"/>
  <c r="H23"/>
  <c r="AI23" s="1"/>
  <c r="G23"/>
  <c r="F23"/>
  <c r="E23"/>
  <c r="D23"/>
  <c r="AH23" s="1"/>
  <c r="X22"/>
  <c r="U22"/>
  <c r="R22"/>
  <c r="O22"/>
  <c r="L22"/>
  <c r="K22"/>
  <c r="I22" s="1"/>
  <c r="H22"/>
  <c r="AI22" s="1"/>
  <c r="G22"/>
  <c r="AH22" s="1"/>
  <c r="F22"/>
  <c r="E22"/>
  <c r="D22"/>
  <c r="C22" s="1"/>
  <c r="X21"/>
  <c r="U21"/>
  <c r="R21"/>
  <c r="O21"/>
  <c r="L21"/>
  <c r="K21"/>
  <c r="I21" s="1"/>
  <c r="H21"/>
  <c r="AI21" s="1"/>
  <c r="G21"/>
  <c r="AH21" s="1"/>
  <c r="F21"/>
  <c r="E21"/>
  <c r="D21"/>
  <c r="C21" s="1"/>
  <c r="X20"/>
  <c r="U20"/>
  <c r="R20"/>
  <c r="O20"/>
  <c r="L20"/>
  <c r="I20"/>
  <c r="H20"/>
  <c r="AI20" s="1"/>
  <c r="G20"/>
  <c r="F20"/>
  <c r="AG20" s="1"/>
  <c r="C20"/>
  <c r="X19"/>
  <c r="U19"/>
  <c r="R19"/>
  <c r="O19"/>
  <c r="L19"/>
  <c r="I19"/>
  <c r="H19"/>
  <c r="AI19" s="1"/>
  <c r="G19"/>
  <c r="F19"/>
  <c r="AG19" s="1"/>
  <c r="C19"/>
  <c r="X18"/>
  <c r="U18"/>
  <c r="R18"/>
  <c r="O18"/>
  <c r="L18"/>
  <c r="I18"/>
  <c r="H18"/>
  <c r="AI18" s="1"/>
  <c r="G18"/>
  <c r="F18"/>
  <c r="AG18" s="1"/>
  <c r="E18"/>
  <c r="C18"/>
  <c r="X17"/>
  <c r="U17"/>
  <c r="R17"/>
  <c r="O17"/>
  <c r="L17"/>
  <c r="I17"/>
  <c r="H17"/>
  <c r="AI17" s="1"/>
  <c r="G17"/>
  <c r="F17" s="1"/>
  <c r="AG17" s="1"/>
  <c r="E17"/>
  <c r="C17" s="1"/>
  <c r="X16"/>
  <c r="U16"/>
  <c r="R16"/>
  <c r="O16"/>
  <c r="L16"/>
  <c r="I16"/>
  <c r="H16"/>
  <c r="AI16" s="1"/>
  <c r="G16"/>
  <c r="F16"/>
  <c r="AG16" s="1"/>
  <c r="C16"/>
  <c r="X15"/>
  <c r="U15"/>
  <c r="R15"/>
  <c r="O15"/>
  <c r="L15"/>
  <c r="I15"/>
  <c r="H15"/>
  <c r="AI15" s="1"/>
  <c r="G15"/>
  <c r="F15"/>
  <c r="AG15" s="1"/>
  <c r="C15"/>
  <c r="X14"/>
  <c r="U14"/>
  <c r="R14"/>
  <c r="O14"/>
  <c r="L14"/>
  <c r="I14"/>
  <c r="H14"/>
  <c r="AI14" s="1"/>
  <c r="G14"/>
  <c r="F14"/>
  <c r="AG14" s="1"/>
  <c r="E14"/>
  <c r="C14"/>
  <c r="X13"/>
  <c r="U13"/>
  <c r="U11" s="1"/>
  <c r="R13"/>
  <c r="O13"/>
  <c r="O11" s="1"/>
  <c r="L13"/>
  <c r="I13"/>
  <c r="I11" s="1"/>
  <c r="H13"/>
  <c r="AI13" s="1"/>
  <c r="G13"/>
  <c r="F13" s="1"/>
  <c r="E13"/>
  <c r="C13" s="1"/>
  <c r="X12"/>
  <c r="U12"/>
  <c r="R12"/>
  <c r="O12"/>
  <c r="L12"/>
  <c r="I12"/>
  <c r="H12"/>
  <c r="AI12" s="1"/>
  <c r="G12"/>
  <c r="F12"/>
  <c r="AG12" s="1"/>
  <c r="E12"/>
  <c r="C12"/>
  <c r="AF11"/>
  <c r="AE11"/>
  <c r="AD11"/>
  <c r="AC11"/>
  <c r="AB11"/>
  <c r="AA11"/>
  <c r="Z11"/>
  <c r="Y11"/>
  <c r="X11"/>
  <c r="W11"/>
  <c r="V11"/>
  <c r="T11"/>
  <c r="S11"/>
  <c r="R11"/>
  <c r="Q11"/>
  <c r="P11"/>
  <c r="N11"/>
  <c r="M11"/>
  <c r="L11"/>
  <c r="K11"/>
  <c r="J11"/>
  <c r="H11"/>
  <c r="D11"/>
  <c r="D10" i="12"/>
  <c r="T10" s="1"/>
  <c r="F10"/>
  <c r="H10"/>
  <c r="I10"/>
  <c r="J10"/>
  <c r="L10"/>
  <c r="N10"/>
  <c r="G10"/>
  <c r="P10"/>
  <c r="R10"/>
  <c r="Q10"/>
  <c r="R85" i="7"/>
  <c r="Q85"/>
  <c r="L85" s="1"/>
  <c r="I85"/>
  <c r="C85" s="1"/>
  <c r="U84"/>
  <c r="R84"/>
  <c r="L84"/>
  <c r="I84"/>
  <c r="C84"/>
  <c r="R83"/>
  <c r="Q83"/>
  <c r="L83"/>
  <c r="V83" s="1"/>
  <c r="I83"/>
  <c r="H83"/>
  <c r="E83"/>
  <c r="C83"/>
  <c r="R82"/>
  <c r="L82"/>
  <c r="I82"/>
  <c r="C82"/>
  <c r="R81"/>
  <c r="L81" s="1"/>
  <c r="V81" s="1"/>
  <c r="I81"/>
  <c r="C81" s="1"/>
  <c r="R80"/>
  <c r="L80"/>
  <c r="V80" s="1"/>
  <c r="I80"/>
  <c r="C80"/>
  <c r="R79"/>
  <c r="L79"/>
  <c r="I79"/>
  <c r="C79"/>
  <c r="R78"/>
  <c r="L78"/>
  <c r="I78"/>
  <c r="D78"/>
  <c r="W78" s="1"/>
  <c r="R77"/>
  <c r="L77" s="1"/>
  <c r="I77"/>
  <c r="C77" s="1"/>
  <c r="R76"/>
  <c r="M76"/>
  <c r="L76"/>
  <c r="I76"/>
  <c r="C76"/>
  <c r="T75"/>
  <c r="R75"/>
  <c r="Q75"/>
  <c r="M75"/>
  <c r="I75"/>
  <c r="E75"/>
  <c r="C75" s="1"/>
  <c r="R74"/>
  <c r="L74" s="1"/>
  <c r="I74"/>
  <c r="C74" s="1"/>
  <c r="X73"/>
  <c r="R73"/>
  <c r="L73" s="1"/>
  <c r="V73" s="1"/>
  <c r="I73"/>
  <c r="C73" s="1"/>
  <c r="R72"/>
  <c r="L72" s="1"/>
  <c r="I72"/>
  <c r="C72" s="1"/>
  <c r="R71"/>
  <c r="L71" s="1"/>
  <c r="I71"/>
  <c r="C71" s="1"/>
  <c r="R70"/>
  <c r="L70" s="1"/>
  <c r="I70"/>
  <c r="C70" s="1"/>
  <c r="X69"/>
  <c r="R69"/>
  <c r="L69" s="1"/>
  <c r="I69"/>
  <c r="C69" s="1"/>
  <c r="R68"/>
  <c r="L68" s="1"/>
  <c r="I68"/>
  <c r="C68" s="1"/>
  <c r="R67"/>
  <c r="L67" s="1"/>
  <c r="I67"/>
  <c r="C67" s="1"/>
  <c r="U66"/>
  <c r="T66"/>
  <c r="S66"/>
  <c r="R66" s="1"/>
  <c r="Q66"/>
  <c r="P66"/>
  <c r="O66"/>
  <c r="M66"/>
  <c r="K66"/>
  <c r="J66"/>
  <c r="I66"/>
  <c r="H66"/>
  <c r="G66"/>
  <c r="F66"/>
  <c r="E66"/>
  <c r="D66"/>
  <c r="C66"/>
  <c r="R65"/>
  <c r="L65"/>
  <c r="I65"/>
  <c r="C65"/>
  <c r="X64"/>
  <c r="R64"/>
  <c r="L64"/>
  <c r="V64" s="1"/>
  <c r="I64"/>
  <c r="C64"/>
  <c r="X63"/>
  <c r="R63"/>
  <c r="L63"/>
  <c r="V63" s="1"/>
  <c r="I63"/>
  <c r="C63"/>
  <c r="X62"/>
  <c r="R62"/>
  <c r="L62"/>
  <c r="V62" s="1"/>
  <c r="I62"/>
  <c r="C62"/>
  <c r="X61"/>
  <c r="R61"/>
  <c r="L61"/>
  <c r="V61" s="1"/>
  <c r="I61"/>
  <c r="C61"/>
  <c r="X60"/>
  <c r="R60"/>
  <c r="L60"/>
  <c r="V60" s="1"/>
  <c r="I60"/>
  <c r="C60"/>
  <c r="X59"/>
  <c r="R59"/>
  <c r="L59"/>
  <c r="V59" s="1"/>
  <c r="I59"/>
  <c r="C59"/>
  <c r="X58"/>
  <c r="R58"/>
  <c r="L58"/>
  <c r="V58" s="1"/>
  <c r="I58"/>
  <c r="C58"/>
  <c r="X57"/>
  <c r="R57"/>
  <c r="L57"/>
  <c r="V57" s="1"/>
  <c r="I57"/>
  <c r="C57"/>
  <c r="X56"/>
  <c r="R56"/>
  <c r="L56"/>
  <c r="V56" s="1"/>
  <c r="I56"/>
  <c r="C56"/>
  <c r="X55"/>
  <c r="R55"/>
  <c r="L55"/>
  <c r="V55" s="1"/>
  <c r="I55"/>
  <c r="C55"/>
  <c r="R54"/>
  <c r="L54"/>
  <c r="I54"/>
  <c r="E54"/>
  <c r="X54" s="1"/>
  <c r="X53"/>
  <c r="R53"/>
  <c r="L53" s="1"/>
  <c r="V53" s="1"/>
  <c r="I53"/>
  <c r="E53"/>
  <c r="C53"/>
  <c r="R52"/>
  <c r="L52"/>
  <c r="I52"/>
  <c r="E52"/>
  <c r="X52" s="1"/>
  <c r="X51"/>
  <c r="R51"/>
  <c r="L51" s="1"/>
  <c r="I51"/>
  <c r="C51" s="1"/>
  <c r="X50"/>
  <c r="R50"/>
  <c r="L50" s="1"/>
  <c r="V50" s="1"/>
  <c r="I50"/>
  <c r="C50" s="1"/>
  <c r="X49"/>
  <c r="R49"/>
  <c r="L49" s="1"/>
  <c r="I49"/>
  <c r="C49" s="1"/>
  <c r="X48"/>
  <c r="R48"/>
  <c r="L48" s="1"/>
  <c r="V48" s="1"/>
  <c r="I48"/>
  <c r="C48" s="1"/>
  <c r="R47"/>
  <c r="L47" s="1"/>
  <c r="I47"/>
  <c r="C47" s="1"/>
  <c r="X46"/>
  <c r="R46"/>
  <c r="L46" s="1"/>
  <c r="I46"/>
  <c r="C46" s="1"/>
  <c r="X45"/>
  <c r="R45"/>
  <c r="L45" s="1"/>
  <c r="V45" s="1"/>
  <c r="I45"/>
  <c r="E45"/>
  <c r="C45"/>
  <c r="R44"/>
  <c r="N44"/>
  <c r="N75" s="1"/>
  <c r="I44"/>
  <c r="E44"/>
  <c r="C44"/>
  <c r="X43"/>
  <c r="R43"/>
  <c r="L43"/>
  <c r="V43" s="1"/>
  <c r="I43"/>
  <c r="C43"/>
  <c r="X42"/>
  <c r="R42"/>
  <c r="L42"/>
  <c r="V42" s="1"/>
  <c r="I42"/>
  <c r="C42"/>
  <c r="X41"/>
  <c r="R41"/>
  <c r="L41"/>
  <c r="V41" s="1"/>
  <c r="I41"/>
  <c r="C41"/>
  <c r="X40"/>
  <c r="R40"/>
  <c r="L40"/>
  <c r="V40" s="1"/>
  <c r="I40"/>
  <c r="C40"/>
  <c r="R39"/>
  <c r="L39"/>
  <c r="I39"/>
  <c r="C39"/>
  <c r="X38"/>
  <c r="R38"/>
  <c r="L38"/>
  <c r="V38" s="1"/>
  <c r="I38"/>
  <c r="C38"/>
  <c r="X37"/>
  <c r="R37"/>
  <c r="L37"/>
  <c r="V37" s="1"/>
  <c r="I37"/>
  <c r="C37"/>
  <c r="X36"/>
  <c r="R36"/>
  <c r="L36"/>
  <c r="V36" s="1"/>
  <c r="I36"/>
  <c r="C36"/>
  <c r="X35"/>
  <c r="R35"/>
  <c r="L35"/>
  <c r="V35" s="1"/>
  <c r="I35"/>
  <c r="C35"/>
  <c r="X34"/>
  <c r="R34"/>
  <c r="L34"/>
  <c r="V34" s="1"/>
  <c r="I34"/>
  <c r="C34"/>
  <c r="X33"/>
  <c r="R33"/>
  <c r="L33"/>
  <c r="V33" s="1"/>
  <c r="I33"/>
  <c r="C33"/>
  <c r="X32"/>
  <c r="R32"/>
  <c r="L32"/>
  <c r="V32" s="1"/>
  <c r="I32"/>
  <c r="C32"/>
  <c r="R31"/>
  <c r="N31"/>
  <c r="X31" s="1"/>
  <c r="I31"/>
  <c r="C31" s="1"/>
  <c r="X30"/>
  <c r="R30"/>
  <c r="M30"/>
  <c r="L30"/>
  <c r="V30" s="1"/>
  <c r="I30"/>
  <c r="C30"/>
  <c r="X29"/>
  <c r="R29"/>
  <c r="L29"/>
  <c r="V29" s="1"/>
  <c r="I29"/>
  <c r="C29"/>
  <c r="X28"/>
  <c r="R28"/>
  <c r="L28"/>
  <c r="V28" s="1"/>
  <c r="I28"/>
  <c r="C28"/>
  <c r="X27"/>
  <c r="R27"/>
  <c r="L27"/>
  <c r="V27" s="1"/>
  <c r="I27"/>
  <c r="C27"/>
  <c r="X26"/>
  <c r="R26"/>
  <c r="L26"/>
  <c r="V26" s="1"/>
  <c r="I26"/>
  <c r="C26"/>
  <c r="R25"/>
  <c r="L25"/>
  <c r="I25"/>
  <c r="E25"/>
  <c r="X25" s="1"/>
  <c r="X24"/>
  <c r="R24"/>
  <c r="L24" s="1"/>
  <c r="V24" s="1"/>
  <c r="I24"/>
  <c r="E24"/>
  <c r="C24"/>
  <c r="R23"/>
  <c r="L23"/>
  <c r="I23"/>
  <c r="E23"/>
  <c r="X23" s="1"/>
  <c r="X22"/>
  <c r="R22"/>
  <c r="L22" s="1"/>
  <c r="I22"/>
  <c r="C22" s="1"/>
  <c r="X21"/>
  <c r="R21"/>
  <c r="L21" s="1"/>
  <c r="V21" s="1"/>
  <c r="I21"/>
  <c r="C21" s="1"/>
  <c r="X20"/>
  <c r="R20"/>
  <c r="L20" s="1"/>
  <c r="I20"/>
  <c r="C20" s="1"/>
  <c r="X19"/>
  <c r="R19"/>
  <c r="L19" s="1"/>
  <c r="V19" s="1"/>
  <c r="I19"/>
  <c r="C19" s="1"/>
  <c r="X18"/>
  <c r="R18"/>
  <c r="L18" s="1"/>
  <c r="I18"/>
  <c r="C18" s="1"/>
  <c r="X17"/>
  <c r="R17"/>
  <c r="L17" s="1"/>
  <c r="V17" s="1"/>
  <c r="I17"/>
  <c r="C17" s="1"/>
  <c r="X16"/>
  <c r="R16"/>
  <c r="L16" s="1"/>
  <c r="V16" s="1"/>
  <c r="I16"/>
  <c r="E16"/>
  <c r="C16"/>
  <c r="X15"/>
  <c r="R15"/>
  <c r="L15"/>
  <c r="V15" s="1"/>
  <c r="I15"/>
  <c r="C15"/>
  <c r="R14"/>
  <c r="L14"/>
  <c r="I14"/>
  <c r="E14"/>
  <c r="X14" s="1"/>
  <c r="X13"/>
  <c r="R13"/>
  <c r="L13" s="1"/>
  <c r="I13"/>
  <c r="C13" s="1"/>
  <c r="X12"/>
  <c r="R12"/>
  <c r="L12" s="1"/>
  <c r="V12" s="1"/>
  <c r="I12"/>
  <c r="C12" s="1"/>
  <c r="X11"/>
  <c r="R11"/>
  <c r="L11" s="1"/>
  <c r="I11"/>
  <c r="C11" s="1"/>
  <c r="U10"/>
  <c r="T10"/>
  <c r="S10"/>
  <c r="Q10"/>
  <c r="P10"/>
  <c r="O10"/>
  <c r="M10"/>
  <c r="K10"/>
  <c r="J10"/>
  <c r="I10"/>
  <c r="H10"/>
  <c r="G10"/>
  <c r="F10"/>
  <c r="E10"/>
  <c r="D10"/>
  <c r="U9"/>
  <c r="T9"/>
  <c r="S9"/>
  <c r="Q9"/>
  <c r="P9"/>
  <c r="O9"/>
  <c r="M9"/>
  <c r="W9" s="1"/>
  <c r="K9"/>
  <c r="J9"/>
  <c r="I9"/>
  <c r="H9"/>
  <c r="G9"/>
  <c r="F9"/>
  <c r="E9"/>
  <c r="D9"/>
  <c r="E48" i="5"/>
  <c r="E47"/>
  <c r="C46"/>
  <c r="F45"/>
  <c r="E45"/>
  <c r="F44"/>
  <c r="E44"/>
  <c r="F43"/>
  <c r="E43"/>
  <c r="E42"/>
  <c r="F41"/>
  <c r="E41"/>
  <c r="F40"/>
  <c r="E40"/>
  <c r="F39"/>
  <c r="E39"/>
  <c r="F38"/>
  <c r="E38"/>
  <c r="F37"/>
  <c r="E37"/>
  <c r="F36"/>
  <c r="E36"/>
  <c r="F35"/>
  <c r="E35"/>
  <c r="F34"/>
  <c r="E34"/>
  <c r="F33"/>
  <c r="E33"/>
  <c r="F32"/>
  <c r="E32"/>
  <c r="F31"/>
  <c r="E31"/>
  <c r="F30"/>
  <c r="E30"/>
  <c r="F29"/>
  <c r="E29"/>
  <c r="D28"/>
  <c r="E28" s="1"/>
  <c r="C28"/>
  <c r="C27"/>
  <c r="E27" s="1"/>
  <c r="E26"/>
  <c r="E25"/>
  <c r="E24"/>
  <c r="E23"/>
  <c r="E22"/>
  <c r="E21"/>
  <c r="E20"/>
  <c r="E19"/>
  <c r="E18"/>
  <c r="E17"/>
  <c r="E16"/>
  <c r="E15"/>
  <c r="E14"/>
  <c r="E13"/>
  <c r="C12"/>
  <c r="F12" s="1"/>
  <c r="D11"/>
  <c r="E11" s="1"/>
  <c r="C11"/>
  <c r="D10"/>
  <c r="E10" s="1"/>
  <c r="C10"/>
  <c r="D9"/>
  <c r="E9" s="1"/>
  <c r="C8"/>
  <c r="G34" i="6"/>
  <c r="F34"/>
  <c r="H33"/>
  <c r="G33"/>
  <c r="F33" s="1"/>
  <c r="C33"/>
  <c r="F32"/>
  <c r="C32"/>
  <c r="F31"/>
  <c r="C31"/>
  <c r="F30"/>
  <c r="C30"/>
  <c r="F29"/>
  <c r="C29"/>
  <c r="F28"/>
  <c r="E28"/>
  <c r="D28"/>
  <c r="C28"/>
  <c r="F27"/>
  <c r="D27"/>
  <c r="C27" s="1"/>
  <c r="K26"/>
  <c r="F26"/>
  <c r="D26"/>
  <c r="J26" s="1"/>
  <c r="G25"/>
  <c r="J25" s="1"/>
  <c r="D25"/>
  <c r="C25" s="1"/>
  <c r="F24"/>
  <c r="D24"/>
  <c r="C24"/>
  <c r="G23"/>
  <c r="J23" s="1"/>
  <c r="F23"/>
  <c r="I23" s="1"/>
  <c r="D23"/>
  <c r="C23"/>
  <c r="J22"/>
  <c r="H22"/>
  <c r="K22" s="1"/>
  <c r="G22"/>
  <c r="F22"/>
  <c r="I22" s="1"/>
  <c r="D22"/>
  <c r="C22"/>
  <c r="F21"/>
  <c r="C21"/>
  <c r="J20"/>
  <c r="H20"/>
  <c r="K20" s="1"/>
  <c r="G20"/>
  <c r="F20"/>
  <c r="I20" s="1"/>
  <c r="D20"/>
  <c r="C20"/>
  <c r="H19"/>
  <c r="K19" s="1"/>
  <c r="G19"/>
  <c r="F19"/>
  <c r="E19"/>
  <c r="D19"/>
  <c r="J19" s="1"/>
  <c r="F18"/>
  <c r="D18"/>
  <c r="C18"/>
  <c r="F17"/>
  <c r="C17"/>
  <c r="F16"/>
  <c r="C16"/>
  <c r="F15"/>
  <c r="C15"/>
  <c r="F14"/>
  <c r="C14"/>
  <c r="F13"/>
  <c r="C13"/>
  <c r="F12"/>
  <c r="C12"/>
  <c r="H11"/>
  <c r="K11" s="1"/>
  <c r="G11"/>
  <c r="F11"/>
  <c r="E11"/>
  <c r="D11"/>
  <c r="J11" s="1"/>
  <c r="G10"/>
  <c r="E10"/>
  <c r="E9" s="1"/>
  <c r="E8" s="1"/>
  <c r="F80" i="3"/>
  <c r="D80"/>
  <c r="F79"/>
  <c r="D79"/>
  <c r="F78"/>
  <c r="D78"/>
  <c r="F77"/>
  <c r="D77"/>
  <c r="F76"/>
  <c r="D76"/>
  <c r="G74"/>
  <c r="G73"/>
  <c r="G72"/>
  <c r="G71"/>
  <c r="F69"/>
  <c r="E69"/>
  <c r="G69" s="1"/>
  <c r="D69"/>
  <c r="C69"/>
  <c r="F68"/>
  <c r="D68"/>
  <c r="F67"/>
  <c r="D67"/>
  <c r="F66"/>
  <c r="D66"/>
  <c r="F65"/>
  <c r="D65"/>
  <c r="G64"/>
  <c r="F64"/>
  <c r="H64" s="1"/>
  <c r="D64"/>
  <c r="E63"/>
  <c r="F63" s="1"/>
  <c r="D63"/>
  <c r="C63"/>
  <c r="G62"/>
  <c r="F62"/>
  <c r="H62" s="1"/>
  <c r="D62"/>
  <c r="F61"/>
  <c r="F60"/>
  <c r="F59"/>
  <c r="F58"/>
  <c r="F57"/>
  <c r="D57"/>
  <c r="F56"/>
  <c r="C56"/>
  <c r="G56" s="1"/>
  <c r="G55"/>
  <c r="F55"/>
  <c r="H55" s="1"/>
  <c r="D55"/>
  <c r="G54"/>
  <c r="F54"/>
  <c r="H54" s="1"/>
  <c r="D54"/>
  <c r="G53"/>
  <c r="F53"/>
  <c r="H53" s="1"/>
  <c r="D53"/>
  <c r="G52"/>
  <c r="F52"/>
  <c r="H52" s="1"/>
  <c r="D52"/>
  <c r="F51"/>
  <c r="D51"/>
  <c r="F50"/>
  <c r="F49"/>
  <c r="G48"/>
  <c r="F48"/>
  <c r="H48" s="1"/>
  <c r="D48"/>
  <c r="F47"/>
  <c r="E47"/>
  <c r="G47" s="1"/>
  <c r="F46"/>
  <c r="H46" s="1"/>
  <c r="E46"/>
  <c r="G46" s="1"/>
  <c r="D46"/>
  <c r="C46"/>
  <c r="G45"/>
  <c r="F45"/>
  <c r="H45" s="1"/>
  <c r="D45"/>
  <c r="G44"/>
  <c r="G43"/>
  <c r="F43"/>
  <c r="H43" s="1"/>
  <c r="D43"/>
  <c r="F42"/>
  <c r="H42" s="1"/>
  <c r="E42"/>
  <c r="G42" s="1"/>
  <c r="D42"/>
  <c r="C42"/>
  <c r="G41"/>
  <c r="F41"/>
  <c r="H41" s="1"/>
  <c r="D41"/>
  <c r="D40"/>
  <c r="F39"/>
  <c r="D39"/>
  <c r="G38"/>
  <c r="F38"/>
  <c r="H38" s="1"/>
  <c r="D38"/>
  <c r="G37"/>
  <c r="F37"/>
  <c r="H37" s="1"/>
  <c r="D37"/>
  <c r="G36"/>
  <c r="F36"/>
  <c r="H36" s="1"/>
  <c r="D36"/>
  <c r="G35"/>
  <c r="F35"/>
  <c r="H35" s="1"/>
  <c r="D35"/>
  <c r="F34"/>
  <c r="H34" s="1"/>
  <c r="E34"/>
  <c r="G34" s="1"/>
  <c r="D34"/>
  <c r="C34"/>
  <c r="D33"/>
  <c r="F32"/>
  <c r="D32"/>
  <c r="F31"/>
  <c r="D31"/>
  <c r="F30"/>
  <c r="D30"/>
  <c r="G29"/>
  <c r="F29"/>
  <c r="H29" s="1"/>
  <c r="D29"/>
  <c r="G28"/>
  <c r="F28"/>
  <c r="H28" s="1"/>
  <c r="D28"/>
  <c r="G27"/>
  <c r="F27"/>
  <c r="H27" s="1"/>
  <c r="D27"/>
  <c r="F26"/>
  <c r="H26" s="1"/>
  <c r="E26"/>
  <c r="G26" s="1"/>
  <c r="D26"/>
  <c r="C26"/>
  <c r="F25"/>
  <c r="D25"/>
  <c r="F24"/>
  <c r="D24"/>
  <c r="F23"/>
  <c r="D23"/>
  <c r="F22"/>
  <c r="D22"/>
  <c r="F21"/>
  <c r="D21"/>
  <c r="F20"/>
  <c r="D20"/>
  <c r="F19"/>
  <c r="E19"/>
  <c r="D19"/>
  <c r="C19"/>
  <c r="D18"/>
  <c r="F17"/>
  <c r="D17"/>
  <c r="F16"/>
  <c r="F15"/>
  <c r="D15"/>
  <c r="F14"/>
  <c r="D14"/>
  <c r="G13"/>
  <c r="F13"/>
  <c r="H13" s="1"/>
  <c r="D13"/>
  <c r="G12"/>
  <c r="F12"/>
  <c r="H12" s="1"/>
  <c r="D12"/>
  <c r="F11"/>
  <c r="H11" s="1"/>
  <c r="E11"/>
  <c r="G11" s="1"/>
  <c r="D11"/>
  <c r="C11"/>
  <c r="E10"/>
  <c r="G10" s="1"/>
  <c r="C10"/>
  <c r="E9"/>
  <c r="G9" s="1"/>
  <c r="C9"/>
  <c r="E8"/>
  <c r="G8" s="1"/>
  <c r="C8"/>
  <c r="E41" i="1"/>
  <c r="F40"/>
  <c r="E40"/>
  <c r="E39"/>
  <c r="D38"/>
  <c r="E38" s="1"/>
  <c r="C38"/>
  <c r="E36"/>
  <c r="C36"/>
  <c r="D35"/>
  <c r="D32"/>
  <c r="D31"/>
  <c r="E31" s="1"/>
  <c r="E30"/>
  <c r="C30"/>
  <c r="F30" s="1"/>
  <c r="C29"/>
  <c r="F29" s="1"/>
  <c r="D28"/>
  <c r="C28"/>
  <c r="C27"/>
  <c r="E27" s="1"/>
  <c r="E26"/>
  <c r="C26"/>
  <c r="F26" s="1"/>
  <c r="D25"/>
  <c r="E25" s="1"/>
  <c r="C25"/>
  <c r="D24"/>
  <c r="C24"/>
  <c r="E24" s="1"/>
  <c r="D23"/>
  <c r="F23" s="1"/>
  <c r="C23"/>
  <c r="E23" s="1"/>
  <c r="D22"/>
  <c r="F22" s="1"/>
  <c r="C22"/>
  <c r="E22" s="1"/>
  <c r="D21"/>
  <c r="F21" s="1"/>
  <c r="C21"/>
  <c r="D20"/>
  <c r="F20" s="1"/>
  <c r="C20"/>
  <c r="D19"/>
  <c r="E19" s="1"/>
  <c r="D18"/>
  <c r="E18" s="1"/>
  <c r="D17"/>
  <c r="E17" s="1"/>
  <c r="D16"/>
  <c r="E16" s="1"/>
  <c r="E15"/>
  <c r="D14"/>
  <c r="E14" s="1"/>
  <c r="E13"/>
  <c r="D13"/>
  <c r="F13" s="1"/>
  <c r="D12"/>
  <c r="E12" s="1"/>
  <c r="C12"/>
  <c r="F11"/>
  <c r="E11"/>
  <c r="F10"/>
  <c r="E10"/>
  <c r="D9"/>
  <c r="E9" s="1"/>
  <c r="C9"/>
  <c r="D8"/>
  <c r="D33" s="1"/>
  <c r="C8"/>
  <c r="C33" s="1"/>
  <c r="C37" s="1"/>
  <c r="A3" i="14"/>
  <c r="A1"/>
  <c r="A3" i="12"/>
  <c r="A1"/>
  <c r="A1" i="11"/>
  <c r="A3" i="7"/>
  <c r="A1"/>
  <c r="A3" i="5"/>
  <c r="A1"/>
  <c r="A3" i="6"/>
  <c r="A1"/>
  <c r="A3" i="3"/>
  <c r="A1"/>
  <c r="AG13" i="14" l="1"/>
  <c r="AI11"/>
  <c r="AG22"/>
  <c r="AG21"/>
  <c r="AG25"/>
  <c r="E11"/>
  <c r="C23"/>
  <c r="C11" s="1"/>
  <c r="F24"/>
  <c r="AG24" s="1"/>
  <c r="C25"/>
  <c r="F26"/>
  <c r="AG26" s="1"/>
  <c r="F27"/>
  <c r="AG27" s="1"/>
  <c r="G28"/>
  <c r="G29"/>
  <c r="C30"/>
  <c r="F30"/>
  <c r="C31"/>
  <c r="AG31" s="1"/>
  <c r="X10" i="12"/>
  <c r="V11" i="7"/>
  <c r="L75"/>
  <c r="V75" s="1"/>
  <c r="X75"/>
  <c r="N66"/>
  <c r="X66" s="1"/>
  <c r="V13"/>
  <c r="V18"/>
  <c r="V20"/>
  <c r="V22"/>
  <c r="V46"/>
  <c r="V49"/>
  <c r="V51"/>
  <c r="L66"/>
  <c r="V66" s="1"/>
  <c r="V69"/>
  <c r="N10"/>
  <c r="R10"/>
  <c r="R9" s="1"/>
  <c r="C14"/>
  <c r="C10" s="1"/>
  <c r="C9" s="1"/>
  <c r="C23"/>
  <c r="V23" s="1"/>
  <c r="C25"/>
  <c r="V25" s="1"/>
  <c r="L31"/>
  <c r="V31" s="1"/>
  <c r="L44"/>
  <c r="V44" s="1"/>
  <c r="X44"/>
  <c r="C52"/>
  <c r="V52" s="1"/>
  <c r="C54"/>
  <c r="V54" s="1"/>
  <c r="C78"/>
  <c r="V78" s="1"/>
  <c r="F9" i="5"/>
  <c r="F10"/>
  <c r="F11"/>
  <c r="E12"/>
  <c r="F27"/>
  <c r="F28"/>
  <c r="D8"/>
  <c r="G9" i="6"/>
  <c r="D10"/>
  <c r="D9" s="1"/>
  <c r="D8" s="1"/>
  <c r="F10"/>
  <c r="H10"/>
  <c r="C11"/>
  <c r="C10" s="1"/>
  <c r="C9" s="1"/>
  <c r="C8" s="1"/>
  <c r="C19"/>
  <c r="I19" s="1"/>
  <c r="F25"/>
  <c r="I25" s="1"/>
  <c r="C26"/>
  <c r="I26" s="1"/>
  <c r="H63" i="3"/>
  <c r="F10"/>
  <c r="H56"/>
  <c r="D56"/>
  <c r="D10" s="1"/>
  <c r="D9" s="1"/>
  <c r="D8" s="1"/>
  <c r="G63"/>
  <c r="E28" i="1"/>
  <c r="E37"/>
  <c r="C35"/>
  <c r="E35" s="1"/>
  <c r="F33"/>
  <c r="E33"/>
  <c r="F8"/>
  <c r="F9"/>
  <c r="F12"/>
  <c r="F14"/>
  <c r="E20"/>
  <c r="E21"/>
  <c r="F25"/>
  <c r="E29"/>
  <c r="D34"/>
  <c r="E34" s="1"/>
  <c r="F38"/>
  <c r="E8"/>
  <c r="B49" i="14"/>
  <c r="B45"/>
  <c r="B42"/>
  <c r="V11" i="11"/>
  <c r="Y12" i="19"/>
  <c r="X12"/>
  <c r="W12"/>
  <c r="V12"/>
  <c r="U12"/>
  <c r="T12"/>
  <c r="S12"/>
  <c r="R12"/>
  <c r="Q12"/>
  <c r="P12"/>
  <c r="O12"/>
  <c r="N14"/>
  <c r="N27"/>
  <c r="N35"/>
  <c r="N46"/>
  <c r="N68"/>
  <c r="N85"/>
  <c r="N84" s="1"/>
  <c r="N125"/>
  <c r="N222"/>
  <c r="N231"/>
  <c r="N239"/>
  <c r="N124" s="1"/>
  <c r="N244"/>
  <c r="N253"/>
  <c r="N292"/>
  <c r="N294"/>
  <c r="N357"/>
  <c r="N364"/>
  <c r="N366"/>
  <c r="N356" s="1"/>
  <c r="N368"/>
  <c r="N370"/>
  <c r="N378"/>
  <c r="N415"/>
  <c r="N417"/>
  <c r="N458"/>
  <c r="K12"/>
  <c r="M12"/>
  <c r="I12"/>
  <c r="Z12" s="1"/>
  <c r="I378"/>
  <c r="Z378" s="1"/>
  <c r="W496"/>
  <c r="Z496" s="1"/>
  <c r="V496"/>
  <c r="S491"/>
  <c r="Z24"/>
  <c r="Z25"/>
  <c r="Z26"/>
  <c r="Z27"/>
  <c r="Z28"/>
  <c r="Z29"/>
  <c r="Z30"/>
  <c r="Z31"/>
  <c r="Z32"/>
  <c r="Z33"/>
  <c r="Z34"/>
  <c r="Z35"/>
  <c r="Z36"/>
  <c r="Z37"/>
  <c r="Z38"/>
  <c r="Z39"/>
  <c r="Z40"/>
  <c r="Z41"/>
  <c r="Z42"/>
  <c r="Z43"/>
  <c r="Z44"/>
  <c r="Z45"/>
  <c r="Z46"/>
  <c r="Z47"/>
  <c r="Z48"/>
  <c r="Z49"/>
  <c r="Z50"/>
  <c r="Z51"/>
  <c r="Z52"/>
  <c r="Z53"/>
  <c r="Z54"/>
  <c r="Z55"/>
  <c r="Z56"/>
  <c r="Z57"/>
  <c r="Z58"/>
  <c r="Z59"/>
  <c r="Z60"/>
  <c r="Z61"/>
  <c r="Z62"/>
  <c r="Z63"/>
  <c r="Z64"/>
  <c r="Z65"/>
  <c r="Z66"/>
  <c r="Z67"/>
  <c r="Z68"/>
  <c r="Z69"/>
  <c r="Z70"/>
  <c r="Z71"/>
  <c r="Z72"/>
  <c r="Z73"/>
  <c r="Z74"/>
  <c r="Z75"/>
  <c r="Z76"/>
  <c r="Z77"/>
  <c r="Z78"/>
  <c r="Z79"/>
  <c r="Z80"/>
  <c r="Z81"/>
  <c r="Z82"/>
  <c r="Z83"/>
  <c r="Z84"/>
  <c r="Z85"/>
  <c r="Z86"/>
  <c r="Z87"/>
  <c r="Z88"/>
  <c r="Z89"/>
  <c r="Z90"/>
  <c r="Z91"/>
  <c r="Z92"/>
  <c r="Z93"/>
  <c r="Z94"/>
  <c r="Z95"/>
  <c r="Z96"/>
  <c r="Z97"/>
  <c r="Z98"/>
  <c r="Z99"/>
  <c r="Z100"/>
  <c r="Z101"/>
  <c r="Z102"/>
  <c r="Z103"/>
  <c r="Z104"/>
  <c r="Z105"/>
  <c r="Z106"/>
  <c r="Z107"/>
  <c r="Z108"/>
  <c r="Z109"/>
  <c r="Z110"/>
  <c r="Z111"/>
  <c r="Z112"/>
  <c r="Z113"/>
  <c r="Z114"/>
  <c r="Z115"/>
  <c r="Z116"/>
  <c r="Z117"/>
  <c r="Z118"/>
  <c r="Z119"/>
  <c r="Z120"/>
  <c r="Z121"/>
  <c r="Z122"/>
  <c r="Z123"/>
  <c r="Z124"/>
  <c r="Z125"/>
  <c r="Z126"/>
  <c r="Z127"/>
  <c r="Z128"/>
  <c r="Z129"/>
  <c r="Z130"/>
  <c r="Z131"/>
  <c r="Z132"/>
  <c r="Z133"/>
  <c r="Z134"/>
  <c r="Z135"/>
  <c r="Z136"/>
  <c r="Z137"/>
  <c r="Z138"/>
  <c r="Z139"/>
  <c r="Z140"/>
  <c r="Z141"/>
  <c r="Z142"/>
  <c r="Z143"/>
  <c r="Z144"/>
  <c r="Z145"/>
  <c r="Z146"/>
  <c r="Z147"/>
  <c r="Z148"/>
  <c r="Z149"/>
  <c r="Z150"/>
  <c r="Z151"/>
  <c r="Z152"/>
  <c r="Z153"/>
  <c r="Z154"/>
  <c r="Z155"/>
  <c r="Z156"/>
  <c r="Z157"/>
  <c r="Z158"/>
  <c r="Z159"/>
  <c r="Z160"/>
  <c r="Z161"/>
  <c r="Z162"/>
  <c r="Z163"/>
  <c r="Z164"/>
  <c r="Z165"/>
  <c r="Z166"/>
  <c r="Z167"/>
  <c r="Z168"/>
  <c r="Z169"/>
  <c r="Z170"/>
  <c r="Z171"/>
  <c r="Z172"/>
  <c r="Z173"/>
  <c r="Z174"/>
  <c r="Z175"/>
  <c r="Z176"/>
  <c r="Z177"/>
  <c r="Z178"/>
  <c r="Z179"/>
  <c r="Z180"/>
  <c r="Z181"/>
  <c r="Z182"/>
  <c r="Z183"/>
  <c r="Z184"/>
  <c r="Z185"/>
  <c r="Z186"/>
  <c r="Z187"/>
  <c r="Z188"/>
  <c r="Z189"/>
  <c r="Z190"/>
  <c r="Z191"/>
  <c r="Z192"/>
  <c r="Z193"/>
  <c r="Z194"/>
  <c r="Z195"/>
  <c r="Z196"/>
  <c r="Z197"/>
  <c r="Z198"/>
  <c r="Z199"/>
  <c r="Z200"/>
  <c r="Z201"/>
  <c r="Z202"/>
  <c r="Z203"/>
  <c r="Z204"/>
  <c r="Z205"/>
  <c r="Z206"/>
  <c r="Z207"/>
  <c r="Z208"/>
  <c r="Z209"/>
  <c r="Z210"/>
  <c r="Z211"/>
  <c r="Z212"/>
  <c r="Z213"/>
  <c r="Z214"/>
  <c r="Z215"/>
  <c r="Z216"/>
  <c r="Z217"/>
  <c r="Z218"/>
  <c r="Z219"/>
  <c r="Z220"/>
  <c r="Z221"/>
  <c r="Z222"/>
  <c r="Z223"/>
  <c r="Z224"/>
  <c r="Z225"/>
  <c r="Z226"/>
  <c r="Z227"/>
  <c r="Z228"/>
  <c r="Z229"/>
  <c r="Z230"/>
  <c r="Z231"/>
  <c r="Z232"/>
  <c r="Z233"/>
  <c r="Z234"/>
  <c r="Z235"/>
  <c r="Z236"/>
  <c r="Z237"/>
  <c r="Z238"/>
  <c r="Z239"/>
  <c r="Z240"/>
  <c r="Z241"/>
  <c r="Z242"/>
  <c r="Z243"/>
  <c r="Z244"/>
  <c r="Z245"/>
  <c r="Z246"/>
  <c r="Z247"/>
  <c r="Z248"/>
  <c r="Z249"/>
  <c r="Z250"/>
  <c r="Z251"/>
  <c r="Z252"/>
  <c r="Z253"/>
  <c r="Z254"/>
  <c r="Z255"/>
  <c r="Z256"/>
  <c r="Z257"/>
  <c r="Z258"/>
  <c r="Z259"/>
  <c r="Z260"/>
  <c r="Z261"/>
  <c r="Z262"/>
  <c r="Z263"/>
  <c r="Z264"/>
  <c r="Z265"/>
  <c r="Z266"/>
  <c r="Z267"/>
  <c r="Z268"/>
  <c r="Z269"/>
  <c r="Z270"/>
  <c r="Z271"/>
  <c r="Z272"/>
  <c r="Z273"/>
  <c r="Z274"/>
  <c r="Z275"/>
  <c r="Z276"/>
  <c r="Z277"/>
  <c r="Z278"/>
  <c r="Z279"/>
  <c r="Z280"/>
  <c r="Z281"/>
  <c r="Z282"/>
  <c r="Z283"/>
  <c r="Z284"/>
  <c r="Z285"/>
  <c r="Z286"/>
  <c r="Z287"/>
  <c r="Z288"/>
  <c r="Z289"/>
  <c r="Z290"/>
  <c r="Z291"/>
  <c r="Z292"/>
  <c r="Z293"/>
  <c r="Z294"/>
  <c r="Z295"/>
  <c r="Z296"/>
  <c r="Z297"/>
  <c r="Z298"/>
  <c r="Z299"/>
  <c r="Z300"/>
  <c r="Z301"/>
  <c r="Z302"/>
  <c r="Z303"/>
  <c r="Z304"/>
  <c r="Z305"/>
  <c r="Z306"/>
  <c r="Z307"/>
  <c r="Z308"/>
  <c r="Z309"/>
  <c r="Z310"/>
  <c r="Z311"/>
  <c r="Z312"/>
  <c r="Z313"/>
  <c r="Z314"/>
  <c r="Z315"/>
  <c r="Z316"/>
  <c r="Z317"/>
  <c r="Z318"/>
  <c r="Z319"/>
  <c r="Z320"/>
  <c r="Z321"/>
  <c r="Z322"/>
  <c r="Z323"/>
  <c r="Z324"/>
  <c r="Z325"/>
  <c r="Z326"/>
  <c r="Z327"/>
  <c r="Z328"/>
  <c r="Z329"/>
  <c r="Z330"/>
  <c r="Z331"/>
  <c r="Z332"/>
  <c r="Z333"/>
  <c r="Z334"/>
  <c r="Z335"/>
  <c r="Z336"/>
  <c r="Z337"/>
  <c r="Z338"/>
  <c r="Z339"/>
  <c r="Z340"/>
  <c r="Z341"/>
  <c r="Z342"/>
  <c r="Z343"/>
  <c r="Z344"/>
  <c r="Z345"/>
  <c r="Z346"/>
  <c r="Z347"/>
  <c r="Z348"/>
  <c r="Z349"/>
  <c r="Z350"/>
  <c r="Z351"/>
  <c r="Z352"/>
  <c r="Z353"/>
  <c r="Z354"/>
  <c r="Z355"/>
  <c r="Z356"/>
  <c r="Z357"/>
  <c r="Z358"/>
  <c r="Z359"/>
  <c r="Z360"/>
  <c r="Z361"/>
  <c r="Z362"/>
  <c r="Z363"/>
  <c r="Z364"/>
  <c r="Z365"/>
  <c r="Z366"/>
  <c r="Z367"/>
  <c r="Z368"/>
  <c r="Z369"/>
  <c r="Z370"/>
  <c r="Z371"/>
  <c r="Z372"/>
  <c r="Z373"/>
  <c r="Z374"/>
  <c r="Z375"/>
  <c r="Z376"/>
  <c r="Z377"/>
  <c r="Z379"/>
  <c r="Z380"/>
  <c r="Z381"/>
  <c r="Z382"/>
  <c r="Z383"/>
  <c r="Z384"/>
  <c r="Z385"/>
  <c r="Z386"/>
  <c r="Z387"/>
  <c r="Z388"/>
  <c r="Z389"/>
  <c r="Z390"/>
  <c r="Z391"/>
  <c r="Z392"/>
  <c r="Z393"/>
  <c r="Z394"/>
  <c r="Z395"/>
  <c r="Z396"/>
  <c r="Z397"/>
  <c r="Z398"/>
  <c r="Z399"/>
  <c r="Z400"/>
  <c r="Z401"/>
  <c r="Z402"/>
  <c r="Z403"/>
  <c r="Z404"/>
  <c r="Z405"/>
  <c r="Z406"/>
  <c r="Z407"/>
  <c r="Z408"/>
  <c r="Z409"/>
  <c r="Z410"/>
  <c r="Z411"/>
  <c r="Z412"/>
  <c r="Z413"/>
  <c r="Z414"/>
  <c r="Z415"/>
  <c r="Z416"/>
  <c r="Z417"/>
  <c r="Z418"/>
  <c r="Z419"/>
  <c r="Z420"/>
  <c r="Z421"/>
  <c r="Z422"/>
  <c r="Z423"/>
  <c r="Z424"/>
  <c r="Z425"/>
  <c r="Z426"/>
  <c r="Z427"/>
  <c r="Z428"/>
  <c r="Z429"/>
  <c r="Z430"/>
  <c r="Z431"/>
  <c r="Z432"/>
  <c r="Z433"/>
  <c r="Z434"/>
  <c r="Z435"/>
  <c r="Z436"/>
  <c r="Z437"/>
  <c r="Z438"/>
  <c r="Z439"/>
  <c r="Z440"/>
  <c r="Z441"/>
  <c r="Z442"/>
  <c r="Z443"/>
  <c r="Z444"/>
  <c r="Z445"/>
  <c r="Z446"/>
  <c r="Z447"/>
  <c r="Z448"/>
  <c r="Z449"/>
  <c r="Z450"/>
  <c r="Z451"/>
  <c r="Z452"/>
  <c r="Z453"/>
  <c r="Z454"/>
  <c r="Z455"/>
  <c r="Z456"/>
  <c r="Z457"/>
  <c r="Z458"/>
  <c r="Z459"/>
  <c r="Z460"/>
  <c r="Z461"/>
  <c r="Z462"/>
  <c r="Z463"/>
  <c r="Z464"/>
  <c r="Z465"/>
  <c r="Z466"/>
  <c r="Z467"/>
  <c r="Z468"/>
  <c r="Z469"/>
  <c r="Z470"/>
  <c r="Z471"/>
  <c r="Z472"/>
  <c r="Z473"/>
  <c r="Z474"/>
  <c r="Z475"/>
  <c r="Z476"/>
  <c r="Z477"/>
  <c r="Z478"/>
  <c r="Z479"/>
  <c r="Z480"/>
  <c r="Z481"/>
  <c r="Z482"/>
  <c r="Z483"/>
  <c r="Z484"/>
  <c r="Z485"/>
  <c r="Z486"/>
  <c r="Z487"/>
  <c r="Z488"/>
  <c r="Z489"/>
  <c r="Z490"/>
  <c r="Z492"/>
  <c r="Z493"/>
  <c r="Z494"/>
  <c r="Z495"/>
  <c r="Z497"/>
  <c r="Z498"/>
  <c r="Z499"/>
  <c r="Z500"/>
  <c r="Z501"/>
  <c r="Z502"/>
  <c r="Z503"/>
  <c r="Z504"/>
  <c r="Z505"/>
  <c r="Z506"/>
  <c r="Z507"/>
  <c r="Z508"/>
  <c r="Z509"/>
  <c r="Z510"/>
  <c r="Z511"/>
  <c r="Z512"/>
  <c r="Z513"/>
  <c r="Z514"/>
  <c r="Z515"/>
  <c r="Z516"/>
  <c r="Z517"/>
  <c r="Z518"/>
  <c r="Z519"/>
  <c r="Z520"/>
  <c r="Z521"/>
  <c r="Z522"/>
  <c r="Z523"/>
  <c r="Z524"/>
  <c r="Z525"/>
  <c r="Z526"/>
  <c r="Z527"/>
  <c r="Z528"/>
  <c r="Z529"/>
  <c r="Z530"/>
  <c r="Z531"/>
  <c r="Z532"/>
  <c r="Z533"/>
  <c r="Z534"/>
  <c r="Z535"/>
  <c r="Z536"/>
  <c r="Z537"/>
  <c r="Z538"/>
  <c r="Z539"/>
  <c r="Z540"/>
  <c r="Z541"/>
  <c r="Z542"/>
  <c r="Z543"/>
  <c r="Z544"/>
  <c r="Z545"/>
  <c r="Z546"/>
  <c r="Z547"/>
  <c r="Z548"/>
  <c r="Z549"/>
  <c r="Z550"/>
  <c r="Z551"/>
  <c r="Z552"/>
  <c r="Z553"/>
  <c r="Z554"/>
  <c r="Z555"/>
  <c r="Z556"/>
  <c r="Z557"/>
  <c r="Z558"/>
  <c r="Z559"/>
  <c r="Z560"/>
  <c r="Z561"/>
  <c r="Z562"/>
  <c r="Z563"/>
  <c r="Z564"/>
  <c r="Z565"/>
  <c r="Z566"/>
  <c r="Z567"/>
  <c r="Z568"/>
  <c r="Z569"/>
  <c r="Z570"/>
  <c r="Z571"/>
  <c r="Z572"/>
  <c r="Z573"/>
  <c r="Z574"/>
  <c r="Z575"/>
  <c r="Z576"/>
  <c r="Z577"/>
  <c r="Z578"/>
  <c r="Z579"/>
  <c r="Z580"/>
  <c r="Z581"/>
  <c r="Z582"/>
  <c r="Z583"/>
  <c r="Z584"/>
  <c r="Z585"/>
  <c r="Z586"/>
  <c r="Z587"/>
  <c r="Z588"/>
  <c r="Z589"/>
  <c r="Z13"/>
  <c r="Z14"/>
  <c r="Z15"/>
  <c r="Z16"/>
  <c r="Z17"/>
  <c r="Z18"/>
  <c r="Z19"/>
  <c r="Z20"/>
  <c r="Z21"/>
  <c r="Z22"/>
  <c r="Z23"/>
  <c r="W15"/>
  <c r="Y588"/>
  <c r="X588"/>
  <c r="W588"/>
  <c r="V588"/>
  <c r="L588"/>
  <c r="L585" s="1"/>
  <c r="J588"/>
  <c r="X587"/>
  <c r="X585" s="1"/>
  <c r="W587"/>
  <c r="W585" s="1"/>
  <c r="V587"/>
  <c r="L587"/>
  <c r="Y587" s="1"/>
  <c r="J587"/>
  <c r="X586"/>
  <c r="W586"/>
  <c r="R586"/>
  <c r="Y586" s="1"/>
  <c r="P586"/>
  <c r="L586"/>
  <c r="J586"/>
  <c r="U585"/>
  <c r="T585"/>
  <c r="S585"/>
  <c r="R585"/>
  <c r="Q585"/>
  <c r="P585"/>
  <c r="O585"/>
  <c r="N585"/>
  <c r="M585"/>
  <c r="K585"/>
  <c r="J585"/>
  <c r="I585"/>
  <c r="H585"/>
  <c r="G585"/>
  <c r="F585"/>
  <c r="X584"/>
  <c r="W584"/>
  <c r="V584"/>
  <c r="L584"/>
  <c r="Y584" s="1"/>
  <c r="J584"/>
  <c r="X583"/>
  <c r="W583"/>
  <c r="V583"/>
  <c r="L583"/>
  <c r="Y583" s="1"/>
  <c r="J583"/>
  <c r="X582"/>
  <c r="W582"/>
  <c r="V582"/>
  <c r="L582"/>
  <c r="Y582" s="1"/>
  <c r="J582"/>
  <c r="X581"/>
  <c r="W581"/>
  <c r="V581"/>
  <c r="L581"/>
  <c r="Y581" s="1"/>
  <c r="J581"/>
  <c r="X580"/>
  <c r="W580"/>
  <c r="V580"/>
  <c r="L580"/>
  <c r="Y580" s="1"/>
  <c r="J580"/>
  <c r="X579"/>
  <c r="W579"/>
  <c r="W568" s="1"/>
  <c r="V579"/>
  <c r="L579"/>
  <c r="Y579" s="1"/>
  <c r="J579"/>
  <c r="X578"/>
  <c r="W578"/>
  <c r="V578"/>
  <c r="L578"/>
  <c r="Y578" s="1"/>
  <c r="J578"/>
  <c r="X577"/>
  <c r="W577"/>
  <c r="V577"/>
  <c r="L577"/>
  <c r="Y577" s="1"/>
  <c r="J577"/>
  <c r="X576"/>
  <c r="W576"/>
  <c r="V576"/>
  <c r="L576"/>
  <c r="Y576" s="1"/>
  <c r="J576"/>
  <c r="X575"/>
  <c r="W575"/>
  <c r="V575"/>
  <c r="L575"/>
  <c r="Y575" s="1"/>
  <c r="J575"/>
  <c r="X574"/>
  <c r="W574"/>
  <c r="V574"/>
  <c r="L574"/>
  <c r="Y574" s="1"/>
  <c r="J574"/>
  <c r="X573"/>
  <c r="W573"/>
  <c r="V573"/>
  <c r="L573"/>
  <c r="Y573" s="1"/>
  <c r="J573"/>
  <c r="X572"/>
  <c r="W572"/>
  <c r="V572"/>
  <c r="L572"/>
  <c r="Y572" s="1"/>
  <c r="J572"/>
  <c r="X571"/>
  <c r="W571"/>
  <c r="V571"/>
  <c r="L571"/>
  <c r="Y571" s="1"/>
  <c r="J571"/>
  <c r="X570"/>
  <c r="W570"/>
  <c r="R570"/>
  <c r="V570" s="1"/>
  <c r="V568" s="1"/>
  <c r="P570"/>
  <c r="P568" s="1"/>
  <c r="P521" s="1"/>
  <c r="L570"/>
  <c r="J570"/>
  <c r="X569"/>
  <c r="X568" s="1"/>
  <c r="W569"/>
  <c r="V569"/>
  <c r="L569"/>
  <c r="J569"/>
  <c r="J568" s="1"/>
  <c r="U568"/>
  <c r="T568"/>
  <c r="S568"/>
  <c r="Q568"/>
  <c r="O568"/>
  <c r="N568"/>
  <c r="M568"/>
  <c r="K568"/>
  <c r="I568"/>
  <c r="H568"/>
  <c r="G568"/>
  <c r="F568"/>
  <c r="X567"/>
  <c r="W567"/>
  <c r="V567"/>
  <c r="L567"/>
  <c r="Y567" s="1"/>
  <c r="J567"/>
  <c r="X566"/>
  <c r="W566"/>
  <c r="V566"/>
  <c r="L566"/>
  <c r="Y566" s="1"/>
  <c r="J566"/>
  <c r="X565"/>
  <c r="W565"/>
  <c r="V565"/>
  <c r="L565"/>
  <c r="Y565" s="1"/>
  <c r="J565"/>
  <c r="X564"/>
  <c r="W564"/>
  <c r="V564"/>
  <c r="L564"/>
  <c r="Y564" s="1"/>
  <c r="J564"/>
  <c r="X563"/>
  <c r="W563"/>
  <c r="W559" s="1"/>
  <c r="V563"/>
  <c r="L563"/>
  <c r="Y563" s="1"/>
  <c r="J563"/>
  <c r="X562"/>
  <c r="W562"/>
  <c r="V562"/>
  <c r="L562"/>
  <c r="L559" s="1"/>
  <c r="J562"/>
  <c r="X561"/>
  <c r="W561"/>
  <c r="V561"/>
  <c r="V559" s="1"/>
  <c r="L561"/>
  <c r="Y561" s="1"/>
  <c r="J561"/>
  <c r="X560"/>
  <c r="X559" s="1"/>
  <c r="W560"/>
  <c r="V560"/>
  <c r="L560"/>
  <c r="Y560" s="1"/>
  <c r="J560"/>
  <c r="J559" s="1"/>
  <c r="F560"/>
  <c r="U559"/>
  <c r="T559"/>
  <c r="T521" s="1"/>
  <c r="S559"/>
  <c r="R559"/>
  <c r="Q559"/>
  <c r="P559"/>
  <c r="O559"/>
  <c r="N559"/>
  <c r="M559"/>
  <c r="K559"/>
  <c r="I559"/>
  <c r="H559"/>
  <c r="G559"/>
  <c r="F559"/>
  <c r="X558"/>
  <c r="X557" s="1"/>
  <c r="W558"/>
  <c r="W557" s="1"/>
  <c r="V558"/>
  <c r="L558"/>
  <c r="Y558" s="1"/>
  <c r="J558"/>
  <c r="Y557"/>
  <c r="V557"/>
  <c r="U557"/>
  <c r="T557"/>
  <c r="S557"/>
  <c r="R557"/>
  <c r="Q557"/>
  <c r="P557"/>
  <c r="O557"/>
  <c r="N557"/>
  <c r="M557"/>
  <c r="L557"/>
  <c r="K557"/>
  <c r="J557"/>
  <c r="I557"/>
  <c r="H557"/>
  <c r="G557"/>
  <c r="F557"/>
  <c r="X556"/>
  <c r="W556"/>
  <c r="V556"/>
  <c r="L556"/>
  <c r="Y556" s="1"/>
  <c r="J556"/>
  <c r="X555"/>
  <c r="W555"/>
  <c r="V555"/>
  <c r="L555"/>
  <c r="Y555" s="1"/>
  <c r="J555"/>
  <c r="X554"/>
  <c r="W554"/>
  <c r="V554"/>
  <c r="V552" s="1"/>
  <c r="V551" s="1"/>
  <c r="L554"/>
  <c r="L552" s="1"/>
  <c r="L551" s="1"/>
  <c r="J554"/>
  <c r="X553"/>
  <c r="W553"/>
  <c r="W552" s="1"/>
  <c r="W551" s="1"/>
  <c r="V553"/>
  <c r="L553"/>
  <c r="Y553" s="1"/>
  <c r="J553"/>
  <c r="U552"/>
  <c r="T552"/>
  <c r="S552"/>
  <c r="R552"/>
  <c r="Q552"/>
  <c r="P552"/>
  <c r="O552"/>
  <c r="N552"/>
  <c r="M552"/>
  <c r="K552"/>
  <c r="J552"/>
  <c r="J551" s="1"/>
  <c r="I552"/>
  <c r="I551" s="1"/>
  <c r="I521" s="1"/>
  <c r="H552"/>
  <c r="G552"/>
  <c r="F552"/>
  <c r="F551" s="1"/>
  <c r="F521" s="1"/>
  <c r="U551"/>
  <c r="U521" s="1"/>
  <c r="T551"/>
  <c r="S551"/>
  <c r="Q551"/>
  <c r="Q521" s="1"/>
  <c r="P551"/>
  <c r="O551"/>
  <c r="M551"/>
  <c r="M521" s="1"/>
  <c r="K551"/>
  <c r="H551"/>
  <c r="G551"/>
  <c r="X550"/>
  <c r="W550"/>
  <c r="V550"/>
  <c r="L550"/>
  <c r="Y550" s="1"/>
  <c r="J550"/>
  <c r="X549"/>
  <c r="X547" s="1"/>
  <c r="W549"/>
  <c r="W547" s="1"/>
  <c r="V549"/>
  <c r="L549"/>
  <c r="Y549" s="1"/>
  <c r="J549"/>
  <c r="J547" s="1"/>
  <c r="X548"/>
  <c r="W548"/>
  <c r="V548"/>
  <c r="V547" s="1"/>
  <c r="L548"/>
  <c r="L547" s="1"/>
  <c r="J548"/>
  <c r="U547"/>
  <c r="T547"/>
  <c r="S547"/>
  <c r="R547"/>
  <c r="Q547"/>
  <c r="P547"/>
  <c r="O547"/>
  <c r="N547"/>
  <c r="M547"/>
  <c r="K547"/>
  <c r="I547"/>
  <c r="H547"/>
  <c r="G547"/>
  <c r="F547"/>
  <c r="X546"/>
  <c r="W546"/>
  <c r="V546"/>
  <c r="L546"/>
  <c r="Y546" s="1"/>
  <c r="J546"/>
  <c r="X545"/>
  <c r="W545"/>
  <c r="V545"/>
  <c r="L545"/>
  <c r="Y545" s="1"/>
  <c r="J545"/>
  <c r="X544"/>
  <c r="W544"/>
  <c r="V544"/>
  <c r="L544"/>
  <c r="Y544" s="1"/>
  <c r="J544"/>
  <c r="X543"/>
  <c r="W543"/>
  <c r="V543"/>
  <c r="L543"/>
  <c r="Y543" s="1"/>
  <c r="J543"/>
  <c r="X542"/>
  <c r="W542"/>
  <c r="V542"/>
  <c r="L542"/>
  <c r="Y542" s="1"/>
  <c r="J542"/>
  <c r="X541"/>
  <c r="W541"/>
  <c r="V541"/>
  <c r="L541"/>
  <c r="Y541" s="1"/>
  <c r="J541"/>
  <c r="X540"/>
  <c r="W540"/>
  <c r="V540"/>
  <c r="L540"/>
  <c r="Y540" s="1"/>
  <c r="J540"/>
  <c r="X539"/>
  <c r="W539"/>
  <c r="V539"/>
  <c r="L539"/>
  <c r="Y539" s="1"/>
  <c r="J539"/>
  <c r="X538"/>
  <c r="W538"/>
  <c r="V538"/>
  <c r="L538"/>
  <c r="Y538" s="1"/>
  <c r="J538"/>
  <c r="X537"/>
  <c r="W537"/>
  <c r="V537"/>
  <c r="L537"/>
  <c r="Y537" s="1"/>
  <c r="J537"/>
  <c r="X536"/>
  <c r="W536"/>
  <c r="W522" s="1"/>
  <c r="W521" s="1"/>
  <c r="V536"/>
  <c r="L536"/>
  <c r="Y536" s="1"/>
  <c r="J536"/>
  <c r="X535"/>
  <c r="W535"/>
  <c r="V535"/>
  <c r="L535"/>
  <c r="Y535" s="1"/>
  <c r="J535"/>
  <c r="X534"/>
  <c r="W534"/>
  <c r="V534"/>
  <c r="L534"/>
  <c r="Y534" s="1"/>
  <c r="J534"/>
  <c r="X533"/>
  <c r="W533"/>
  <c r="V533"/>
  <c r="L533"/>
  <c r="Y533" s="1"/>
  <c r="J533"/>
  <c r="X532"/>
  <c r="W532"/>
  <c r="V532"/>
  <c r="L532"/>
  <c r="Y532" s="1"/>
  <c r="J532"/>
  <c r="X531"/>
  <c r="W531"/>
  <c r="V531"/>
  <c r="L531"/>
  <c r="Y531" s="1"/>
  <c r="J531"/>
  <c r="X530"/>
  <c r="W530"/>
  <c r="V530"/>
  <c r="L530"/>
  <c r="Y530" s="1"/>
  <c r="J530"/>
  <c r="X529"/>
  <c r="W529"/>
  <c r="V529"/>
  <c r="L529"/>
  <c r="Y529" s="1"/>
  <c r="J529"/>
  <c r="X528"/>
  <c r="W528"/>
  <c r="V528"/>
  <c r="L528"/>
  <c r="Y528" s="1"/>
  <c r="J528"/>
  <c r="X527"/>
  <c r="W527"/>
  <c r="V527"/>
  <c r="L527"/>
  <c r="J527"/>
  <c r="X526"/>
  <c r="W526"/>
  <c r="V526"/>
  <c r="L526"/>
  <c r="Y526" s="1"/>
  <c r="J526"/>
  <c r="X525"/>
  <c r="W525"/>
  <c r="V525"/>
  <c r="L525"/>
  <c r="Y525" s="1"/>
  <c r="J525"/>
  <c r="X524"/>
  <c r="W524"/>
  <c r="V524"/>
  <c r="L524"/>
  <c r="Y524" s="1"/>
  <c r="J524"/>
  <c r="X523"/>
  <c r="W523"/>
  <c r="V523"/>
  <c r="L523"/>
  <c r="Y523" s="1"/>
  <c r="J523"/>
  <c r="X522"/>
  <c r="U522"/>
  <c r="T522"/>
  <c r="S522"/>
  <c r="S521" s="1"/>
  <c r="R522"/>
  <c r="Q522"/>
  <c r="P522"/>
  <c r="O522"/>
  <c r="O521" s="1"/>
  <c r="N522"/>
  <c r="M522"/>
  <c r="K522"/>
  <c r="I522"/>
  <c r="H522"/>
  <c r="G522"/>
  <c r="G521" s="1"/>
  <c r="F522"/>
  <c r="K521"/>
  <c r="H521"/>
  <c r="X519"/>
  <c r="W519"/>
  <c r="V519"/>
  <c r="R519"/>
  <c r="L519"/>
  <c r="J519"/>
  <c r="X518"/>
  <c r="W518"/>
  <c r="V518"/>
  <c r="R518"/>
  <c r="L518"/>
  <c r="Y518" s="1"/>
  <c r="J518"/>
  <c r="X517"/>
  <c r="W517"/>
  <c r="V517"/>
  <c r="R517"/>
  <c r="P517"/>
  <c r="L517"/>
  <c r="Y517" s="1"/>
  <c r="J517"/>
  <c r="X508"/>
  <c r="W508"/>
  <c r="V508"/>
  <c r="R508"/>
  <c r="P508"/>
  <c r="L508"/>
  <c r="Y508" s="1"/>
  <c r="J508"/>
  <c r="X506"/>
  <c r="W506"/>
  <c r="W502" s="1"/>
  <c r="V506"/>
  <c r="R506"/>
  <c r="L506"/>
  <c r="P506" s="1"/>
  <c r="J506"/>
  <c r="F506"/>
  <c r="Y504"/>
  <c r="X504"/>
  <c r="X502" s="1"/>
  <c r="W504"/>
  <c r="R504"/>
  <c r="P504"/>
  <c r="L504"/>
  <c r="J504"/>
  <c r="U502"/>
  <c r="T502"/>
  <c r="S502"/>
  <c r="Q502"/>
  <c r="P502"/>
  <c r="O502"/>
  <c r="N502"/>
  <c r="M502"/>
  <c r="L502"/>
  <c r="K502"/>
  <c r="J502"/>
  <c r="I502"/>
  <c r="H502"/>
  <c r="G502"/>
  <c r="F502"/>
  <c r="E502"/>
  <c r="D502"/>
  <c r="X501"/>
  <c r="W501"/>
  <c r="V501"/>
  <c r="R501"/>
  <c r="L501"/>
  <c r="J501"/>
  <c r="X500"/>
  <c r="W500"/>
  <c r="V500"/>
  <c r="U500"/>
  <c r="T500"/>
  <c r="S500"/>
  <c r="R500"/>
  <c r="Q500"/>
  <c r="O500"/>
  <c r="N500"/>
  <c r="M500"/>
  <c r="K500"/>
  <c r="J500"/>
  <c r="I500"/>
  <c r="H500"/>
  <c r="G500"/>
  <c r="F500"/>
  <c r="E500"/>
  <c r="D500"/>
  <c r="X499"/>
  <c r="W499"/>
  <c r="R499"/>
  <c r="P499"/>
  <c r="L499"/>
  <c r="J499"/>
  <c r="X498"/>
  <c r="W498"/>
  <c r="R498"/>
  <c r="P498"/>
  <c r="P497" s="1"/>
  <c r="L498"/>
  <c r="J498"/>
  <c r="X497"/>
  <c r="W497"/>
  <c r="U497"/>
  <c r="T497"/>
  <c r="S497"/>
  <c r="Q497"/>
  <c r="O497"/>
  <c r="N497"/>
  <c r="M497"/>
  <c r="L497"/>
  <c r="K497"/>
  <c r="J497"/>
  <c r="I497"/>
  <c r="H497"/>
  <c r="G497"/>
  <c r="F497"/>
  <c r="E497"/>
  <c r="D497"/>
  <c r="S496"/>
  <c r="R496"/>
  <c r="X495"/>
  <c r="W495"/>
  <c r="R495"/>
  <c r="P495"/>
  <c r="L495"/>
  <c r="J495"/>
  <c r="Y494"/>
  <c r="X494"/>
  <c r="W494"/>
  <c r="R494"/>
  <c r="V494" s="1"/>
  <c r="P494"/>
  <c r="L494"/>
  <c r="J494"/>
  <c r="Y493"/>
  <c r="X493"/>
  <c r="W493"/>
  <c r="R493"/>
  <c r="V493" s="1"/>
  <c r="P493"/>
  <c r="L493"/>
  <c r="J493"/>
  <c r="Y492"/>
  <c r="X492"/>
  <c r="W492"/>
  <c r="R492"/>
  <c r="P492"/>
  <c r="L492"/>
  <c r="J492"/>
  <c r="U491"/>
  <c r="T491"/>
  <c r="Q491"/>
  <c r="P491"/>
  <c r="O491"/>
  <c r="N491"/>
  <c r="M491"/>
  <c r="L491"/>
  <c r="K491"/>
  <c r="J491"/>
  <c r="I491"/>
  <c r="H491"/>
  <c r="G491"/>
  <c r="F491"/>
  <c r="E491"/>
  <c r="D491"/>
  <c r="X489"/>
  <c r="W489"/>
  <c r="V489"/>
  <c r="R489"/>
  <c r="L489"/>
  <c r="J489"/>
  <c r="X488"/>
  <c r="W488"/>
  <c r="V488"/>
  <c r="R488"/>
  <c r="L488"/>
  <c r="J488"/>
  <c r="X487"/>
  <c r="W487"/>
  <c r="V487"/>
  <c r="R487"/>
  <c r="L487"/>
  <c r="J487"/>
  <c r="X486"/>
  <c r="W486"/>
  <c r="V486"/>
  <c r="R486"/>
  <c r="L486"/>
  <c r="J486"/>
  <c r="X485"/>
  <c r="W485"/>
  <c r="V485"/>
  <c r="R485"/>
  <c r="L485"/>
  <c r="J485"/>
  <c r="X484"/>
  <c r="W484"/>
  <c r="V484"/>
  <c r="R484"/>
  <c r="L484"/>
  <c r="J484"/>
  <c r="X483"/>
  <c r="W483"/>
  <c r="V483"/>
  <c r="R483"/>
  <c r="L483"/>
  <c r="J483"/>
  <c r="W482"/>
  <c r="V482"/>
  <c r="R482"/>
  <c r="X481"/>
  <c r="W481"/>
  <c r="V481"/>
  <c r="R481"/>
  <c r="L481"/>
  <c r="J481"/>
  <c r="W480"/>
  <c r="V480"/>
  <c r="R480"/>
  <c r="W479"/>
  <c r="V479"/>
  <c r="R479"/>
  <c r="W478"/>
  <c r="V478"/>
  <c r="R478"/>
  <c r="W477"/>
  <c r="V477"/>
  <c r="R477"/>
  <c r="W476"/>
  <c r="V476"/>
  <c r="R476"/>
  <c r="W475"/>
  <c r="V475"/>
  <c r="R475"/>
  <c r="W474"/>
  <c r="V474"/>
  <c r="R474"/>
  <c r="W473"/>
  <c r="V473"/>
  <c r="R473"/>
  <c r="W472"/>
  <c r="V472"/>
  <c r="R472"/>
  <c r="W471"/>
  <c r="V471"/>
  <c r="R471"/>
  <c r="W470"/>
  <c r="V470"/>
  <c r="R470"/>
  <c r="W469"/>
  <c r="V469"/>
  <c r="R469"/>
  <c r="W468"/>
  <c r="V468"/>
  <c r="R468"/>
  <c r="W467"/>
  <c r="V467"/>
  <c r="R467"/>
  <c r="W466"/>
  <c r="V466"/>
  <c r="R466"/>
  <c r="W465"/>
  <c r="V465"/>
  <c r="R465"/>
  <c r="W464"/>
  <c r="V464"/>
  <c r="R464"/>
  <c r="W463"/>
  <c r="V463"/>
  <c r="R463"/>
  <c r="W462"/>
  <c r="V462"/>
  <c r="R462"/>
  <c r="W461"/>
  <c r="V461"/>
  <c r="R461"/>
  <c r="W460"/>
  <c r="V460"/>
  <c r="R460"/>
  <c r="W459"/>
  <c r="V459"/>
  <c r="V458" s="1"/>
  <c r="R459"/>
  <c r="W458"/>
  <c r="U458"/>
  <c r="T458"/>
  <c r="S458"/>
  <c r="R458"/>
  <c r="Q458"/>
  <c r="O458"/>
  <c r="M458"/>
  <c r="K458"/>
  <c r="I458"/>
  <c r="H458"/>
  <c r="G458"/>
  <c r="F458"/>
  <c r="E458"/>
  <c r="D458"/>
  <c r="W456"/>
  <c r="R456"/>
  <c r="V456" s="1"/>
  <c r="W455"/>
  <c r="R455"/>
  <c r="W454"/>
  <c r="R454"/>
  <c r="W453"/>
  <c r="R453"/>
  <c r="V453" s="1"/>
  <c r="W452"/>
  <c r="R452"/>
  <c r="W451"/>
  <c r="R451"/>
  <c r="V451" s="1"/>
  <c r="W450"/>
  <c r="R450"/>
  <c r="V450" s="1"/>
  <c r="W449"/>
  <c r="R449"/>
  <c r="V449" s="1"/>
  <c r="W448"/>
  <c r="R448"/>
  <c r="V448" s="1"/>
  <c r="W447"/>
  <c r="R447"/>
  <c r="V447" s="1"/>
  <c r="W446"/>
  <c r="R446"/>
  <c r="V446" s="1"/>
  <c r="W445"/>
  <c r="R445"/>
  <c r="V445" s="1"/>
  <c r="W444"/>
  <c r="R444"/>
  <c r="V444" s="1"/>
  <c r="W443"/>
  <c r="R443"/>
  <c r="V443" s="1"/>
  <c r="W442"/>
  <c r="R442"/>
  <c r="V442" s="1"/>
  <c r="W441"/>
  <c r="R441"/>
  <c r="V441" s="1"/>
  <c r="W440"/>
  <c r="R440"/>
  <c r="V440" s="1"/>
  <c r="W439"/>
  <c r="R439"/>
  <c r="V439" s="1"/>
  <c r="W438"/>
  <c r="R438"/>
  <c r="V438" s="1"/>
  <c r="W437"/>
  <c r="R437"/>
  <c r="V437" s="1"/>
  <c r="W436"/>
  <c r="R436"/>
  <c r="V436" s="1"/>
  <c r="W435"/>
  <c r="R435"/>
  <c r="V435" s="1"/>
  <c r="W434"/>
  <c r="R434"/>
  <c r="V434" s="1"/>
  <c r="W433"/>
  <c r="R433"/>
  <c r="V433" s="1"/>
  <c r="W432"/>
  <c r="R432"/>
  <c r="V432" s="1"/>
  <c r="W431"/>
  <c r="R431"/>
  <c r="V431" s="1"/>
  <c r="W430"/>
  <c r="R430"/>
  <c r="V430" s="1"/>
  <c r="W429"/>
  <c r="R429"/>
  <c r="V429" s="1"/>
  <c r="W428"/>
  <c r="R428"/>
  <c r="V428" s="1"/>
  <c r="W427"/>
  <c r="R427"/>
  <c r="V427" s="1"/>
  <c r="W426"/>
  <c r="R426"/>
  <c r="V426" s="1"/>
  <c r="W425"/>
  <c r="R425"/>
  <c r="V425" s="1"/>
  <c r="W424"/>
  <c r="R424"/>
  <c r="V424" s="1"/>
  <c r="W423"/>
  <c r="R423"/>
  <c r="V423" s="1"/>
  <c r="W422"/>
  <c r="R422"/>
  <c r="V422" s="1"/>
  <c r="W421"/>
  <c r="R421"/>
  <c r="W420"/>
  <c r="V420"/>
  <c r="R420"/>
  <c r="W419"/>
  <c r="V419"/>
  <c r="R419"/>
  <c r="W418"/>
  <c r="W417" s="1"/>
  <c r="V418"/>
  <c r="R418"/>
  <c r="U417"/>
  <c r="T417"/>
  <c r="S417"/>
  <c r="Q417"/>
  <c r="O417"/>
  <c r="M417"/>
  <c r="K417"/>
  <c r="I417"/>
  <c r="H417"/>
  <c r="G417"/>
  <c r="F417"/>
  <c r="E417"/>
  <c r="D417"/>
  <c r="Y416"/>
  <c r="Y415" s="1"/>
  <c r="W416"/>
  <c r="R416"/>
  <c r="P416"/>
  <c r="P415" s="1"/>
  <c r="W415"/>
  <c r="V415"/>
  <c r="U415"/>
  <c r="T415"/>
  <c r="S415"/>
  <c r="R415"/>
  <c r="Q415"/>
  <c r="O415"/>
  <c r="M415"/>
  <c r="L415"/>
  <c r="K415"/>
  <c r="I415"/>
  <c r="H415"/>
  <c r="G415"/>
  <c r="F415"/>
  <c r="E415"/>
  <c r="D415"/>
  <c r="W414"/>
  <c r="R414"/>
  <c r="V414" s="1"/>
  <c r="W413"/>
  <c r="R413"/>
  <c r="V413" s="1"/>
  <c r="W412"/>
  <c r="R412"/>
  <c r="W411"/>
  <c r="R411"/>
  <c r="V411" s="1"/>
  <c r="W410"/>
  <c r="R410"/>
  <c r="V410" s="1"/>
  <c r="W409"/>
  <c r="R409"/>
  <c r="V409" s="1"/>
  <c r="W408"/>
  <c r="R408"/>
  <c r="W407"/>
  <c r="R407"/>
  <c r="V407" s="1"/>
  <c r="W406"/>
  <c r="R406"/>
  <c r="V406" s="1"/>
  <c r="Y405"/>
  <c r="W405"/>
  <c r="R405"/>
  <c r="V405" s="1"/>
  <c r="P405"/>
  <c r="W404"/>
  <c r="R404"/>
  <c r="V404" s="1"/>
  <c r="W403"/>
  <c r="R403"/>
  <c r="V403" s="1"/>
  <c r="W402"/>
  <c r="R402"/>
  <c r="V402" s="1"/>
  <c r="W401"/>
  <c r="R401"/>
  <c r="V401" s="1"/>
  <c r="W400"/>
  <c r="R400"/>
  <c r="V400" s="1"/>
  <c r="W399"/>
  <c r="R399"/>
  <c r="V399" s="1"/>
  <c r="W398"/>
  <c r="R398"/>
  <c r="V398" s="1"/>
  <c r="W397"/>
  <c r="R397"/>
  <c r="V397" s="1"/>
  <c r="W396"/>
  <c r="R396"/>
  <c r="V396" s="1"/>
  <c r="W395"/>
  <c r="R395"/>
  <c r="V395" s="1"/>
  <c r="W394"/>
  <c r="R394"/>
  <c r="V394" s="1"/>
  <c r="W393"/>
  <c r="R393"/>
  <c r="V393" s="1"/>
  <c r="W392"/>
  <c r="R392"/>
  <c r="Y392" s="1"/>
  <c r="P392"/>
  <c r="W390"/>
  <c r="V390"/>
  <c r="R390"/>
  <c r="W389"/>
  <c r="W378" s="1"/>
  <c r="V389"/>
  <c r="R389"/>
  <c r="Y389" s="1"/>
  <c r="P389"/>
  <c r="W388"/>
  <c r="V388"/>
  <c r="R388"/>
  <c r="W387"/>
  <c r="R387"/>
  <c r="W386"/>
  <c r="R386"/>
  <c r="V386" s="1"/>
  <c r="W385"/>
  <c r="R385"/>
  <c r="W384"/>
  <c r="V384"/>
  <c r="R384"/>
  <c r="W383"/>
  <c r="R383"/>
  <c r="W382"/>
  <c r="R382"/>
  <c r="V382" s="1"/>
  <c r="W381"/>
  <c r="R381"/>
  <c r="W380"/>
  <c r="V380"/>
  <c r="R380"/>
  <c r="W379"/>
  <c r="R379"/>
  <c r="U378"/>
  <c r="T378"/>
  <c r="S378"/>
  <c r="Q378"/>
  <c r="O378"/>
  <c r="M378"/>
  <c r="K378"/>
  <c r="W377"/>
  <c r="R377"/>
  <c r="V377" s="1"/>
  <c r="W376"/>
  <c r="R376"/>
  <c r="G376"/>
  <c r="W375"/>
  <c r="V375"/>
  <c r="R375"/>
  <c r="W374"/>
  <c r="R374"/>
  <c r="V374" s="1"/>
  <c r="W373"/>
  <c r="R373"/>
  <c r="W372"/>
  <c r="V372"/>
  <c r="R372"/>
  <c r="W371"/>
  <c r="V371"/>
  <c r="R371"/>
  <c r="R370" s="1"/>
  <c r="W370"/>
  <c r="U370"/>
  <c r="T370"/>
  <c r="S370"/>
  <c r="Q370"/>
  <c r="O370"/>
  <c r="M370"/>
  <c r="K370"/>
  <c r="I370"/>
  <c r="H370"/>
  <c r="F370"/>
  <c r="E370"/>
  <c r="D370"/>
  <c r="W369"/>
  <c r="R369"/>
  <c r="V369" s="1"/>
  <c r="V368" s="1"/>
  <c r="W368"/>
  <c r="U368"/>
  <c r="T368"/>
  <c r="S368"/>
  <c r="Q368"/>
  <c r="O368"/>
  <c r="M368"/>
  <c r="K368"/>
  <c r="I368"/>
  <c r="H368"/>
  <c r="G368"/>
  <c r="F368"/>
  <c r="E368"/>
  <c r="D368"/>
  <c r="W367"/>
  <c r="R367"/>
  <c r="W366"/>
  <c r="U366"/>
  <c r="T366"/>
  <c r="S366"/>
  <c r="R366"/>
  <c r="Q366"/>
  <c r="O366"/>
  <c r="M366"/>
  <c r="K366"/>
  <c r="I366"/>
  <c r="H366"/>
  <c r="G366"/>
  <c r="F366"/>
  <c r="E366"/>
  <c r="D366"/>
  <c r="W365"/>
  <c r="R365"/>
  <c r="V365" s="1"/>
  <c r="V364" s="1"/>
  <c r="W364"/>
  <c r="U364"/>
  <c r="T364"/>
  <c r="S364"/>
  <c r="S356" s="1"/>
  <c r="Q364"/>
  <c r="O364"/>
  <c r="M364"/>
  <c r="K364"/>
  <c r="K356" s="1"/>
  <c r="I364"/>
  <c r="H364"/>
  <c r="G364"/>
  <c r="F364"/>
  <c r="E364"/>
  <c r="D364"/>
  <c r="W363"/>
  <c r="R363"/>
  <c r="W362"/>
  <c r="V362"/>
  <c r="R362"/>
  <c r="W360"/>
  <c r="V360"/>
  <c r="R360"/>
  <c r="W359"/>
  <c r="R359"/>
  <c r="W357"/>
  <c r="U357"/>
  <c r="U356" s="1"/>
  <c r="T357"/>
  <c r="S357"/>
  <c r="Q357"/>
  <c r="Q356" s="1"/>
  <c r="O357"/>
  <c r="M357"/>
  <c r="K357"/>
  <c r="I357"/>
  <c r="H357"/>
  <c r="G357"/>
  <c r="F357"/>
  <c r="F356" s="1"/>
  <c r="E357"/>
  <c r="D357"/>
  <c r="W356"/>
  <c r="T356"/>
  <c r="O356"/>
  <c r="H356"/>
  <c r="D356"/>
  <c r="Q355"/>
  <c r="W354"/>
  <c r="V354"/>
  <c r="R354"/>
  <c r="W353"/>
  <c r="V353"/>
  <c r="R353"/>
  <c r="W352"/>
  <c r="V352"/>
  <c r="R352"/>
  <c r="W351"/>
  <c r="V351"/>
  <c r="R351"/>
  <c r="W350"/>
  <c r="V350"/>
  <c r="R350"/>
  <c r="W349"/>
  <c r="V349"/>
  <c r="R349"/>
  <c r="W348"/>
  <c r="V348"/>
  <c r="R348"/>
  <c r="W347"/>
  <c r="V347"/>
  <c r="R347"/>
  <c r="W346"/>
  <c r="V346"/>
  <c r="R346"/>
  <c r="W345"/>
  <c r="V345"/>
  <c r="R345"/>
  <c r="W344"/>
  <c r="V344"/>
  <c r="R344"/>
  <c r="W343"/>
  <c r="V343"/>
  <c r="R343"/>
  <c r="W342"/>
  <c r="V342"/>
  <c r="R342"/>
  <c r="W341"/>
  <c r="V341"/>
  <c r="R341"/>
  <c r="W340"/>
  <c r="V340"/>
  <c r="R340"/>
  <c r="W339"/>
  <c r="V339"/>
  <c r="R339"/>
  <c r="W338"/>
  <c r="V338"/>
  <c r="R338"/>
  <c r="W337"/>
  <c r="V337"/>
  <c r="R337"/>
  <c r="G337"/>
  <c r="W336"/>
  <c r="R336"/>
  <c r="V336" s="1"/>
  <c r="W335"/>
  <c r="R335"/>
  <c r="V335" s="1"/>
  <c r="W334"/>
  <c r="R334"/>
  <c r="V334" s="1"/>
  <c r="W333"/>
  <c r="R333"/>
  <c r="V333" s="1"/>
  <c r="W332"/>
  <c r="R332"/>
  <c r="V332" s="1"/>
  <c r="W331"/>
  <c r="R331"/>
  <c r="V331" s="1"/>
  <c r="W330"/>
  <c r="R330"/>
  <c r="V330" s="1"/>
  <c r="W329"/>
  <c r="R329"/>
  <c r="V329" s="1"/>
  <c r="W328"/>
  <c r="R328"/>
  <c r="V328" s="1"/>
  <c r="W327"/>
  <c r="R327"/>
  <c r="V327" s="1"/>
  <c r="W326"/>
  <c r="R326"/>
  <c r="V326" s="1"/>
  <c r="W325"/>
  <c r="R325"/>
  <c r="V325" s="1"/>
  <c r="W324"/>
  <c r="R324"/>
  <c r="V324" s="1"/>
  <c r="W323"/>
  <c r="R323"/>
  <c r="V323" s="1"/>
  <c r="W322"/>
  <c r="R322"/>
  <c r="V322" s="1"/>
  <c r="W321"/>
  <c r="R321"/>
  <c r="V321" s="1"/>
  <c r="W320"/>
  <c r="R320"/>
  <c r="V320" s="1"/>
  <c r="W319"/>
  <c r="R319"/>
  <c r="V319" s="1"/>
  <c r="W318"/>
  <c r="R318"/>
  <c r="V318" s="1"/>
  <c r="W317"/>
  <c r="V317"/>
  <c r="R317"/>
  <c r="W316"/>
  <c r="V316"/>
  <c r="R316"/>
  <c r="W315"/>
  <c r="V315"/>
  <c r="R315"/>
  <c r="W314"/>
  <c r="V314"/>
  <c r="R314"/>
  <c r="W313"/>
  <c r="V313"/>
  <c r="R313"/>
  <c r="W312"/>
  <c r="V312"/>
  <c r="R312"/>
  <c r="W311"/>
  <c r="V311"/>
  <c r="R311"/>
  <c r="W310"/>
  <c r="V310"/>
  <c r="R310"/>
  <c r="W309"/>
  <c r="V309"/>
  <c r="R309"/>
  <c r="W308"/>
  <c r="V308"/>
  <c r="R308"/>
  <c r="W307"/>
  <c r="V307"/>
  <c r="R307"/>
  <c r="W306"/>
  <c r="V306"/>
  <c r="R306"/>
  <c r="W305"/>
  <c r="V305"/>
  <c r="R305"/>
  <c r="W304"/>
  <c r="V304"/>
  <c r="R304"/>
  <c r="W303"/>
  <c r="V303"/>
  <c r="R303"/>
  <c r="W302"/>
  <c r="V302"/>
  <c r="R302"/>
  <c r="W301"/>
  <c r="V301"/>
  <c r="R301"/>
  <c r="W300"/>
  <c r="V300"/>
  <c r="R300"/>
  <c r="W299"/>
  <c r="V299"/>
  <c r="R299"/>
  <c r="W298"/>
  <c r="V298"/>
  <c r="R298"/>
  <c r="W297"/>
  <c r="V297"/>
  <c r="R297"/>
  <c r="Y297" s="1"/>
  <c r="W296"/>
  <c r="R296"/>
  <c r="W295"/>
  <c r="R295"/>
  <c r="U294"/>
  <c r="T294"/>
  <c r="S294"/>
  <c r="R294"/>
  <c r="Q294"/>
  <c r="O294"/>
  <c r="M294"/>
  <c r="K294"/>
  <c r="I294"/>
  <c r="H294"/>
  <c r="G294"/>
  <c r="F294"/>
  <c r="E294"/>
  <c r="D294"/>
  <c r="W293"/>
  <c r="V293"/>
  <c r="R293"/>
  <c r="W292"/>
  <c r="V292"/>
  <c r="U292"/>
  <c r="T292"/>
  <c r="S292"/>
  <c r="R292"/>
  <c r="Q292"/>
  <c r="O292"/>
  <c r="M292"/>
  <c r="K292"/>
  <c r="I292"/>
  <c r="H292"/>
  <c r="G292"/>
  <c r="F292"/>
  <c r="E292"/>
  <c r="D292"/>
  <c r="D124" s="1"/>
  <c r="W291"/>
  <c r="R291"/>
  <c r="V291" s="1"/>
  <c r="W290"/>
  <c r="R290"/>
  <c r="V290" s="1"/>
  <c r="W289"/>
  <c r="R289"/>
  <c r="V289" s="1"/>
  <c r="W288"/>
  <c r="R288"/>
  <c r="V288" s="1"/>
  <c r="W287"/>
  <c r="R287"/>
  <c r="V287" s="1"/>
  <c r="W286"/>
  <c r="R286"/>
  <c r="V286" s="1"/>
  <c r="W285"/>
  <c r="R285"/>
  <c r="V285" s="1"/>
  <c r="W284"/>
  <c r="R284"/>
  <c r="V284" s="1"/>
  <c r="W283"/>
  <c r="R283"/>
  <c r="V283" s="1"/>
  <c r="W282"/>
  <c r="R282"/>
  <c r="V282" s="1"/>
  <c r="W281"/>
  <c r="R281"/>
  <c r="V281" s="1"/>
  <c r="W280"/>
  <c r="R280"/>
  <c r="V280" s="1"/>
  <c r="W279"/>
  <c r="R279"/>
  <c r="V279" s="1"/>
  <c r="W278"/>
  <c r="R278"/>
  <c r="V278" s="1"/>
  <c r="W277"/>
  <c r="R277"/>
  <c r="V277" s="1"/>
  <c r="W276"/>
  <c r="R276"/>
  <c r="V276" s="1"/>
  <c r="W275"/>
  <c r="R275"/>
  <c r="V275" s="1"/>
  <c r="W274"/>
  <c r="R274"/>
  <c r="V274" s="1"/>
  <c r="W273"/>
  <c r="R273"/>
  <c r="V273" s="1"/>
  <c r="W272"/>
  <c r="R272"/>
  <c r="V272" s="1"/>
  <c r="W271"/>
  <c r="R271"/>
  <c r="V271" s="1"/>
  <c r="W270"/>
  <c r="R270"/>
  <c r="V270" s="1"/>
  <c r="W269"/>
  <c r="R269"/>
  <c r="V269" s="1"/>
  <c r="W268"/>
  <c r="R268"/>
  <c r="V268" s="1"/>
  <c r="W267"/>
  <c r="R267"/>
  <c r="V267" s="1"/>
  <c r="W266"/>
  <c r="R266"/>
  <c r="V266" s="1"/>
  <c r="W265"/>
  <c r="R265"/>
  <c r="V265" s="1"/>
  <c r="W264"/>
  <c r="R264"/>
  <c r="V264" s="1"/>
  <c r="W263"/>
  <c r="R263"/>
  <c r="V263" s="1"/>
  <c r="W262"/>
  <c r="R262"/>
  <c r="V262" s="1"/>
  <c r="W261"/>
  <c r="R261"/>
  <c r="V261" s="1"/>
  <c r="W260"/>
  <c r="R260"/>
  <c r="V260" s="1"/>
  <c r="W259"/>
  <c r="R259"/>
  <c r="V259" s="1"/>
  <c r="W258"/>
  <c r="R258"/>
  <c r="V258" s="1"/>
  <c r="W257"/>
  <c r="R257"/>
  <c r="V257" s="1"/>
  <c r="W256"/>
  <c r="R256"/>
  <c r="V256" s="1"/>
  <c r="W255"/>
  <c r="R255"/>
  <c r="V255" s="1"/>
  <c r="W254"/>
  <c r="R254"/>
  <c r="V254" s="1"/>
  <c r="W253"/>
  <c r="U253"/>
  <c r="T253"/>
  <c r="S253"/>
  <c r="Q253"/>
  <c r="O253"/>
  <c r="M253"/>
  <c r="K253"/>
  <c r="I253"/>
  <c r="H253"/>
  <c r="G253"/>
  <c r="F253"/>
  <c r="E253"/>
  <c r="D253"/>
  <c r="W252"/>
  <c r="V252"/>
  <c r="R252"/>
  <c r="W251"/>
  <c r="V251"/>
  <c r="R251"/>
  <c r="Y251" s="1"/>
  <c r="P251"/>
  <c r="W250"/>
  <c r="R250"/>
  <c r="V250" s="1"/>
  <c r="W249"/>
  <c r="R249"/>
  <c r="V249" s="1"/>
  <c r="W248"/>
  <c r="V248"/>
  <c r="R248"/>
  <c r="W247"/>
  <c r="R247"/>
  <c r="W246"/>
  <c r="R246"/>
  <c r="V246" s="1"/>
  <c r="W245"/>
  <c r="W244" s="1"/>
  <c r="R245"/>
  <c r="V245" s="1"/>
  <c r="U244"/>
  <c r="T244"/>
  <c r="S244"/>
  <c r="R244"/>
  <c r="Q244"/>
  <c r="O244"/>
  <c r="M244"/>
  <c r="K244"/>
  <c r="I244"/>
  <c r="H244"/>
  <c r="G244"/>
  <c r="F244"/>
  <c r="E244"/>
  <c r="W243"/>
  <c r="V243"/>
  <c r="R243"/>
  <c r="W242"/>
  <c r="W239" s="1"/>
  <c r="V242"/>
  <c r="R242"/>
  <c r="W241"/>
  <c r="V241"/>
  <c r="R241"/>
  <c r="W240"/>
  <c r="V240"/>
  <c r="V239" s="1"/>
  <c r="R240"/>
  <c r="U239"/>
  <c r="T239"/>
  <c r="S239"/>
  <c r="R239"/>
  <c r="Q239"/>
  <c r="O239"/>
  <c r="M239"/>
  <c r="K239"/>
  <c r="I239"/>
  <c r="H239"/>
  <c r="G239"/>
  <c r="F239"/>
  <c r="E239"/>
  <c r="W238"/>
  <c r="R238"/>
  <c r="V238" s="1"/>
  <c r="W237"/>
  <c r="R237"/>
  <c r="V237" s="1"/>
  <c r="W236"/>
  <c r="V236"/>
  <c r="R236"/>
  <c r="G236"/>
  <c r="W235"/>
  <c r="R235"/>
  <c r="V235" s="1"/>
  <c r="W234"/>
  <c r="R234"/>
  <c r="V234" s="1"/>
  <c r="W233"/>
  <c r="R233"/>
  <c r="V233" s="1"/>
  <c r="W232"/>
  <c r="R232"/>
  <c r="V232" s="1"/>
  <c r="W231"/>
  <c r="U231"/>
  <c r="T231"/>
  <c r="S231"/>
  <c r="Q231"/>
  <c r="O231"/>
  <c r="M231"/>
  <c r="K231"/>
  <c r="I231"/>
  <c r="H231"/>
  <c r="G231"/>
  <c r="F231"/>
  <c r="E231"/>
  <c r="W230"/>
  <c r="R230"/>
  <c r="V230" s="1"/>
  <c r="W229"/>
  <c r="R229"/>
  <c r="V229" s="1"/>
  <c r="W228"/>
  <c r="R228"/>
  <c r="V228" s="1"/>
  <c r="W227"/>
  <c r="R227"/>
  <c r="V227" s="1"/>
  <c r="W226"/>
  <c r="R226"/>
  <c r="V226" s="1"/>
  <c r="W225"/>
  <c r="R225"/>
  <c r="V225" s="1"/>
  <c r="W224"/>
  <c r="R224"/>
  <c r="V224" s="1"/>
  <c r="W223"/>
  <c r="R223"/>
  <c r="W222"/>
  <c r="U222"/>
  <c r="T222"/>
  <c r="S222"/>
  <c r="Q222"/>
  <c r="O222"/>
  <c r="M222"/>
  <c r="K222"/>
  <c r="I222"/>
  <c r="H222"/>
  <c r="G222"/>
  <c r="F222"/>
  <c r="E222"/>
  <c r="W220"/>
  <c r="R220"/>
  <c r="W219"/>
  <c r="V219"/>
  <c r="R219"/>
  <c r="W218"/>
  <c r="V218"/>
  <c r="R218"/>
  <c r="W217"/>
  <c r="R217"/>
  <c r="V217" s="1"/>
  <c r="W216"/>
  <c r="R216"/>
  <c r="W215"/>
  <c r="V215"/>
  <c r="R215"/>
  <c r="W214"/>
  <c r="V214"/>
  <c r="R214"/>
  <c r="W213"/>
  <c r="R213"/>
  <c r="V213" s="1"/>
  <c r="W212"/>
  <c r="R212"/>
  <c r="W211"/>
  <c r="V211"/>
  <c r="R211"/>
  <c r="W210"/>
  <c r="V210"/>
  <c r="R210"/>
  <c r="W209"/>
  <c r="R209"/>
  <c r="V209" s="1"/>
  <c r="W208"/>
  <c r="R208"/>
  <c r="W207"/>
  <c r="V207"/>
  <c r="R207"/>
  <c r="W206"/>
  <c r="V206"/>
  <c r="R206"/>
  <c r="W205"/>
  <c r="R205"/>
  <c r="V205" s="1"/>
  <c r="W204"/>
  <c r="R204"/>
  <c r="W203"/>
  <c r="V203"/>
  <c r="R203"/>
  <c r="W202"/>
  <c r="V202"/>
  <c r="R202"/>
  <c r="W201"/>
  <c r="R201"/>
  <c r="V201" s="1"/>
  <c r="W200"/>
  <c r="R200"/>
  <c r="W199"/>
  <c r="V199"/>
  <c r="R199"/>
  <c r="W198"/>
  <c r="V198"/>
  <c r="R198"/>
  <c r="W197"/>
  <c r="R197"/>
  <c r="V197" s="1"/>
  <c r="W196"/>
  <c r="R196"/>
  <c r="W195"/>
  <c r="V195"/>
  <c r="R195"/>
  <c r="W194"/>
  <c r="V194"/>
  <c r="R194"/>
  <c r="W193"/>
  <c r="R193"/>
  <c r="V193" s="1"/>
  <c r="W192"/>
  <c r="R192"/>
  <c r="W191"/>
  <c r="V191"/>
  <c r="R191"/>
  <c r="W190"/>
  <c r="V190"/>
  <c r="R190"/>
  <c r="W189"/>
  <c r="R189"/>
  <c r="V189" s="1"/>
  <c r="W188"/>
  <c r="R188"/>
  <c r="W187"/>
  <c r="V187"/>
  <c r="R187"/>
  <c r="W186"/>
  <c r="V186"/>
  <c r="R186"/>
  <c r="W185"/>
  <c r="R185"/>
  <c r="V185" s="1"/>
  <c r="Q183"/>
  <c r="W182"/>
  <c r="V182"/>
  <c r="R182"/>
  <c r="W181"/>
  <c r="V181"/>
  <c r="R181"/>
  <c r="I181"/>
  <c r="G181"/>
  <c r="W180"/>
  <c r="R180"/>
  <c r="V180" s="1"/>
  <c r="W179"/>
  <c r="R179"/>
  <c r="V179" s="1"/>
  <c r="W178"/>
  <c r="R178"/>
  <c r="V178" s="1"/>
  <c r="W177"/>
  <c r="R177"/>
  <c r="V177" s="1"/>
  <c r="W176"/>
  <c r="R176"/>
  <c r="V176" s="1"/>
  <c r="W175"/>
  <c r="R175"/>
  <c r="V175" s="1"/>
  <c r="W174"/>
  <c r="R174"/>
  <c r="V174" s="1"/>
  <c r="W173"/>
  <c r="R173"/>
  <c r="V173" s="1"/>
  <c r="W172"/>
  <c r="R172"/>
  <c r="V172" s="1"/>
  <c r="W171"/>
  <c r="R171"/>
  <c r="V171" s="1"/>
  <c r="W170"/>
  <c r="R170"/>
  <c r="V170" s="1"/>
  <c r="W169"/>
  <c r="R169"/>
  <c r="V169" s="1"/>
  <c r="W168"/>
  <c r="R168"/>
  <c r="V168" s="1"/>
  <c r="W167"/>
  <c r="R167"/>
  <c r="V167" s="1"/>
  <c r="W166"/>
  <c r="R166"/>
  <c r="V166" s="1"/>
  <c r="W165"/>
  <c r="R165"/>
  <c r="V165" s="1"/>
  <c r="W164"/>
  <c r="R164"/>
  <c r="V164" s="1"/>
  <c r="W163"/>
  <c r="R163"/>
  <c r="V163" s="1"/>
  <c r="W162"/>
  <c r="R162"/>
  <c r="V162" s="1"/>
  <c r="W161"/>
  <c r="R161"/>
  <c r="V161" s="1"/>
  <c r="W160"/>
  <c r="R160"/>
  <c r="V160" s="1"/>
  <c r="W159"/>
  <c r="R159"/>
  <c r="V159" s="1"/>
  <c r="W158"/>
  <c r="R158"/>
  <c r="V158" s="1"/>
  <c r="W157"/>
  <c r="R157"/>
  <c r="V157" s="1"/>
  <c r="W156"/>
  <c r="R156"/>
  <c r="V156" s="1"/>
  <c r="W155"/>
  <c r="R155"/>
  <c r="V155" s="1"/>
  <c r="W154"/>
  <c r="R154"/>
  <c r="V154" s="1"/>
  <c r="W153"/>
  <c r="R153"/>
  <c r="V153" s="1"/>
  <c r="W152"/>
  <c r="R152"/>
  <c r="V152" s="1"/>
  <c r="W151"/>
  <c r="R151"/>
  <c r="V151" s="1"/>
  <c r="W150"/>
  <c r="R150"/>
  <c r="V150" s="1"/>
  <c r="W149"/>
  <c r="R149"/>
  <c r="V149" s="1"/>
  <c r="W148"/>
  <c r="R148"/>
  <c r="V148" s="1"/>
  <c r="W147"/>
  <c r="R147"/>
  <c r="V147" s="1"/>
  <c r="W146"/>
  <c r="R146"/>
  <c r="V146" s="1"/>
  <c r="W145"/>
  <c r="R145"/>
  <c r="V145" s="1"/>
  <c r="W144"/>
  <c r="R144"/>
  <c r="V144" s="1"/>
  <c r="W143"/>
  <c r="R143"/>
  <c r="V143" s="1"/>
  <c r="W142"/>
  <c r="R142"/>
  <c r="V142" s="1"/>
  <c r="W141"/>
  <c r="R141"/>
  <c r="V141" s="1"/>
  <c r="W140"/>
  <c r="R140"/>
  <c r="V140" s="1"/>
  <c r="W139"/>
  <c r="R139"/>
  <c r="V139" s="1"/>
  <c r="W138"/>
  <c r="R138"/>
  <c r="V138" s="1"/>
  <c r="W137"/>
  <c r="R137"/>
  <c r="V137" s="1"/>
  <c r="W136"/>
  <c r="R136"/>
  <c r="V136" s="1"/>
  <c r="W135"/>
  <c r="R135"/>
  <c r="V135" s="1"/>
  <c r="R134"/>
  <c r="V134" s="1"/>
  <c r="I134"/>
  <c r="W134" s="1"/>
  <c r="G134"/>
  <c r="W133"/>
  <c r="V133"/>
  <c r="R133"/>
  <c r="I133"/>
  <c r="G133"/>
  <c r="W132"/>
  <c r="R132"/>
  <c r="V132" s="1"/>
  <c r="W131"/>
  <c r="R131"/>
  <c r="V131" s="1"/>
  <c r="W130"/>
  <c r="R130"/>
  <c r="V130" s="1"/>
  <c r="W129"/>
  <c r="R129"/>
  <c r="V129" s="1"/>
  <c r="W128"/>
  <c r="R128"/>
  <c r="V128" s="1"/>
  <c r="W127"/>
  <c r="R127"/>
  <c r="V127" s="1"/>
  <c r="W126"/>
  <c r="R126"/>
  <c r="U125"/>
  <c r="T125"/>
  <c r="S125"/>
  <c r="Q125"/>
  <c r="Q124" s="1"/>
  <c r="O125"/>
  <c r="M125"/>
  <c r="K125"/>
  <c r="H125"/>
  <c r="F125"/>
  <c r="E125"/>
  <c r="U124"/>
  <c r="M124"/>
  <c r="F124"/>
  <c r="E124"/>
  <c r="W123"/>
  <c r="R123"/>
  <c r="V123" s="1"/>
  <c r="W122"/>
  <c r="R122"/>
  <c r="V122" s="1"/>
  <c r="W121"/>
  <c r="R121"/>
  <c r="V121" s="1"/>
  <c r="W120"/>
  <c r="V120"/>
  <c r="W119"/>
  <c r="V119"/>
  <c r="R119"/>
  <c r="W118"/>
  <c r="V118"/>
  <c r="R118"/>
  <c r="W117"/>
  <c r="V117"/>
  <c r="R117"/>
  <c r="W115"/>
  <c r="V115"/>
  <c r="R115"/>
  <c r="W114"/>
  <c r="V114"/>
  <c r="R114"/>
  <c r="W113"/>
  <c r="V113"/>
  <c r="R113"/>
  <c r="W112"/>
  <c r="V112"/>
  <c r="R112"/>
  <c r="W111"/>
  <c r="V111"/>
  <c r="R111"/>
  <c r="W110"/>
  <c r="V110"/>
  <c r="R110"/>
  <c r="W109"/>
  <c r="V109"/>
  <c r="R109"/>
  <c r="W108"/>
  <c r="V108"/>
  <c r="R108"/>
  <c r="W107"/>
  <c r="V107"/>
  <c r="R107"/>
  <c r="W106"/>
  <c r="V106"/>
  <c r="R106"/>
  <c r="W105"/>
  <c r="V105"/>
  <c r="R105"/>
  <c r="W104"/>
  <c r="V104"/>
  <c r="R104"/>
  <c r="W103"/>
  <c r="V103"/>
  <c r="R103"/>
  <c r="W102"/>
  <c r="V102"/>
  <c r="R102"/>
  <c r="W101"/>
  <c r="V101"/>
  <c r="R101"/>
  <c r="W100"/>
  <c r="V100"/>
  <c r="R100"/>
  <c r="W99"/>
  <c r="V99"/>
  <c r="R99"/>
  <c r="W98"/>
  <c r="V98"/>
  <c r="R98"/>
  <c r="W97"/>
  <c r="V97"/>
  <c r="R97"/>
  <c r="W96"/>
  <c r="V96"/>
  <c r="R96"/>
  <c r="W95"/>
  <c r="V95"/>
  <c r="R95"/>
  <c r="W94"/>
  <c r="V94"/>
  <c r="R94"/>
  <c r="W93"/>
  <c r="V93"/>
  <c r="R93"/>
  <c r="W92"/>
  <c r="V92"/>
  <c r="R92"/>
  <c r="W91"/>
  <c r="V91"/>
  <c r="R91"/>
  <c r="W90"/>
  <c r="V90"/>
  <c r="R90"/>
  <c r="W89"/>
  <c r="V89"/>
  <c r="R89"/>
  <c r="W88"/>
  <c r="V88"/>
  <c r="R88"/>
  <c r="W86"/>
  <c r="V86"/>
  <c r="V84" s="1"/>
  <c r="R86"/>
  <c r="O85"/>
  <c r="O84" s="1"/>
  <c r="M85"/>
  <c r="K85"/>
  <c r="K84" s="1"/>
  <c r="U84"/>
  <c r="T84"/>
  <c r="S84"/>
  <c r="R84"/>
  <c r="Q84"/>
  <c r="M84"/>
  <c r="I84"/>
  <c r="H84"/>
  <c r="G84"/>
  <c r="F84"/>
  <c r="E84"/>
  <c r="W83"/>
  <c r="R83"/>
  <c r="W82"/>
  <c r="V82"/>
  <c r="R82"/>
  <c r="W81"/>
  <c r="V81"/>
  <c r="R81"/>
  <c r="W80"/>
  <c r="R80"/>
  <c r="V80" s="1"/>
  <c r="W79"/>
  <c r="R79"/>
  <c r="W78"/>
  <c r="V78"/>
  <c r="R78"/>
  <c r="W77"/>
  <c r="V77"/>
  <c r="R77"/>
  <c r="W76"/>
  <c r="R76"/>
  <c r="V76" s="1"/>
  <c r="W75"/>
  <c r="R75"/>
  <c r="W74"/>
  <c r="V74"/>
  <c r="R74"/>
  <c r="W73"/>
  <c r="V73"/>
  <c r="R73"/>
  <c r="W72"/>
  <c r="R72"/>
  <c r="V72" s="1"/>
  <c r="W71"/>
  <c r="R71"/>
  <c r="W70"/>
  <c r="V70"/>
  <c r="R70"/>
  <c r="W69"/>
  <c r="V69"/>
  <c r="R69"/>
  <c r="R68" s="1"/>
  <c r="W68"/>
  <c r="U68"/>
  <c r="T68"/>
  <c r="S68"/>
  <c r="Q68"/>
  <c r="O68"/>
  <c r="M68"/>
  <c r="K68"/>
  <c r="I68"/>
  <c r="H68"/>
  <c r="G68"/>
  <c r="F68"/>
  <c r="E68"/>
  <c r="W67"/>
  <c r="V67"/>
  <c r="R67"/>
  <c r="W66"/>
  <c r="V66"/>
  <c r="R66"/>
  <c r="W65"/>
  <c r="V65"/>
  <c r="R65"/>
  <c r="W64"/>
  <c r="V64"/>
  <c r="R64"/>
  <c r="W63"/>
  <c r="V63"/>
  <c r="R63"/>
  <c r="W62"/>
  <c r="V62"/>
  <c r="R62"/>
  <c r="W61"/>
  <c r="V61"/>
  <c r="R61"/>
  <c r="W60"/>
  <c r="V60"/>
  <c r="R60"/>
  <c r="W59"/>
  <c r="V59"/>
  <c r="R59"/>
  <c r="W58"/>
  <c r="V58"/>
  <c r="R58"/>
  <c r="W57"/>
  <c r="V57"/>
  <c r="R57"/>
  <c r="W56"/>
  <c r="V56"/>
  <c r="R56"/>
  <c r="W55"/>
  <c r="V55"/>
  <c r="R55"/>
  <c r="W54"/>
  <c r="V54"/>
  <c r="R54"/>
  <c r="W53"/>
  <c r="V53"/>
  <c r="R53"/>
  <c r="W52"/>
  <c r="V52"/>
  <c r="R52"/>
  <c r="W51"/>
  <c r="V51"/>
  <c r="R51"/>
  <c r="W50"/>
  <c r="V50"/>
  <c r="R50"/>
  <c r="W49"/>
  <c r="V49"/>
  <c r="R49"/>
  <c r="W48"/>
  <c r="V48"/>
  <c r="R48"/>
  <c r="W47"/>
  <c r="W46" s="1"/>
  <c r="V47"/>
  <c r="V46" s="1"/>
  <c r="R47"/>
  <c r="U46"/>
  <c r="T46"/>
  <c r="S46"/>
  <c r="R46"/>
  <c r="Q46"/>
  <c r="O46"/>
  <c r="O13" s="1"/>
  <c r="M46"/>
  <c r="K46"/>
  <c r="I46"/>
  <c r="H46"/>
  <c r="G46"/>
  <c r="G13" s="1"/>
  <c r="F46"/>
  <c r="E46"/>
  <c r="W45"/>
  <c r="R45"/>
  <c r="V45" s="1"/>
  <c r="W44"/>
  <c r="R44"/>
  <c r="V44" s="1"/>
  <c r="W43"/>
  <c r="R43"/>
  <c r="V43" s="1"/>
  <c r="W42"/>
  <c r="R42"/>
  <c r="V42" s="1"/>
  <c r="W41"/>
  <c r="R41"/>
  <c r="V41" s="1"/>
  <c r="W40"/>
  <c r="R40"/>
  <c r="V40" s="1"/>
  <c r="W39"/>
  <c r="R39"/>
  <c r="V39" s="1"/>
  <c r="W38"/>
  <c r="R38"/>
  <c r="V38" s="1"/>
  <c r="W37"/>
  <c r="R37"/>
  <c r="V37" s="1"/>
  <c r="W36"/>
  <c r="R36"/>
  <c r="V36" s="1"/>
  <c r="W35"/>
  <c r="U35"/>
  <c r="T35"/>
  <c r="S35"/>
  <c r="Q35"/>
  <c r="O35"/>
  <c r="M35"/>
  <c r="K35"/>
  <c r="I35"/>
  <c r="H35"/>
  <c r="G35"/>
  <c r="F35"/>
  <c r="E35"/>
  <c r="W34"/>
  <c r="R34"/>
  <c r="V34" s="1"/>
  <c r="W33"/>
  <c r="R33"/>
  <c r="V33" s="1"/>
  <c r="W32"/>
  <c r="R32"/>
  <c r="V32" s="1"/>
  <c r="W31"/>
  <c r="R31"/>
  <c r="V31" s="1"/>
  <c r="W30"/>
  <c r="R30"/>
  <c r="V30" s="1"/>
  <c r="W29"/>
  <c r="R29"/>
  <c r="V29" s="1"/>
  <c r="W28"/>
  <c r="R28"/>
  <c r="W27"/>
  <c r="U27"/>
  <c r="T27"/>
  <c r="S27"/>
  <c r="Q27"/>
  <c r="O27"/>
  <c r="M27"/>
  <c r="K27"/>
  <c r="I27"/>
  <c r="H27"/>
  <c r="G27"/>
  <c r="F27"/>
  <c r="E27"/>
  <c r="W26"/>
  <c r="V26"/>
  <c r="R26"/>
  <c r="W25"/>
  <c r="R25"/>
  <c r="V25" s="1"/>
  <c r="W24"/>
  <c r="R24"/>
  <c r="W23"/>
  <c r="V23"/>
  <c r="R23"/>
  <c r="W22"/>
  <c r="V22"/>
  <c r="R22"/>
  <c r="W21"/>
  <c r="R21"/>
  <c r="V21" s="1"/>
  <c r="W20"/>
  <c r="R20"/>
  <c r="W19"/>
  <c r="V19"/>
  <c r="R19"/>
  <c r="W18"/>
  <c r="V18"/>
  <c r="R18"/>
  <c r="W17"/>
  <c r="R17"/>
  <c r="V17" s="1"/>
  <c r="W16"/>
  <c r="R16"/>
  <c r="V15"/>
  <c r="R15"/>
  <c r="W14"/>
  <c r="U14"/>
  <c r="T14"/>
  <c r="S14"/>
  <c r="R14"/>
  <c r="Q14"/>
  <c r="O14"/>
  <c r="M14"/>
  <c r="M13" s="1"/>
  <c r="K14"/>
  <c r="I14"/>
  <c r="H14"/>
  <c r="G14"/>
  <c r="F14"/>
  <c r="E14"/>
  <c r="D14"/>
  <c r="T13"/>
  <c r="S13"/>
  <c r="K13"/>
  <c r="H13"/>
  <c r="J11"/>
  <c r="F28" i="14" l="1"/>
  <c r="AG28" s="1"/>
  <c r="AH28"/>
  <c r="F29"/>
  <c r="AG29" s="1"/>
  <c r="AH29"/>
  <c r="G11"/>
  <c r="AH11" s="1"/>
  <c r="AG30"/>
  <c r="AG23"/>
  <c r="F11"/>
  <c r="AG11" s="1"/>
  <c r="C10" i="12"/>
  <c r="E10"/>
  <c r="O10"/>
  <c r="W10" s="1"/>
  <c r="V14" i="7"/>
  <c r="X10"/>
  <c r="N9"/>
  <c r="X9" s="1"/>
  <c r="L10"/>
  <c r="F8" i="5"/>
  <c r="E8"/>
  <c r="K10" i="6"/>
  <c r="H9"/>
  <c r="J10"/>
  <c r="I10"/>
  <c r="F9"/>
  <c r="J9"/>
  <c r="G8"/>
  <c r="J8" s="1"/>
  <c r="I11"/>
  <c r="H10" i="3"/>
  <c r="F9"/>
  <c r="N13" i="19"/>
  <c r="J480"/>
  <c r="X480"/>
  <c r="L480"/>
  <c r="Y480" s="1"/>
  <c r="J482"/>
  <c r="X482"/>
  <c r="L482"/>
  <c r="P482" s="1"/>
  <c r="W491"/>
  <c r="Z491" s="1"/>
  <c r="V253"/>
  <c r="G12"/>
  <c r="P480"/>
  <c r="P488"/>
  <c r="Y488"/>
  <c r="V498"/>
  <c r="V497" s="1"/>
  <c r="R497"/>
  <c r="V499"/>
  <c r="Y499"/>
  <c r="Y519"/>
  <c r="P519"/>
  <c r="V28"/>
  <c r="V27" s="1"/>
  <c r="R27"/>
  <c r="V126"/>
  <c r="R125"/>
  <c r="V408"/>
  <c r="V454"/>
  <c r="R417"/>
  <c r="P501"/>
  <c r="P500" s="1"/>
  <c r="L500"/>
  <c r="Y501"/>
  <c r="Y500" s="1"/>
  <c r="Q13"/>
  <c r="T124"/>
  <c r="Y491"/>
  <c r="Y498"/>
  <c r="Y497" s="1"/>
  <c r="V522"/>
  <c r="V521" s="1"/>
  <c r="Y548"/>
  <c r="Y547" s="1"/>
  <c r="Y562"/>
  <c r="Y585"/>
  <c r="F13"/>
  <c r="F12" s="1"/>
  <c r="V16"/>
  <c r="V20"/>
  <c r="V24"/>
  <c r="V71"/>
  <c r="V68" s="1"/>
  <c r="V75"/>
  <c r="V79"/>
  <c r="V83"/>
  <c r="I125"/>
  <c r="I124" s="1"/>
  <c r="W125"/>
  <c r="W124" s="1"/>
  <c r="V188"/>
  <c r="V192"/>
  <c r="V196"/>
  <c r="V200"/>
  <c r="V204"/>
  <c r="V208"/>
  <c r="V212"/>
  <c r="V216"/>
  <c r="V220"/>
  <c r="K124"/>
  <c r="O124"/>
  <c r="V247"/>
  <c r="V244" s="1"/>
  <c r="E356"/>
  <c r="I356"/>
  <c r="V379"/>
  <c r="V383"/>
  <c r="V387"/>
  <c r="X491"/>
  <c r="Y522"/>
  <c r="J522"/>
  <c r="J521" s="1"/>
  <c r="L522"/>
  <c r="Y527"/>
  <c r="N551"/>
  <c r="N521" s="1"/>
  <c r="R551"/>
  <c r="R521" s="1"/>
  <c r="Y554"/>
  <c r="Y552" s="1"/>
  <c r="Y551" s="1"/>
  <c r="V223"/>
  <c r="V222" s="1"/>
  <c r="R222"/>
  <c r="V359"/>
  <c r="R357"/>
  <c r="G370"/>
  <c r="G356" s="1"/>
  <c r="P484"/>
  <c r="Y484"/>
  <c r="P486"/>
  <c r="Y486"/>
  <c r="V376"/>
  <c r="V412"/>
  <c r="V455"/>
  <c r="V417" s="1"/>
  <c r="V495"/>
  <c r="Y495"/>
  <c r="U13"/>
  <c r="E13"/>
  <c r="E12" s="1"/>
  <c r="I13"/>
  <c r="V35"/>
  <c r="W84"/>
  <c r="W13" s="1"/>
  <c r="H124"/>
  <c r="H12" s="1"/>
  <c r="S124"/>
  <c r="V231"/>
  <c r="R253"/>
  <c r="R378"/>
  <c r="Y559"/>
  <c r="P481"/>
  <c r="Y481"/>
  <c r="P483"/>
  <c r="Y483"/>
  <c r="P485"/>
  <c r="Y485"/>
  <c r="P487"/>
  <c r="Y487"/>
  <c r="P489"/>
  <c r="Y489"/>
  <c r="V492"/>
  <c r="V491" s="1"/>
  <c r="R491"/>
  <c r="V504"/>
  <c r="V502" s="1"/>
  <c r="R502"/>
  <c r="R35"/>
  <c r="R13" s="1"/>
  <c r="G125"/>
  <c r="G124" s="1"/>
  <c r="R231"/>
  <c r="V295"/>
  <c r="V294" s="1"/>
  <c r="V296"/>
  <c r="M356"/>
  <c r="V363"/>
  <c r="V367"/>
  <c r="V366" s="1"/>
  <c r="V373"/>
  <c r="V370" s="1"/>
  <c r="V381"/>
  <c r="V385"/>
  <c r="Y506"/>
  <c r="Y502" s="1"/>
  <c r="P518"/>
  <c r="R568"/>
  <c r="V586"/>
  <c r="V585" s="1"/>
  <c r="W294"/>
  <c r="X552"/>
  <c r="X551" s="1"/>
  <c r="X521" s="1"/>
  <c r="L568"/>
  <c r="Y569"/>
  <c r="Y568" s="1"/>
  <c r="R364"/>
  <c r="R368"/>
  <c r="V392"/>
  <c r="M10" i="12" l="1"/>
  <c r="U10" s="1"/>
  <c r="V10" i="7"/>
  <c r="L9"/>
  <c r="V9" s="1"/>
  <c r="K9" i="6"/>
  <c r="H8"/>
  <c r="K8" s="1"/>
  <c r="I9"/>
  <c r="F8"/>
  <c r="I8" s="1"/>
  <c r="H9" i="3"/>
  <c r="F8"/>
  <c r="H8" s="1"/>
  <c r="Y482" i="19"/>
  <c r="J479"/>
  <c r="X479"/>
  <c r="L479"/>
  <c r="R356"/>
  <c r="Y521"/>
  <c r="R124"/>
  <c r="L521"/>
  <c r="V378"/>
  <c r="V357"/>
  <c r="V356" s="1"/>
  <c r="V14"/>
  <c r="V13" s="1"/>
  <c r="V125"/>
  <c r="V124" s="1"/>
  <c r="K10" i="12" l="1"/>
  <c r="S10" s="1"/>
  <c r="J478" i="19"/>
  <c r="X478"/>
  <c r="L478"/>
  <c r="P479"/>
  <c r="Y479"/>
  <c r="Y478" l="1"/>
  <c r="P478"/>
  <c r="J477"/>
  <c r="X477"/>
  <c r="L477"/>
  <c r="P477" l="1"/>
  <c r="Y477"/>
  <c r="J476"/>
  <c r="X476"/>
  <c r="L476"/>
  <c r="P476" l="1"/>
  <c r="Y476"/>
  <c r="X475"/>
  <c r="L475"/>
  <c r="J475"/>
  <c r="Y475" l="1"/>
  <c r="P475"/>
  <c r="J474"/>
  <c r="X474"/>
  <c r="L474"/>
  <c r="Y474" l="1"/>
  <c r="P474"/>
  <c r="L473"/>
  <c r="J473"/>
  <c r="X473"/>
  <c r="N99" i="7"/>
  <c r="N102" s="1"/>
  <c r="N98"/>
  <c r="J472" i="19" l="1"/>
  <c r="X472"/>
  <c r="L472"/>
  <c r="P473"/>
  <c r="Y473"/>
  <c r="J471" l="1"/>
  <c r="X471"/>
  <c r="L471"/>
  <c r="Y472"/>
  <c r="P472"/>
  <c r="J470" l="1"/>
  <c r="X470"/>
  <c r="L470"/>
  <c r="P471"/>
  <c r="Y471"/>
  <c r="P470" l="1"/>
  <c r="Y470"/>
  <c r="J469"/>
  <c r="X469"/>
  <c r="L469"/>
  <c r="J468" l="1"/>
  <c r="X468"/>
  <c r="L468"/>
  <c r="P469"/>
  <c r="Y469"/>
  <c r="N95" i="7"/>
  <c r="X467" i="19" l="1"/>
  <c r="L467"/>
  <c r="J467"/>
  <c r="Y468"/>
  <c r="P468"/>
  <c r="J466" l="1"/>
  <c r="X466"/>
  <c r="L466"/>
  <c r="Y467"/>
  <c r="P467"/>
  <c r="U10" i="11"/>
  <c r="V10"/>
  <c r="T12"/>
  <c r="U12"/>
  <c r="V12"/>
  <c r="T13"/>
  <c r="U13"/>
  <c r="V13"/>
  <c r="T14"/>
  <c r="U14"/>
  <c r="V14"/>
  <c r="T15"/>
  <c r="U15"/>
  <c r="V15"/>
  <c r="T16"/>
  <c r="U16"/>
  <c r="V16"/>
  <c r="T17"/>
  <c r="U17"/>
  <c r="V17"/>
  <c r="T18"/>
  <c r="U18"/>
  <c r="V18"/>
  <c r="T19"/>
  <c r="U19"/>
  <c r="V19"/>
  <c r="T20"/>
  <c r="U20"/>
  <c r="V20"/>
  <c r="U21"/>
  <c r="V21"/>
  <c r="U11"/>
  <c r="P12"/>
  <c r="K12" s="1"/>
  <c r="P13"/>
  <c r="P14"/>
  <c r="P15"/>
  <c r="P16"/>
  <c r="K16" s="1"/>
  <c r="P17"/>
  <c r="P18"/>
  <c r="P19"/>
  <c r="P20"/>
  <c r="K20" s="1"/>
  <c r="P21"/>
  <c r="P11"/>
  <c r="S10"/>
  <c r="K13"/>
  <c r="K14"/>
  <c r="K15"/>
  <c r="K17"/>
  <c r="K18"/>
  <c r="K19"/>
  <c r="K21"/>
  <c r="T21" s="1"/>
  <c r="F304" i="18"/>
  <c r="F318"/>
  <c r="F317"/>
  <c r="F316"/>
  <c r="F313"/>
  <c r="E379"/>
  <c r="E376"/>
  <c r="E371"/>
  <c r="E350"/>
  <c r="E348"/>
  <c r="E345"/>
  <c r="E317" s="1"/>
  <c r="E264"/>
  <c r="F264" s="1"/>
  <c r="E6"/>
  <c r="E5" s="1"/>
  <c r="Y466" i="19" l="1"/>
  <c r="P466"/>
  <c r="X465"/>
  <c r="L465"/>
  <c r="J465"/>
  <c r="P10" i="11"/>
  <c r="K11"/>
  <c r="T11" s="1"/>
  <c r="J464" i="19" l="1"/>
  <c r="X464"/>
  <c r="L464"/>
  <c r="P465"/>
  <c r="Y465"/>
  <c r="F21" i="11"/>
  <c r="F20"/>
  <c r="F19"/>
  <c r="F18"/>
  <c r="F17"/>
  <c r="F16"/>
  <c r="F15"/>
  <c r="F14"/>
  <c r="F13"/>
  <c r="F12"/>
  <c r="F11"/>
  <c r="D10"/>
  <c r="E10"/>
  <c r="G10"/>
  <c r="H10"/>
  <c r="I10"/>
  <c r="J10"/>
  <c r="K10"/>
  <c r="T10" s="1"/>
  <c r="L10"/>
  <c r="M10"/>
  <c r="N10"/>
  <c r="O10"/>
  <c r="Q10"/>
  <c r="R10"/>
  <c r="C10"/>
  <c r="J463" i="19" l="1"/>
  <c r="X463"/>
  <c r="L463"/>
  <c r="P464"/>
  <c r="Y464"/>
  <c r="F10" i="11"/>
  <c r="J462" i="19" l="1"/>
  <c r="X462"/>
  <c r="L462"/>
  <c r="Y463"/>
  <c r="P463"/>
  <c r="P462" l="1"/>
  <c r="Y462"/>
  <c r="J461"/>
  <c r="X461"/>
  <c r="L461"/>
  <c r="P461" l="1"/>
  <c r="Y461"/>
  <c r="J460"/>
  <c r="X460"/>
  <c r="L460"/>
  <c r="Y460" l="1"/>
  <c r="P460"/>
  <c r="X459"/>
  <c r="X458" s="1"/>
  <c r="L459"/>
  <c r="J459"/>
  <c r="J458" s="1"/>
  <c r="L458" l="1"/>
  <c r="Y459"/>
  <c r="Y458" s="1"/>
  <c r="P459"/>
  <c r="P458" s="1"/>
  <c r="X456"/>
  <c r="L456"/>
  <c r="J456"/>
  <c r="C10" i="4"/>
  <c r="E10" s="1"/>
  <c r="C31"/>
  <c r="C32"/>
  <c r="D28"/>
  <c r="C28"/>
  <c r="C27" s="1"/>
  <c r="C18"/>
  <c r="E18" s="1"/>
  <c r="D9"/>
  <c r="D8" s="1"/>
  <c r="D7" s="1"/>
  <c r="E19"/>
  <c r="E21"/>
  <c r="E22"/>
  <c r="E24"/>
  <c r="E25"/>
  <c r="E30"/>
  <c r="E31"/>
  <c r="E33"/>
  <c r="C7" l="1"/>
  <c r="E27"/>
  <c r="Y456" i="19"/>
  <c r="P456"/>
  <c r="J455"/>
  <c r="X455"/>
  <c r="L455"/>
  <c r="E28" i="4"/>
  <c r="C9"/>
  <c r="C8" s="1"/>
  <c r="L454" i="19" l="1"/>
  <c r="J454"/>
  <c r="X454"/>
  <c r="P455"/>
  <c r="Y455"/>
  <c r="E9" i="4"/>
  <c r="E7"/>
  <c r="E8"/>
  <c r="X453" i="19" l="1"/>
  <c r="L453"/>
  <c r="J453"/>
  <c r="Y454"/>
  <c r="P454"/>
  <c r="L452" l="1"/>
  <c r="X452"/>
  <c r="J452"/>
  <c r="Y453"/>
  <c r="P453"/>
  <c r="Y452" l="1"/>
  <c r="P452"/>
  <c r="J451"/>
  <c r="X451"/>
  <c r="L451"/>
  <c r="I8" i="3" l="1"/>
  <c r="Y451" i="19"/>
  <c r="P451"/>
  <c r="L450"/>
  <c r="J450"/>
  <c r="X450"/>
  <c r="J449" l="1"/>
  <c r="L449"/>
  <c r="X449"/>
  <c r="Y450"/>
  <c r="P450"/>
  <c r="J8" i="3" l="1"/>
  <c r="X448" i="19"/>
  <c r="J448"/>
  <c r="L448"/>
  <c r="Y449"/>
  <c r="P449"/>
  <c r="X447" l="1"/>
  <c r="J447"/>
  <c r="L447"/>
  <c r="P448"/>
  <c r="Y448"/>
  <c r="Y447" l="1"/>
  <c r="P447"/>
  <c r="X446"/>
  <c r="J446"/>
  <c r="L446"/>
  <c r="X445" l="1"/>
  <c r="L445"/>
  <c r="J445"/>
  <c r="Y446"/>
  <c r="P446"/>
  <c r="X444" l="1"/>
  <c r="J444"/>
  <c r="L444"/>
  <c r="Y445"/>
  <c r="P445"/>
  <c r="J443" l="1"/>
  <c r="X443"/>
  <c r="L443"/>
  <c r="P444"/>
  <c r="Y444"/>
  <c r="Y443" l="1"/>
  <c r="P443"/>
  <c r="L442"/>
  <c r="X442"/>
  <c r="J442"/>
  <c r="Y442" l="1"/>
  <c r="P442"/>
  <c r="J441"/>
  <c r="X441"/>
  <c r="L441"/>
  <c r="Y441" l="1"/>
  <c r="P441"/>
  <c r="X440"/>
  <c r="J440"/>
  <c r="L440"/>
  <c r="X439" l="1"/>
  <c r="J439"/>
  <c r="L439"/>
  <c r="P440"/>
  <c r="Y440"/>
  <c r="X438" l="1"/>
  <c r="J438"/>
  <c r="L438"/>
  <c r="Y439"/>
  <c r="P439"/>
  <c r="X437" l="1"/>
  <c r="L437"/>
  <c r="J437"/>
  <c r="P438"/>
  <c r="Y438"/>
  <c r="L436" l="1"/>
  <c r="X436"/>
  <c r="J436"/>
  <c r="Y437"/>
  <c r="P437"/>
  <c r="J435" l="1"/>
  <c r="X435"/>
  <c r="L435"/>
  <c r="P436"/>
  <c r="Y436"/>
  <c r="Y435" l="1"/>
  <c r="P435"/>
  <c r="L434"/>
  <c r="J434"/>
  <c r="X434"/>
  <c r="P434" l="1"/>
  <c r="Y434"/>
  <c r="J433"/>
  <c r="L433"/>
  <c r="X433"/>
  <c r="Y433" l="1"/>
  <c r="P433"/>
  <c r="X432"/>
  <c r="J432"/>
  <c r="L432"/>
  <c r="X431" l="1"/>
  <c r="J431"/>
  <c r="L431"/>
  <c r="P432"/>
  <c r="Y432"/>
  <c r="Y431" l="1"/>
  <c r="P431"/>
  <c r="X430"/>
  <c r="J430"/>
  <c r="L430"/>
  <c r="Y430" l="1"/>
  <c r="P430"/>
  <c r="X429"/>
  <c r="L429"/>
  <c r="J429"/>
  <c r="Y429" l="1"/>
  <c r="P429"/>
  <c r="X428"/>
  <c r="J428"/>
  <c r="L428"/>
  <c r="Y428" l="1"/>
  <c r="P428"/>
  <c r="J427"/>
  <c r="X427"/>
  <c r="L427"/>
  <c r="L426" l="1"/>
  <c r="X426"/>
  <c r="J426"/>
  <c r="Y427"/>
  <c r="P427"/>
  <c r="J425" l="1"/>
  <c r="X425"/>
  <c r="L425"/>
  <c r="Y426"/>
  <c r="P426"/>
  <c r="X424" l="1"/>
  <c r="J424"/>
  <c r="L424"/>
  <c r="Y425"/>
  <c r="P425"/>
  <c r="X423" l="1"/>
  <c r="L423"/>
  <c r="J423"/>
  <c r="P424"/>
  <c r="Y424"/>
  <c r="X422" l="1"/>
  <c r="J422"/>
  <c r="L422"/>
  <c r="Y423"/>
  <c r="P423"/>
  <c r="X421" l="1"/>
  <c r="J421"/>
  <c r="L421"/>
  <c r="Y422"/>
  <c r="P422"/>
  <c r="X420" l="1"/>
  <c r="L420"/>
  <c r="J420"/>
  <c r="P421"/>
  <c r="Y421"/>
  <c r="J419" l="1"/>
  <c r="X419"/>
  <c r="L419"/>
  <c r="Y420"/>
  <c r="P420"/>
  <c r="P419" l="1"/>
  <c r="Y419"/>
  <c r="J418"/>
  <c r="J417" s="1"/>
  <c r="X418"/>
  <c r="X417" s="1"/>
  <c r="L418"/>
  <c r="L417" l="1"/>
  <c r="Y418"/>
  <c r="Y417" s="1"/>
  <c r="P418"/>
  <c r="P417" s="1"/>
  <c r="X416"/>
  <c r="X415" s="1"/>
  <c r="J416"/>
  <c r="J415" s="1"/>
  <c r="X414" l="1"/>
  <c r="J414"/>
  <c r="L414"/>
  <c r="Y414" l="1"/>
  <c r="P414"/>
  <c r="X413"/>
  <c r="L413"/>
  <c r="J413"/>
  <c r="Y413" l="1"/>
  <c r="P413"/>
  <c r="J412"/>
  <c r="X412"/>
  <c r="L412"/>
  <c r="P412" l="1"/>
  <c r="Y412"/>
  <c r="L411"/>
  <c r="X411"/>
  <c r="J411"/>
  <c r="X410" l="1"/>
  <c r="L410"/>
  <c r="J410"/>
  <c r="Y411"/>
  <c r="P411"/>
  <c r="Y410" l="1"/>
  <c r="P410"/>
  <c r="J409"/>
  <c r="X409"/>
  <c r="L409"/>
  <c r="P409" l="1"/>
  <c r="Y409"/>
  <c r="L408"/>
  <c r="J408"/>
  <c r="X408"/>
  <c r="J407" l="1"/>
  <c r="X407"/>
  <c r="L407"/>
  <c r="P408"/>
  <c r="Y408"/>
  <c r="P407" l="1"/>
  <c r="Y407"/>
  <c r="J406"/>
  <c r="X406"/>
  <c r="L406"/>
  <c r="X405" l="1"/>
  <c r="J405"/>
  <c r="Y406"/>
  <c r="P406"/>
  <c r="J404" l="1"/>
  <c r="L404"/>
  <c r="X404"/>
  <c r="X403" l="1"/>
  <c r="J403"/>
  <c r="L403"/>
  <c r="Y404"/>
  <c r="P404"/>
  <c r="Y403" l="1"/>
  <c r="P403"/>
  <c r="X402"/>
  <c r="J402"/>
  <c r="L402"/>
  <c r="X401" l="1"/>
  <c r="J401"/>
  <c r="L401"/>
  <c r="Y402"/>
  <c r="P402"/>
  <c r="X400" l="1"/>
  <c r="J400"/>
  <c r="L400"/>
  <c r="Y401"/>
  <c r="P401"/>
  <c r="L399" l="1"/>
  <c r="J399"/>
  <c r="X399"/>
  <c r="Y400"/>
  <c r="P400"/>
  <c r="Y399" l="1"/>
  <c r="P399"/>
  <c r="L398"/>
  <c r="X398"/>
  <c r="J398"/>
  <c r="Y398" l="1"/>
  <c r="P398"/>
  <c r="X397"/>
  <c r="J397"/>
  <c r="L397"/>
  <c r="Y397" l="1"/>
  <c r="P397"/>
  <c r="X396"/>
  <c r="L396"/>
  <c r="J396"/>
  <c r="L395" l="1"/>
  <c r="J395"/>
  <c r="X395"/>
  <c r="Y396"/>
  <c r="P396"/>
  <c r="J394" l="1"/>
  <c r="X394"/>
  <c r="L394"/>
  <c r="Y395"/>
  <c r="P395"/>
  <c r="Y394" l="1"/>
  <c r="P394"/>
  <c r="L393"/>
  <c r="J393"/>
  <c r="X393"/>
  <c r="X392" l="1"/>
  <c r="J392"/>
  <c r="Y393"/>
  <c r="P393"/>
  <c r="J390" l="1"/>
  <c r="X390"/>
  <c r="L390"/>
  <c r="Y390" l="1"/>
  <c r="P390"/>
  <c r="X389"/>
  <c r="J389"/>
  <c r="J388" l="1"/>
  <c r="X388"/>
  <c r="L388"/>
  <c r="L387" l="1"/>
  <c r="J387"/>
  <c r="X387"/>
  <c r="P388"/>
  <c r="Y388"/>
  <c r="L386" l="1"/>
  <c r="J386"/>
  <c r="X386"/>
  <c r="P387"/>
  <c r="Y387"/>
  <c r="X385" l="1"/>
  <c r="J385"/>
  <c r="L385"/>
  <c r="P386"/>
  <c r="Y386"/>
  <c r="X384" l="1"/>
  <c r="L384"/>
  <c r="J384"/>
  <c r="P385"/>
  <c r="Y385"/>
  <c r="P384" l="1"/>
  <c r="Y384"/>
  <c r="L383"/>
  <c r="J383"/>
  <c r="X383"/>
  <c r="P383" l="1"/>
  <c r="Y383"/>
  <c r="X382"/>
  <c r="J382"/>
  <c r="L382"/>
  <c r="X381" l="1"/>
  <c r="J381"/>
  <c r="L381"/>
  <c r="P382"/>
  <c r="Y382"/>
  <c r="X380" l="1"/>
  <c r="L380"/>
  <c r="J380"/>
  <c r="P381"/>
  <c r="Y381"/>
  <c r="X379" l="1"/>
  <c r="X378" s="1"/>
  <c r="J379"/>
  <c r="J378" s="1"/>
  <c r="L379"/>
  <c r="P380"/>
  <c r="Y380"/>
  <c r="X377" l="1"/>
  <c r="L377"/>
  <c r="J377"/>
  <c r="P379"/>
  <c r="P378" s="1"/>
  <c r="Y379"/>
  <c r="Y378" s="1"/>
  <c r="L378"/>
  <c r="L376" l="1"/>
  <c r="X376"/>
  <c r="J376"/>
  <c r="Y377"/>
  <c r="P377"/>
  <c r="P376" l="1"/>
  <c r="Y376"/>
  <c r="X375"/>
  <c r="L375"/>
  <c r="J375"/>
  <c r="X374" l="1"/>
  <c r="J374"/>
  <c r="L374"/>
  <c r="P375"/>
  <c r="Y375"/>
  <c r="P374" l="1"/>
  <c r="Y374"/>
  <c r="X373"/>
  <c r="J373"/>
  <c r="L373"/>
  <c r="P373" l="1"/>
  <c r="Y373"/>
  <c r="X372"/>
  <c r="L372"/>
  <c r="J372"/>
  <c r="P372" l="1"/>
  <c r="Y372"/>
  <c r="J371"/>
  <c r="J370" s="1"/>
  <c r="X371"/>
  <c r="X370" s="1"/>
  <c r="L371"/>
  <c r="J369" l="1"/>
  <c r="J368" s="1"/>
  <c r="X369"/>
  <c r="X368" s="1"/>
  <c r="L369"/>
  <c r="P371"/>
  <c r="P370" s="1"/>
  <c r="L370"/>
  <c r="Y371"/>
  <c r="Y370" s="1"/>
  <c r="L367" l="1"/>
  <c r="X367"/>
  <c r="X366" s="1"/>
  <c r="J367"/>
  <c r="J366" s="1"/>
  <c r="Y369"/>
  <c r="Y368" s="1"/>
  <c r="L368"/>
  <c r="P369"/>
  <c r="P368" s="1"/>
  <c r="J365" l="1"/>
  <c r="J364" s="1"/>
  <c r="X365"/>
  <c r="X364" s="1"/>
  <c r="L365"/>
  <c r="P367"/>
  <c r="P366" s="1"/>
  <c r="L366"/>
  <c r="Y367"/>
  <c r="Y366" s="1"/>
  <c r="L363" l="1"/>
  <c r="X363"/>
  <c r="J363"/>
  <c r="Y365"/>
  <c r="Y364" s="1"/>
  <c r="L364"/>
  <c r="P365"/>
  <c r="P364" s="1"/>
  <c r="P363" l="1"/>
  <c r="Y363"/>
  <c r="J362"/>
  <c r="X362"/>
  <c r="L362"/>
  <c r="P362" l="1"/>
  <c r="Y362"/>
  <c r="X360"/>
  <c r="L360"/>
  <c r="J360"/>
  <c r="X359" l="1"/>
  <c r="X357" s="1"/>
  <c r="X356" s="1"/>
  <c r="J359"/>
  <c r="J357" s="1"/>
  <c r="J356" s="1"/>
  <c r="L359"/>
  <c r="P360"/>
  <c r="Y360"/>
  <c r="P359" l="1"/>
  <c r="P357" s="1"/>
  <c r="P356" s="1"/>
  <c r="Y359"/>
  <c r="Y357" s="1"/>
  <c r="Y356" s="1"/>
  <c r="L357"/>
  <c r="L356" s="1"/>
  <c r="L354"/>
  <c r="J354"/>
  <c r="X354"/>
  <c r="Y354" l="1"/>
  <c r="P354"/>
  <c r="J353"/>
  <c r="X353"/>
  <c r="L353"/>
  <c r="Y353" l="1"/>
  <c r="P353"/>
  <c r="J352"/>
  <c r="X352"/>
  <c r="L352"/>
  <c r="Y352" l="1"/>
  <c r="P352"/>
  <c r="J351"/>
  <c r="X351"/>
  <c r="L351"/>
  <c r="Y351" l="1"/>
  <c r="P351"/>
  <c r="J350"/>
  <c r="X350"/>
  <c r="L350"/>
  <c r="P350" l="1"/>
  <c r="Y350"/>
  <c r="J349"/>
  <c r="X349"/>
  <c r="L349"/>
  <c r="Y349" l="1"/>
  <c r="P349"/>
  <c r="X348"/>
  <c r="L348"/>
  <c r="J348"/>
  <c r="J347" l="1"/>
  <c r="X347"/>
  <c r="L347"/>
  <c r="Y348"/>
  <c r="P348"/>
  <c r="Y347" l="1"/>
  <c r="P347"/>
  <c r="J346"/>
  <c r="X346"/>
  <c r="L346"/>
  <c r="Y346" l="1"/>
  <c r="P346"/>
  <c r="J345"/>
  <c r="X345"/>
  <c r="L345"/>
  <c r="Y345" l="1"/>
  <c r="P345"/>
  <c r="J344"/>
  <c r="X344"/>
  <c r="L344"/>
  <c r="Y344" l="1"/>
  <c r="P344"/>
  <c r="J343"/>
  <c r="X343"/>
  <c r="L343"/>
  <c r="J342" l="1"/>
  <c r="X342"/>
  <c r="L342"/>
  <c r="Y343"/>
  <c r="P343"/>
  <c r="Y342" l="1"/>
  <c r="P342"/>
  <c r="J341"/>
  <c r="X341"/>
  <c r="L341"/>
  <c r="Y341" l="1"/>
  <c r="P341"/>
  <c r="X340"/>
  <c r="L340"/>
  <c r="J340"/>
  <c r="J339" l="1"/>
  <c r="X339"/>
  <c r="L339"/>
  <c r="Y340"/>
  <c r="P340"/>
  <c r="Y339" l="1"/>
  <c r="P339"/>
  <c r="J338"/>
  <c r="X338"/>
  <c r="L338"/>
  <c r="Y338" l="1"/>
  <c r="P338"/>
  <c r="J337"/>
  <c r="X337"/>
  <c r="L337"/>
  <c r="Y337" l="1"/>
  <c r="P337"/>
  <c r="X336"/>
  <c r="J336"/>
  <c r="L336"/>
  <c r="P336" l="1"/>
  <c r="Y336"/>
  <c r="J335"/>
  <c r="X335"/>
  <c r="L335"/>
  <c r="Y335" l="1"/>
  <c r="P335"/>
  <c r="L334"/>
  <c r="X334"/>
  <c r="J334"/>
  <c r="Y334" l="1"/>
  <c r="P334"/>
  <c r="J333"/>
  <c r="X333"/>
  <c r="L333"/>
  <c r="Y333" l="1"/>
  <c r="P333"/>
  <c r="X332"/>
  <c r="J332"/>
  <c r="L332"/>
  <c r="L331" l="1"/>
  <c r="J331"/>
  <c r="X331"/>
  <c r="P332"/>
  <c r="Y332"/>
  <c r="Y331" l="1"/>
  <c r="P331"/>
  <c r="X330"/>
  <c r="J330"/>
  <c r="L330"/>
  <c r="X329" l="1"/>
  <c r="L329"/>
  <c r="J329"/>
  <c r="Y330"/>
  <c r="P330"/>
  <c r="L328" l="1"/>
  <c r="X328"/>
  <c r="J328"/>
  <c r="Y329"/>
  <c r="P329"/>
  <c r="J327" l="1"/>
  <c r="X327"/>
  <c r="L327"/>
  <c r="P328"/>
  <c r="Y328"/>
  <c r="Y327" l="1"/>
  <c r="P327"/>
  <c r="L326"/>
  <c r="J326"/>
  <c r="X326"/>
  <c r="J325" l="1"/>
  <c r="X325"/>
  <c r="L325"/>
  <c r="Y326"/>
  <c r="P326"/>
  <c r="X324" l="1"/>
  <c r="J324"/>
  <c r="L324"/>
  <c r="Y325"/>
  <c r="P325"/>
  <c r="L323" l="1"/>
  <c r="X323"/>
  <c r="J323"/>
  <c r="P324"/>
  <c r="Y324"/>
  <c r="J322" l="1"/>
  <c r="X322"/>
  <c r="L322"/>
  <c r="Y323"/>
  <c r="P323"/>
  <c r="J321" l="1"/>
  <c r="X321"/>
  <c r="L321"/>
  <c r="P322"/>
  <c r="Y322"/>
  <c r="L320" l="1"/>
  <c r="X320"/>
  <c r="J320"/>
  <c r="Y321"/>
  <c r="P321"/>
  <c r="J319" l="1"/>
  <c r="X319"/>
  <c r="L319"/>
  <c r="Y320"/>
  <c r="P320"/>
  <c r="X318" l="1"/>
  <c r="J318"/>
  <c r="L318"/>
  <c r="Y319"/>
  <c r="P319"/>
  <c r="Y318" l="1"/>
  <c r="P318"/>
  <c r="J317"/>
  <c r="L317"/>
  <c r="X317"/>
  <c r="Y317" l="1"/>
  <c r="P317"/>
  <c r="L316"/>
  <c r="X316"/>
  <c r="J316"/>
  <c r="J315" l="1"/>
  <c r="L315"/>
  <c r="X315"/>
  <c r="Y316"/>
  <c r="P316"/>
  <c r="X314" l="1"/>
  <c r="L314"/>
  <c r="J314"/>
  <c r="Y315"/>
  <c r="P315"/>
  <c r="J313" l="1"/>
  <c r="X313"/>
  <c r="L313"/>
  <c r="P314"/>
  <c r="Y314"/>
  <c r="J312" l="1"/>
  <c r="L312"/>
  <c r="X312"/>
  <c r="Y313"/>
  <c r="P313"/>
  <c r="X311" l="1"/>
  <c r="J311"/>
  <c r="L311"/>
  <c r="Y312"/>
  <c r="P312"/>
  <c r="J310" l="1"/>
  <c r="X310"/>
  <c r="L310"/>
  <c r="Y311"/>
  <c r="P311"/>
  <c r="P310" l="1"/>
  <c r="Y310"/>
  <c r="J309"/>
  <c r="X309"/>
  <c r="L309"/>
  <c r="Y309" l="1"/>
  <c r="P309"/>
  <c r="L308"/>
  <c r="X308"/>
  <c r="J308"/>
  <c r="J307" l="1"/>
  <c r="L307"/>
  <c r="X307"/>
  <c r="Y308"/>
  <c r="P308"/>
  <c r="L306" l="1"/>
  <c r="J306"/>
  <c r="X306"/>
  <c r="Y307"/>
  <c r="P307"/>
  <c r="J305" l="1"/>
  <c r="X305"/>
  <c r="L305"/>
  <c r="Y306"/>
  <c r="P306"/>
  <c r="J304" l="1"/>
  <c r="L304"/>
  <c r="X304"/>
  <c r="Y305"/>
  <c r="P305"/>
  <c r="X303" l="1"/>
  <c r="L303"/>
  <c r="J303"/>
  <c r="Y304"/>
  <c r="P304"/>
  <c r="Y303" l="1"/>
  <c r="P303"/>
  <c r="J302"/>
  <c r="X302"/>
  <c r="L302"/>
  <c r="X301" l="1"/>
  <c r="L301"/>
  <c r="J301"/>
  <c r="Y302"/>
  <c r="P302"/>
  <c r="L300" l="1"/>
  <c r="X300"/>
  <c r="J300"/>
  <c r="Y301"/>
  <c r="P301"/>
  <c r="J299" l="1"/>
  <c r="L299"/>
  <c r="X299"/>
  <c r="Y300"/>
  <c r="P300"/>
  <c r="X298" l="1"/>
  <c r="L298"/>
  <c r="J298"/>
  <c r="Y299"/>
  <c r="P299"/>
  <c r="X297" l="1"/>
  <c r="J297"/>
  <c r="Y298"/>
  <c r="P298"/>
  <c r="X296" l="1"/>
  <c r="L296"/>
  <c r="J296"/>
  <c r="J295" l="1"/>
  <c r="J294" s="1"/>
  <c r="X295"/>
  <c r="X294" s="1"/>
  <c r="L295"/>
  <c r="P296"/>
  <c r="Y296"/>
  <c r="J293" l="1"/>
  <c r="J292" s="1"/>
  <c r="L293"/>
  <c r="X293"/>
  <c r="X292" s="1"/>
  <c r="P295"/>
  <c r="P294" s="1"/>
  <c r="Y295"/>
  <c r="Y294" s="1"/>
  <c r="L294"/>
  <c r="J291" l="1"/>
  <c r="X291"/>
  <c r="L291"/>
  <c r="Y293"/>
  <c r="Y292" s="1"/>
  <c r="P293"/>
  <c r="P292" s="1"/>
  <c r="L292"/>
  <c r="X290" l="1"/>
  <c r="J290"/>
  <c r="L290"/>
  <c r="P291"/>
  <c r="Y291"/>
  <c r="J289" l="1"/>
  <c r="X289"/>
  <c r="L289"/>
  <c r="P290"/>
  <c r="Y290"/>
  <c r="X288" l="1"/>
  <c r="J288"/>
  <c r="L288"/>
  <c r="P289"/>
  <c r="Y289"/>
  <c r="J287" l="1"/>
  <c r="X287"/>
  <c r="L287"/>
  <c r="P288"/>
  <c r="Y288"/>
  <c r="P287" l="1"/>
  <c r="Y287"/>
  <c r="X286"/>
  <c r="J286"/>
  <c r="L286"/>
  <c r="P286" l="1"/>
  <c r="Y286"/>
  <c r="J285"/>
  <c r="X285"/>
  <c r="L285"/>
  <c r="P285" l="1"/>
  <c r="Y285"/>
  <c r="X284"/>
  <c r="J284"/>
  <c r="L284"/>
  <c r="J283" l="1"/>
  <c r="X283"/>
  <c r="L283"/>
  <c r="P284"/>
  <c r="Y284"/>
  <c r="X282" l="1"/>
  <c r="J282"/>
  <c r="L282"/>
  <c r="P283"/>
  <c r="Y283"/>
  <c r="J281" l="1"/>
  <c r="X281"/>
  <c r="L281"/>
  <c r="P282"/>
  <c r="Y282"/>
  <c r="X280" l="1"/>
  <c r="J280"/>
  <c r="L280"/>
  <c r="P281"/>
  <c r="Y281"/>
  <c r="J279" l="1"/>
  <c r="X279"/>
  <c r="L279"/>
  <c r="P280"/>
  <c r="Y280"/>
  <c r="P279" l="1"/>
  <c r="Y279"/>
  <c r="J278"/>
  <c r="X278"/>
  <c r="L278"/>
  <c r="X277" l="1"/>
  <c r="L277"/>
  <c r="J277"/>
  <c r="Y278"/>
  <c r="P278"/>
  <c r="J276" l="1"/>
  <c r="X276"/>
  <c r="L276"/>
  <c r="P277"/>
  <c r="Y277"/>
  <c r="X275" l="1"/>
  <c r="L275"/>
  <c r="J275"/>
  <c r="P276"/>
  <c r="Y276"/>
  <c r="J274" l="1"/>
  <c r="X274"/>
  <c r="L274"/>
  <c r="P275"/>
  <c r="Y275"/>
  <c r="X273" l="1"/>
  <c r="L273"/>
  <c r="J273"/>
  <c r="P274"/>
  <c r="Y274"/>
  <c r="J272" l="1"/>
  <c r="L272"/>
  <c r="X272"/>
  <c r="P273"/>
  <c r="Y273"/>
  <c r="X271" l="1"/>
  <c r="L271"/>
  <c r="J271"/>
  <c r="P272"/>
  <c r="Y272"/>
  <c r="P271" l="1"/>
  <c r="Y271"/>
  <c r="J270"/>
  <c r="X270"/>
  <c r="L270"/>
  <c r="P270" l="1"/>
  <c r="Y270"/>
  <c r="X269"/>
  <c r="L269"/>
  <c r="J269"/>
  <c r="P269" l="1"/>
  <c r="Y269"/>
  <c r="J268"/>
  <c r="L268"/>
  <c r="X268"/>
  <c r="P268" l="1"/>
  <c r="Y268"/>
  <c r="X267"/>
  <c r="L267"/>
  <c r="J267"/>
  <c r="P267" l="1"/>
  <c r="Y267"/>
  <c r="J266"/>
  <c r="X266"/>
  <c r="L266"/>
  <c r="P266" l="1"/>
  <c r="Y266"/>
  <c r="X265"/>
  <c r="L265"/>
  <c r="J265"/>
  <c r="P265" l="1"/>
  <c r="Y265"/>
  <c r="J264"/>
  <c r="X264"/>
  <c r="L264"/>
  <c r="P264" l="1"/>
  <c r="Y264"/>
  <c r="X263"/>
  <c r="J263"/>
  <c r="L263"/>
  <c r="Y263" l="1"/>
  <c r="P263"/>
  <c r="J262"/>
  <c r="X262"/>
  <c r="L262"/>
  <c r="P262" l="1"/>
  <c r="Y262"/>
  <c r="X261"/>
  <c r="J261"/>
  <c r="L261"/>
  <c r="P261" l="1"/>
  <c r="Y261"/>
  <c r="J260"/>
  <c r="X260"/>
  <c r="L260"/>
  <c r="P260" l="1"/>
  <c r="Y260"/>
  <c r="X259"/>
  <c r="J259"/>
  <c r="L259"/>
  <c r="P259" l="1"/>
  <c r="Y259"/>
  <c r="J258"/>
  <c r="X258"/>
  <c r="L258"/>
  <c r="P258" l="1"/>
  <c r="Y258"/>
  <c r="X257"/>
  <c r="J257"/>
  <c r="L257"/>
  <c r="P257" l="1"/>
  <c r="Y257"/>
  <c r="J256"/>
  <c r="X256"/>
  <c r="L256"/>
  <c r="P256" l="1"/>
  <c r="Y256"/>
  <c r="J255"/>
  <c r="X255"/>
  <c r="L255"/>
  <c r="Y255" l="1"/>
  <c r="P255"/>
  <c r="X254"/>
  <c r="X253" s="1"/>
  <c r="L254"/>
  <c r="J254"/>
  <c r="J253" s="1"/>
  <c r="X252" l="1"/>
  <c r="L252"/>
  <c r="J252"/>
  <c r="P254"/>
  <c r="P253" s="1"/>
  <c r="L253"/>
  <c r="Y254"/>
  <c r="Y253" s="1"/>
  <c r="P252" l="1"/>
  <c r="Y252"/>
  <c r="J251"/>
  <c r="X251"/>
  <c r="X250" l="1"/>
  <c r="J250"/>
  <c r="L250"/>
  <c r="L249" l="1"/>
  <c r="X249"/>
  <c r="J249"/>
  <c r="P250"/>
  <c r="Y250"/>
  <c r="J248" l="1"/>
  <c r="L248"/>
  <c r="X248"/>
  <c r="Y249"/>
  <c r="P249"/>
  <c r="X247" l="1"/>
  <c r="J247"/>
  <c r="L247"/>
  <c r="P248"/>
  <c r="Y248"/>
  <c r="P247" l="1"/>
  <c r="Y247"/>
  <c r="L246"/>
  <c r="J246"/>
  <c r="X246"/>
  <c r="P246" l="1"/>
  <c r="Y246"/>
  <c r="L245"/>
  <c r="X245"/>
  <c r="X244" s="1"/>
  <c r="J245"/>
  <c r="J244" s="1"/>
  <c r="X243" l="1"/>
  <c r="J243"/>
  <c r="L243"/>
  <c r="L244"/>
  <c r="Y245"/>
  <c r="Y244" s="1"/>
  <c r="P245"/>
  <c r="P244" s="1"/>
  <c r="J242" l="1"/>
  <c r="X242"/>
  <c r="L242"/>
  <c r="Y243"/>
  <c r="P243"/>
  <c r="P242" l="1"/>
  <c r="Y242"/>
  <c r="J241"/>
  <c r="X241"/>
  <c r="L241"/>
  <c r="Y241" l="1"/>
  <c r="P241"/>
  <c r="L240"/>
  <c r="X240"/>
  <c r="X239" s="1"/>
  <c r="J240"/>
  <c r="J239" s="1"/>
  <c r="L238" l="1"/>
  <c r="X238"/>
  <c r="J238"/>
  <c r="Y240"/>
  <c r="Y239" s="1"/>
  <c r="P240"/>
  <c r="P239" s="1"/>
  <c r="L239"/>
  <c r="X237" l="1"/>
  <c r="J237"/>
  <c r="L237"/>
  <c r="Y238"/>
  <c r="P238"/>
  <c r="X236" l="1"/>
  <c r="L236"/>
  <c r="J236"/>
  <c r="P237"/>
  <c r="Y237"/>
  <c r="X235" l="1"/>
  <c r="J235"/>
  <c r="L235"/>
  <c r="Y236"/>
  <c r="P236"/>
  <c r="X234" l="1"/>
  <c r="L234"/>
  <c r="J234"/>
  <c r="Y235"/>
  <c r="P235"/>
  <c r="Y234" l="1"/>
  <c r="P234"/>
  <c r="J233"/>
  <c r="X233"/>
  <c r="L233"/>
  <c r="Y233" l="1"/>
  <c r="P233"/>
  <c r="J232"/>
  <c r="J231" s="1"/>
  <c r="X232"/>
  <c r="X231" s="1"/>
  <c r="L232"/>
  <c r="J230" l="1"/>
  <c r="X230"/>
  <c r="L230"/>
  <c r="Y232"/>
  <c r="Y231" s="1"/>
  <c r="P232"/>
  <c r="P231" s="1"/>
  <c r="L231"/>
  <c r="Y230" l="1"/>
  <c r="P230"/>
  <c r="J229"/>
  <c r="X229"/>
  <c r="L229"/>
  <c r="Y229" l="1"/>
  <c r="P229"/>
  <c r="X228"/>
  <c r="L228"/>
  <c r="J228"/>
  <c r="J227" l="1"/>
  <c r="X227"/>
  <c r="L227"/>
  <c r="P228"/>
  <c r="Y228"/>
  <c r="L226" l="1"/>
  <c r="J226"/>
  <c r="X226"/>
  <c r="P227"/>
  <c r="Y227"/>
  <c r="X225" l="1"/>
  <c r="L225"/>
  <c r="J225"/>
  <c r="Y226"/>
  <c r="P226"/>
  <c r="J224" l="1"/>
  <c r="X224"/>
  <c r="L224"/>
  <c r="Y225"/>
  <c r="P225"/>
  <c r="X223" l="1"/>
  <c r="X222" s="1"/>
  <c r="L223"/>
  <c r="J223"/>
  <c r="J222" s="1"/>
  <c r="P224"/>
  <c r="Y224"/>
  <c r="P223" l="1"/>
  <c r="P222" s="1"/>
  <c r="L222"/>
  <c r="Y223"/>
  <c r="Y222"/>
  <c r="L220"/>
  <c r="X220"/>
  <c r="J220"/>
  <c r="P220" l="1"/>
  <c r="Y220"/>
  <c r="J219"/>
  <c r="X219"/>
  <c r="L219"/>
  <c r="P219" l="1"/>
  <c r="Y219"/>
  <c r="X218"/>
  <c r="L218"/>
  <c r="J218"/>
  <c r="X217" l="1"/>
  <c r="J217"/>
  <c r="L217"/>
  <c r="P218"/>
  <c r="Y218"/>
  <c r="X216" l="1"/>
  <c r="J216"/>
  <c r="L216"/>
  <c r="P217"/>
  <c r="Y217"/>
  <c r="X215" l="1"/>
  <c r="L215"/>
  <c r="J215"/>
  <c r="P216"/>
  <c r="Y216"/>
  <c r="P215" l="1"/>
  <c r="Y215"/>
  <c r="J214"/>
  <c r="X214"/>
  <c r="L214"/>
  <c r="P214" l="1"/>
  <c r="Y214"/>
  <c r="X213"/>
  <c r="J213"/>
  <c r="L213"/>
  <c r="L212" l="1"/>
  <c r="J212"/>
  <c r="X212"/>
  <c r="P213"/>
  <c r="Y213"/>
  <c r="P212" l="1"/>
  <c r="Y212"/>
  <c r="J211"/>
  <c r="X211"/>
  <c r="L211"/>
  <c r="P211" l="1"/>
  <c r="Y211"/>
  <c r="X210"/>
  <c r="L210"/>
  <c r="J210"/>
  <c r="X209" l="1"/>
  <c r="J209"/>
  <c r="L209"/>
  <c r="P210"/>
  <c r="Y210"/>
  <c r="X208" l="1"/>
  <c r="J208"/>
  <c r="L208"/>
  <c r="P209"/>
  <c r="Y209"/>
  <c r="X207" l="1"/>
  <c r="L207"/>
  <c r="J207"/>
  <c r="P208"/>
  <c r="Y208"/>
  <c r="P207" l="1"/>
  <c r="Y207"/>
  <c r="J206"/>
  <c r="X206"/>
  <c r="L206"/>
  <c r="P206" l="1"/>
  <c r="Y206"/>
  <c r="X205"/>
  <c r="J205"/>
  <c r="L205"/>
  <c r="P205" l="1"/>
  <c r="Y205"/>
  <c r="L204"/>
  <c r="J204"/>
  <c r="X204"/>
  <c r="J203" l="1"/>
  <c r="X203"/>
  <c r="L203"/>
  <c r="P204"/>
  <c r="Y204"/>
  <c r="X202" l="1"/>
  <c r="L202"/>
  <c r="J202"/>
  <c r="P203"/>
  <c r="Y203"/>
  <c r="P202" l="1"/>
  <c r="Y202"/>
  <c r="X201"/>
  <c r="J201"/>
  <c r="L201"/>
  <c r="P201" l="1"/>
  <c r="Y201"/>
  <c r="X200"/>
  <c r="J200"/>
  <c r="L200"/>
  <c r="P200" l="1"/>
  <c r="Y200"/>
  <c r="X199"/>
  <c r="L199"/>
  <c r="J199"/>
  <c r="J198" l="1"/>
  <c r="X198"/>
  <c r="L198"/>
  <c r="P199"/>
  <c r="Y199"/>
  <c r="P198" l="1"/>
  <c r="Y198"/>
  <c r="X197"/>
  <c r="J197"/>
  <c r="L197"/>
  <c r="P197" l="1"/>
  <c r="Y197"/>
  <c r="L196"/>
  <c r="X196"/>
  <c r="J196"/>
  <c r="J195" l="1"/>
  <c r="X195"/>
  <c r="L195"/>
  <c r="P196"/>
  <c r="Y196"/>
  <c r="X194" l="1"/>
  <c r="L194"/>
  <c r="J194"/>
  <c r="P195"/>
  <c r="Y195"/>
  <c r="P194" l="1"/>
  <c r="Y194"/>
  <c r="X193"/>
  <c r="J193"/>
  <c r="L193"/>
  <c r="P193" l="1"/>
  <c r="Y193"/>
  <c r="X192"/>
  <c r="J192"/>
  <c r="L192"/>
  <c r="P192" l="1"/>
  <c r="Y192"/>
  <c r="X191"/>
  <c r="L191"/>
  <c r="J191"/>
  <c r="J190" l="1"/>
  <c r="X190"/>
  <c r="L190"/>
  <c r="P191"/>
  <c r="Y191"/>
  <c r="P190" l="1"/>
  <c r="Y190"/>
  <c r="X189"/>
  <c r="J189"/>
  <c r="L189"/>
  <c r="P189" l="1"/>
  <c r="Y189"/>
  <c r="L188"/>
  <c r="J188"/>
  <c r="X188"/>
  <c r="J187" l="1"/>
  <c r="X187"/>
  <c r="L187"/>
  <c r="P188"/>
  <c r="Y188"/>
  <c r="X186" l="1"/>
  <c r="L186"/>
  <c r="J186"/>
  <c r="P187"/>
  <c r="Y187"/>
  <c r="P186" l="1"/>
  <c r="Y186"/>
  <c r="X185"/>
  <c r="J185"/>
  <c r="L185"/>
  <c r="L182" l="1"/>
  <c r="J182"/>
  <c r="X182"/>
  <c r="P185"/>
  <c r="Y185"/>
  <c r="J181" l="1"/>
  <c r="L181"/>
  <c r="X181"/>
  <c r="Y182"/>
  <c r="P182"/>
  <c r="J180" l="1"/>
  <c r="L180"/>
  <c r="X180"/>
  <c r="P181"/>
  <c r="Y181"/>
  <c r="J179" l="1"/>
  <c r="L179"/>
  <c r="X179"/>
  <c r="P180"/>
  <c r="Y180"/>
  <c r="X178" l="1"/>
  <c r="L178"/>
  <c r="J178"/>
  <c r="Y179"/>
  <c r="P179"/>
  <c r="Y178" l="1"/>
  <c r="P178"/>
  <c r="J177"/>
  <c r="L177"/>
  <c r="X177"/>
  <c r="P177" l="1"/>
  <c r="Y177"/>
  <c r="X176"/>
  <c r="L176"/>
  <c r="J176"/>
  <c r="P176" l="1"/>
  <c r="Y176"/>
  <c r="J175"/>
  <c r="X175"/>
  <c r="L175"/>
  <c r="J174" l="1"/>
  <c r="X174"/>
  <c r="L174"/>
  <c r="Y175"/>
  <c r="P175"/>
  <c r="X173" l="1"/>
  <c r="L173"/>
  <c r="J173"/>
  <c r="Y174"/>
  <c r="P174"/>
  <c r="X172" l="1"/>
  <c r="L172"/>
  <c r="J172"/>
  <c r="P173"/>
  <c r="Y173"/>
  <c r="J171" l="1"/>
  <c r="X171"/>
  <c r="L171"/>
  <c r="P172"/>
  <c r="Y172"/>
  <c r="L170" l="1"/>
  <c r="J170"/>
  <c r="X170"/>
  <c r="P171"/>
  <c r="Y171"/>
  <c r="X169" l="1"/>
  <c r="L169"/>
  <c r="J169"/>
  <c r="Y170"/>
  <c r="P170"/>
  <c r="L168" l="1"/>
  <c r="J168"/>
  <c r="X168"/>
  <c r="P169"/>
  <c r="Y169"/>
  <c r="X167" l="1"/>
  <c r="J167"/>
  <c r="L167"/>
  <c r="P168"/>
  <c r="Y168"/>
  <c r="X166" l="1"/>
  <c r="L166"/>
  <c r="J166"/>
  <c r="Y167"/>
  <c r="P167"/>
  <c r="Y166" l="1"/>
  <c r="P166"/>
  <c r="X165"/>
  <c r="J165"/>
  <c r="L165"/>
  <c r="P165" l="1"/>
  <c r="Y165"/>
  <c r="X164"/>
  <c r="L164"/>
  <c r="J164"/>
  <c r="P164" l="1"/>
  <c r="Y164"/>
  <c r="J163"/>
  <c r="X163"/>
  <c r="L163"/>
  <c r="Y163" l="1"/>
  <c r="P163"/>
  <c r="X162"/>
  <c r="J162"/>
  <c r="L162"/>
  <c r="Y162" l="1"/>
  <c r="P162"/>
  <c r="X161"/>
  <c r="L161"/>
  <c r="J161"/>
  <c r="X160" l="1"/>
  <c r="J160"/>
  <c r="L160"/>
  <c r="P161"/>
  <c r="Y161"/>
  <c r="L159" l="1"/>
  <c r="J159"/>
  <c r="X159"/>
  <c r="P160"/>
  <c r="Y160"/>
  <c r="X158" l="1"/>
  <c r="L158"/>
  <c r="J158"/>
  <c r="Y159"/>
  <c r="P159"/>
  <c r="Y158" l="1"/>
  <c r="P158"/>
  <c r="X157"/>
  <c r="L157"/>
  <c r="J157"/>
  <c r="P157" l="1"/>
  <c r="Y157"/>
  <c r="X156"/>
  <c r="L156"/>
  <c r="J156"/>
  <c r="J155" l="1"/>
  <c r="X155"/>
  <c r="L155"/>
  <c r="P156"/>
  <c r="Y156"/>
  <c r="L154" l="1"/>
  <c r="J154"/>
  <c r="X154"/>
  <c r="P155"/>
  <c r="Y155"/>
  <c r="X153" l="1"/>
  <c r="L153"/>
  <c r="J153"/>
  <c r="Y154"/>
  <c r="P154"/>
  <c r="X152" l="1"/>
  <c r="J152"/>
  <c r="L152"/>
  <c r="P153"/>
  <c r="Y153"/>
  <c r="J151" l="1"/>
  <c r="X151"/>
  <c r="L151"/>
  <c r="P152"/>
  <c r="Y152"/>
  <c r="X150" l="1"/>
  <c r="L150"/>
  <c r="J150"/>
  <c r="Y151"/>
  <c r="P151"/>
  <c r="Y150" l="1"/>
  <c r="P150"/>
  <c r="L149"/>
  <c r="J149"/>
  <c r="X149"/>
  <c r="X148" l="1"/>
  <c r="L148"/>
  <c r="J148"/>
  <c r="P149"/>
  <c r="Y149"/>
  <c r="J147" l="1"/>
  <c r="X147"/>
  <c r="L147"/>
  <c r="P148"/>
  <c r="Y148"/>
  <c r="L146" l="1"/>
  <c r="J146"/>
  <c r="X146"/>
  <c r="P147"/>
  <c r="Y147"/>
  <c r="X145" l="1"/>
  <c r="L145"/>
  <c r="J145"/>
  <c r="Y146"/>
  <c r="P146"/>
  <c r="X144" l="1"/>
  <c r="J144"/>
  <c r="L144"/>
  <c r="P145"/>
  <c r="Y145"/>
  <c r="L143" l="1"/>
  <c r="J143"/>
  <c r="X143"/>
  <c r="P144"/>
  <c r="Y144"/>
  <c r="X142" l="1"/>
  <c r="L142"/>
  <c r="J142"/>
  <c r="Y143"/>
  <c r="P143"/>
  <c r="Y142" l="1"/>
  <c r="P142"/>
  <c r="X141"/>
  <c r="J141"/>
  <c r="L141"/>
  <c r="P141" l="1"/>
  <c r="Y141"/>
  <c r="X140"/>
  <c r="L140"/>
  <c r="J140"/>
  <c r="P140" l="1"/>
  <c r="Y140"/>
  <c r="J139"/>
  <c r="X139"/>
  <c r="L139"/>
  <c r="X138" l="1"/>
  <c r="J138"/>
  <c r="L138"/>
  <c r="Y139"/>
  <c r="P139"/>
  <c r="X137" l="1"/>
  <c r="L137"/>
  <c r="J137"/>
  <c r="P138"/>
  <c r="Y138"/>
  <c r="P137" l="1"/>
  <c r="Y137"/>
  <c r="L136"/>
  <c r="J136"/>
  <c r="X136"/>
  <c r="L135" l="1"/>
  <c r="J135"/>
  <c r="X135"/>
  <c r="P136"/>
  <c r="Y136"/>
  <c r="L134" l="1"/>
  <c r="X134"/>
  <c r="J134"/>
  <c r="Y135"/>
  <c r="P135"/>
  <c r="P134" l="1"/>
  <c r="Y134"/>
  <c r="L133"/>
  <c r="J133"/>
  <c r="X133"/>
  <c r="X132" l="1"/>
  <c r="L132"/>
  <c r="J132"/>
  <c r="P133"/>
  <c r="Y133"/>
  <c r="J131" l="1"/>
  <c r="X131"/>
  <c r="L131"/>
  <c r="P132"/>
  <c r="Y132"/>
  <c r="X130" l="1"/>
  <c r="J130"/>
  <c r="L130"/>
  <c r="Y131"/>
  <c r="P131"/>
  <c r="X129" l="1"/>
  <c r="L129"/>
  <c r="J129"/>
  <c r="P130"/>
  <c r="Y130"/>
  <c r="X128" l="1"/>
  <c r="J128"/>
  <c r="L128"/>
  <c r="P129"/>
  <c r="Y129"/>
  <c r="J127" l="1"/>
  <c r="L127"/>
  <c r="X127"/>
  <c r="P128"/>
  <c r="Y128"/>
  <c r="X126" l="1"/>
  <c r="X125" s="1"/>
  <c r="X124" s="1"/>
  <c r="L126"/>
  <c r="J126"/>
  <c r="J125" s="1"/>
  <c r="J124" s="1"/>
  <c r="Y127"/>
  <c r="P127"/>
  <c r="L125" l="1"/>
  <c r="L124" s="1"/>
  <c r="Y126"/>
  <c r="Y125" s="1"/>
  <c r="Y124" s="1"/>
  <c r="P126"/>
  <c r="P125" s="1"/>
  <c r="P124" s="1"/>
  <c r="J123"/>
  <c r="X123"/>
  <c r="L123"/>
  <c r="Y123" l="1"/>
  <c r="P123"/>
  <c r="X122"/>
  <c r="J122"/>
  <c r="L122"/>
  <c r="Y122" l="1"/>
  <c r="P122"/>
  <c r="X121"/>
  <c r="L121"/>
  <c r="J121"/>
  <c r="Y121" l="1"/>
  <c r="P121"/>
  <c r="J120"/>
  <c r="L120"/>
  <c r="X120"/>
  <c r="P120" l="1"/>
  <c r="Y120"/>
  <c r="J119"/>
  <c r="X119"/>
  <c r="L119"/>
  <c r="Y119" l="1"/>
  <c r="P119"/>
  <c r="L118"/>
  <c r="J118"/>
  <c r="X118"/>
  <c r="Y118" l="1"/>
  <c r="P118"/>
  <c r="J117"/>
  <c r="X117"/>
  <c r="L117"/>
  <c r="Y117" l="1"/>
  <c r="P117"/>
  <c r="J115"/>
  <c r="X115"/>
  <c r="L115"/>
  <c r="Y115" l="1"/>
  <c r="P115"/>
  <c r="J114"/>
  <c r="X114"/>
  <c r="L114"/>
  <c r="X113" l="1"/>
  <c r="J113"/>
  <c r="L113"/>
  <c r="Y114"/>
  <c r="P114"/>
  <c r="J112" l="1"/>
  <c r="X112"/>
  <c r="L112"/>
  <c r="Y113"/>
  <c r="P113"/>
  <c r="J111" l="1"/>
  <c r="L111"/>
  <c r="X111"/>
  <c r="Y112"/>
  <c r="P112"/>
  <c r="Y111" l="1"/>
  <c r="P111"/>
  <c r="J110"/>
  <c r="X110"/>
  <c r="L110"/>
  <c r="Y110" l="1"/>
  <c r="P110"/>
  <c r="X109"/>
  <c r="J109"/>
  <c r="L109"/>
  <c r="Y109" l="1"/>
  <c r="P109"/>
  <c r="J108"/>
  <c r="X108"/>
  <c r="L108"/>
  <c r="J107" l="1"/>
  <c r="X107"/>
  <c r="L107"/>
  <c r="P108"/>
  <c r="Y108"/>
  <c r="J106" l="1"/>
  <c r="X106"/>
  <c r="L106"/>
  <c r="Y107"/>
  <c r="P107"/>
  <c r="J105" l="1"/>
  <c r="X105"/>
  <c r="L105"/>
  <c r="Y106"/>
  <c r="P106"/>
  <c r="J104" l="1"/>
  <c r="X104"/>
  <c r="L104"/>
  <c r="Y105"/>
  <c r="P105"/>
  <c r="J103" l="1"/>
  <c r="X103"/>
  <c r="L103"/>
  <c r="Y104"/>
  <c r="P104"/>
  <c r="J102" l="1"/>
  <c r="X102"/>
  <c r="L102"/>
  <c r="Y103"/>
  <c r="P103"/>
  <c r="J101" l="1"/>
  <c r="X101"/>
  <c r="L101"/>
  <c r="Y102"/>
  <c r="P102"/>
  <c r="J100" l="1"/>
  <c r="X100"/>
  <c r="L100"/>
  <c r="Y101"/>
  <c r="P101"/>
  <c r="J99" l="1"/>
  <c r="X99"/>
  <c r="L99"/>
  <c r="Y100"/>
  <c r="P100"/>
  <c r="J98" l="1"/>
  <c r="X98"/>
  <c r="L98"/>
  <c r="P99"/>
  <c r="Y99"/>
  <c r="J97" l="1"/>
  <c r="X97"/>
  <c r="L97"/>
  <c r="Y98"/>
  <c r="P98"/>
  <c r="J96" l="1"/>
  <c r="X96"/>
  <c r="L96"/>
  <c r="Y97"/>
  <c r="P97"/>
  <c r="J95" l="1"/>
  <c r="X95"/>
  <c r="L95"/>
  <c r="Y96"/>
  <c r="P96"/>
  <c r="J94" l="1"/>
  <c r="X94"/>
  <c r="L94"/>
  <c r="Y95"/>
  <c r="P95"/>
  <c r="Y94" l="1"/>
  <c r="P94"/>
  <c r="J93"/>
  <c r="X93"/>
  <c r="L93"/>
  <c r="Y93" l="1"/>
  <c r="P93"/>
  <c r="J92"/>
  <c r="X92"/>
  <c r="L92"/>
  <c r="Y92" l="1"/>
  <c r="P92"/>
  <c r="J91"/>
  <c r="X91"/>
  <c r="L91"/>
  <c r="Y91" l="1"/>
  <c r="P91"/>
  <c r="J90"/>
  <c r="X90"/>
  <c r="L90"/>
  <c r="Y90" l="1"/>
  <c r="P90"/>
  <c r="J89"/>
  <c r="X89"/>
  <c r="L89"/>
  <c r="Y89" l="1"/>
  <c r="P89"/>
  <c r="J88"/>
  <c r="X88"/>
  <c r="L88"/>
  <c r="J86" l="1"/>
  <c r="J84" s="1"/>
  <c r="X86"/>
  <c r="X84" s="1"/>
  <c r="L86"/>
  <c r="Y88"/>
  <c r="P88"/>
  <c r="J83" l="1"/>
  <c r="X83"/>
  <c r="L83"/>
  <c r="P86"/>
  <c r="P85" s="1"/>
  <c r="P84" s="1"/>
  <c r="L85"/>
  <c r="L84" s="1"/>
  <c r="Y86"/>
  <c r="Y84" s="1"/>
  <c r="P83" l="1"/>
  <c r="Y83"/>
  <c r="J82"/>
  <c r="X82"/>
  <c r="L82"/>
  <c r="J81" l="1"/>
  <c r="X81"/>
  <c r="L81"/>
  <c r="P82"/>
  <c r="Y82"/>
  <c r="X80" l="1"/>
  <c r="J80"/>
  <c r="L80"/>
  <c r="P81"/>
  <c r="Y81"/>
  <c r="X79" l="1"/>
  <c r="J79"/>
  <c r="L79"/>
  <c r="P80"/>
  <c r="Y80"/>
  <c r="P79" l="1"/>
  <c r="Y79"/>
  <c r="J78"/>
  <c r="L78"/>
  <c r="X78"/>
  <c r="J77" l="1"/>
  <c r="X77"/>
  <c r="L77"/>
  <c r="P78"/>
  <c r="Y78"/>
  <c r="L76" l="1"/>
  <c r="J76"/>
  <c r="X76"/>
  <c r="P77"/>
  <c r="Y77"/>
  <c r="J75" l="1"/>
  <c r="X75"/>
  <c r="L75"/>
  <c r="P76"/>
  <c r="Y76"/>
  <c r="J74" l="1"/>
  <c r="X74"/>
  <c r="L74"/>
  <c r="P75"/>
  <c r="Y75"/>
  <c r="J73" l="1"/>
  <c r="X73"/>
  <c r="L73"/>
  <c r="P74"/>
  <c r="Y74"/>
  <c r="L72" l="1"/>
  <c r="X72"/>
  <c r="J72"/>
  <c r="P73"/>
  <c r="Y73"/>
  <c r="X71" l="1"/>
  <c r="J71"/>
  <c r="L71"/>
  <c r="P72"/>
  <c r="Y72"/>
  <c r="J70" l="1"/>
  <c r="X70"/>
  <c r="L70"/>
  <c r="P71"/>
  <c r="Y71"/>
  <c r="J69" l="1"/>
  <c r="J68" s="1"/>
  <c r="X69"/>
  <c r="X68" s="1"/>
  <c r="L69"/>
  <c r="P70"/>
  <c r="Y70"/>
  <c r="J67" l="1"/>
  <c r="X67"/>
  <c r="L67"/>
  <c r="P69"/>
  <c r="P68" s="1"/>
  <c r="L68"/>
  <c r="Y69"/>
  <c r="Y68" s="1"/>
  <c r="J66" l="1"/>
  <c r="L66"/>
  <c r="X66"/>
  <c r="Y67"/>
  <c r="P67"/>
  <c r="J65" l="1"/>
  <c r="X65"/>
  <c r="L65"/>
  <c r="P66"/>
  <c r="Y66"/>
  <c r="J64" l="1"/>
  <c r="L64"/>
  <c r="X64"/>
  <c r="P65"/>
  <c r="Y65"/>
  <c r="J63" l="1"/>
  <c r="X63"/>
  <c r="L63"/>
  <c r="Y64"/>
  <c r="P64"/>
  <c r="J62" l="1"/>
  <c r="X62"/>
  <c r="L62"/>
  <c r="Y63"/>
  <c r="P63"/>
  <c r="J61" l="1"/>
  <c r="X61"/>
  <c r="L61"/>
  <c r="P62"/>
  <c r="Y62"/>
  <c r="J60" l="1"/>
  <c r="X60"/>
  <c r="L60"/>
  <c r="Y61"/>
  <c r="P61"/>
  <c r="J59" l="1"/>
  <c r="X59"/>
  <c r="L59"/>
  <c r="P60"/>
  <c r="Y60"/>
  <c r="J58" l="1"/>
  <c r="X58"/>
  <c r="L58"/>
  <c r="Y59"/>
  <c r="P59"/>
  <c r="J57" l="1"/>
  <c r="X57"/>
  <c r="L57"/>
  <c r="Y58"/>
  <c r="P58"/>
  <c r="J56" l="1"/>
  <c r="X56"/>
  <c r="L56"/>
  <c r="P57"/>
  <c r="Y57"/>
  <c r="J55" l="1"/>
  <c r="X55"/>
  <c r="L55"/>
  <c r="Y56"/>
  <c r="P56"/>
  <c r="J54" l="1"/>
  <c r="L54"/>
  <c r="X54"/>
  <c r="Y55"/>
  <c r="P55"/>
  <c r="J53" l="1"/>
  <c r="X53"/>
  <c r="L53"/>
  <c r="P54"/>
  <c r="Y54"/>
  <c r="J52" l="1"/>
  <c r="L52"/>
  <c r="X52"/>
  <c r="Y53"/>
  <c r="P53"/>
  <c r="J51" l="1"/>
  <c r="X51"/>
  <c r="L51"/>
  <c r="Y52"/>
  <c r="P52"/>
  <c r="J50" l="1"/>
  <c r="L50"/>
  <c r="X50"/>
  <c r="Y51"/>
  <c r="P51"/>
  <c r="J49" l="1"/>
  <c r="X49"/>
  <c r="L49"/>
  <c r="Y50"/>
  <c r="P50"/>
  <c r="J48" l="1"/>
  <c r="L48"/>
  <c r="X48"/>
  <c r="P49"/>
  <c r="Y49"/>
  <c r="J47" l="1"/>
  <c r="J46" s="1"/>
  <c r="X47"/>
  <c r="X46" s="1"/>
  <c r="L47"/>
  <c r="P48"/>
  <c r="Y48"/>
  <c r="Y47" l="1"/>
  <c r="Y46" s="1"/>
  <c r="P47"/>
  <c r="P46" s="1"/>
  <c r="L46"/>
  <c r="X45"/>
  <c r="J45"/>
  <c r="L45"/>
  <c r="Y45" l="1"/>
  <c r="P45"/>
  <c r="X44"/>
  <c r="L44"/>
  <c r="J44"/>
  <c r="Y44" l="1"/>
  <c r="P44"/>
  <c r="X43"/>
  <c r="J43"/>
  <c r="L43"/>
  <c r="Y43" l="1"/>
  <c r="P43"/>
  <c r="J42"/>
  <c r="X42"/>
  <c r="L42"/>
  <c r="Y42" l="1"/>
  <c r="P42"/>
  <c r="L41"/>
  <c r="J41"/>
  <c r="X41"/>
  <c r="L40" l="1"/>
  <c r="J40"/>
  <c r="X40"/>
  <c r="Y41"/>
  <c r="P41"/>
  <c r="X39" l="1"/>
  <c r="J39"/>
  <c r="L39"/>
  <c r="Y40"/>
  <c r="P40"/>
  <c r="J38" l="1"/>
  <c r="X38"/>
  <c r="L38"/>
  <c r="Y39"/>
  <c r="P39"/>
  <c r="L37" l="1"/>
  <c r="X37"/>
  <c r="J37"/>
  <c r="Y38"/>
  <c r="P38"/>
  <c r="X36" l="1"/>
  <c r="X35" s="1"/>
  <c r="L36"/>
  <c r="J36"/>
  <c r="J35" s="1"/>
  <c r="Y37"/>
  <c r="P37"/>
  <c r="J34" l="1"/>
  <c r="L34"/>
  <c r="X34"/>
  <c r="Y36"/>
  <c r="Y35" s="1"/>
  <c r="P36"/>
  <c r="P35" s="1"/>
  <c r="L35"/>
  <c r="P34" l="1"/>
  <c r="Y34"/>
  <c r="X33"/>
  <c r="L33"/>
  <c r="J33"/>
  <c r="Y33" l="1"/>
  <c r="P33"/>
  <c r="J32"/>
  <c r="X32"/>
  <c r="L32"/>
  <c r="P32" l="1"/>
  <c r="Y32"/>
  <c r="J31"/>
  <c r="X31"/>
  <c r="L31"/>
  <c r="P31" l="1"/>
  <c r="Y31"/>
  <c r="J30"/>
  <c r="X30"/>
  <c r="L30"/>
  <c r="P30" l="1"/>
  <c r="Y30"/>
  <c r="L29"/>
  <c r="J29"/>
  <c r="X29"/>
  <c r="J28" l="1"/>
  <c r="J27" s="1"/>
  <c r="X28"/>
  <c r="X27" s="1"/>
  <c r="L28"/>
  <c r="Y29"/>
  <c r="P29"/>
  <c r="L26" l="1"/>
  <c r="J26"/>
  <c r="X26"/>
  <c r="Y28"/>
  <c r="Y27" s="1"/>
  <c r="P28"/>
  <c r="P27" s="1"/>
  <c r="L27"/>
  <c r="P26" l="1"/>
  <c r="Y26"/>
  <c r="X25"/>
  <c r="J25"/>
  <c r="L25"/>
  <c r="P25" l="1"/>
  <c r="Y25"/>
  <c r="L24"/>
  <c r="X24"/>
  <c r="J24"/>
  <c r="L23" l="1"/>
  <c r="J23"/>
  <c r="X23"/>
  <c r="P24"/>
  <c r="Y24"/>
  <c r="X22" l="1"/>
  <c r="L22"/>
  <c r="J22"/>
  <c r="P23"/>
  <c r="Y23"/>
  <c r="P22" l="1"/>
  <c r="Y22"/>
  <c r="J21"/>
  <c r="X21"/>
  <c r="L21"/>
  <c r="P21" l="1"/>
  <c r="Y21"/>
  <c r="X20"/>
  <c r="J20"/>
  <c r="L20"/>
  <c r="P20" l="1"/>
  <c r="Y20"/>
  <c r="X19"/>
  <c r="L19"/>
  <c r="J19"/>
  <c r="X18" l="1"/>
  <c r="J18"/>
  <c r="L18"/>
  <c r="P19"/>
  <c r="Y19"/>
  <c r="X17" l="1"/>
  <c r="J17"/>
  <c r="L17"/>
  <c r="P18"/>
  <c r="Y18"/>
  <c r="L16" l="1"/>
  <c r="X16"/>
  <c r="J16"/>
  <c r="P17"/>
  <c r="Y17"/>
  <c r="P16" l="1"/>
  <c r="Y16"/>
  <c r="X15"/>
  <c r="X14" s="1"/>
  <c r="X13" s="1"/>
  <c r="N12"/>
  <c r="J15"/>
  <c r="J14" s="1"/>
  <c r="J13" s="1"/>
  <c r="J12" s="1"/>
  <c r="L15"/>
  <c r="P15" l="1"/>
  <c r="P14" s="1"/>
  <c r="P13" s="1"/>
  <c r="Y15"/>
  <c r="Y14" s="1"/>
  <c r="Y13" s="1"/>
  <c r="L14"/>
  <c r="L13" s="1"/>
  <c r="L12" s="1"/>
</calcChain>
</file>

<file path=xl/comments1.xml><?xml version="1.0" encoding="utf-8"?>
<comments xmlns="http://schemas.openxmlformats.org/spreadsheetml/2006/main">
  <authors>
    <author>admin</author>
  </authors>
  <commentList>
    <comment ref="Q179" authorId="0">
      <text>
        <r>
          <rPr>
            <b/>
            <sz val="8"/>
            <color indexed="81"/>
            <rFont val="Tahoma"/>
            <family val="2"/>
          </rPr>
          <t>admin:</t>
        </r>
        <r>
          <rPr>
            <sz val="8"/>
            <color indexed="81"/>
            <rFont val="Tahoma"/>
            <family val="2"/>
          </rPr>
          <t xml:space="preserve">
các công trình này nằm trong 249 tỷ đồng nhưng thnah toán tại KBNN tỉnh</t>
        </r>
      </text>
    </comment>
    <comment ref="K236" authorId="0">
      <text>
        <r>
          <rPr>
            <b/>
            <sz val="8"/>
            <color indexed="81"/>
            <rFont val="Tahoma"/>
            <family val="2"/>
          </rPr>
          <t>admin:</t>
        </r>
        <r>
          <rPr>
            <sz val="8"/>
            <color indexed="81"/>
            <rFont val="Tahoma"/>
            <family val="2"/>
          </rPr>
          <t xml:space="preserve">
3.777.000.000
</t>
        </r>
      </text>
    </comment>
    <comment ref="Q447" authorId="0">
      <text>
        <r>
          <rPr>
            <b/>
            <sz val="8"/>
            <color indexed="81"/>
            <rFont val="Tahoma"/>
            <family val="2"/>
          </rPr>
          <t>admin:</t>
        </r>
        <r>
          <rPr>
            <sz val="8"/>
            <color indexed="81"/>
            <rFont val="Tahoma"/>
            <family val="2"/>
          </rPr>
          <t xml:space="preserve">
tăng thu XSKT là 25.000.000.000 đồng và Twbscmt hoàn trả địa phương là 20 tỷ đồng
</t>
        </r>
      </text>
    </comment>
  </commentList>
</comments>
</file>

<file path=xl/sharedStrings.xml><?xml version="1.0" encoding="utf-8"?>
<sst xmlns="http://schemas.openxmlformats.org/spreadsheetml/2006/main" count="3147" uniqueCount="1431">
  <si>
    <t>(Dùng cho ngân sách các cấp chính quyền địa phương)</t>
  </si>
  <si>
    <t>Đơn vị: Triệu đồng</t>
  </si>
  <si>
    <t>STT</t>
  </si>
  <si>
    <t>Dự toán</t>
  </si>
  <si>
    <t>Quyết toán</t>
  </si>
  <si>
    <t>So sánh</t>
  </si>
  <si>
    <t>Tuyệt đối</t>
  </si>
  <si>
    <t>A</t>
  </si>
  <si>
    <t>B</t>
  </si>
  <si>
    <t>3=2-1</t>
  </si>
  <si>
    <t>TỔNG NGUỒN THU NSĐP</t>
  </si>
  <si>
    <t>I</t>
  </si>
  <si>
    <t>Thu NSĐP được hưởng theo phân cấp</t>
  </si>
  <si>
    <t>-</t>
  </si>
  <si>
    <t>Thu NSĐP hưởng 100%</t>
  </si>
  <si>
    <t>Thu NSĐP hưởng từ các khoản thu phân chia</t>
  </si>
  <si>
    <t>II</t>
  </si>
  <si>
    <t>Thu bổ sung từ ngân sách cấp trên</t>
  </si>
  <si>
    <t>Thu bổ sung cân đối ngân sách</t>
  </si>
  <si>
    <t>Thu bổ sung có mục tiêu</t>
  </si>
  <si>
    <t>III</t>
  </si>
  <si>
    <t>Thu từ quỹ dự trữ tài chính</t>
  </si>
  <si>
    <t>IV</t>
  </si>
  <si>
    <t>Thu kết dư</t>
  </si>
  <si>
    <t>V</t>
  </si>
  <si>
    <t>Thu chuyển nguồn từ năm trước chuyển sang</t>
  </si>
  <si>
    <t>TỔNG CHI NSĐP</t>
  </si>
  <si>
    <t>Tổng chi cân đối NSĐP</t>
  </si>
  <si>
    <t>Chi đầu tư phát triển</t>
  </si>
  <si>
    <t>Chi thường xuyên</t>
  </si>
  <si>
    <t>Chi trả nợ lãi các khoản do chính quyền địa phương vay</t>
  </si>
  <si>
    <t>Chi bổ sung quỹ dự trữ tài chính</t>
  </si>
  <si>
    <t>Dự phòng ngân sách</t>
  </si>
  <si>
    <t>Chi tạo nguồn, điều chỉnh tiền lương</t>
  </si>
  <si>
    <t>Chi các chương trình mục tiêu</t>
  </si>
  <si>
    <t>Chi các chương trình mục tiêu quốc gia</t>
  </si>
  <si>
    <t>Chi các chương trình mục tiêu, nhiệm vụ</t>
  </si>
  <si>
    <t>Chi chuyển nguồn sang năm sau</t>
  </si>
  <si>
    <t>C</t>
  </si>
  <si>
    <t>D</t>
  </si>
  <si>
    <t>CHI TRẢ NỢ GỐC CỦA NSĐP</t>
  </si>
  <si>
    <t>Từ nguồn vay để trả nợ gốc</t>
  </si>
  <si>
    <t>Từ nguồn bội thu, tăng thu, tiết kiệm chi, kết dư ngân sách cấp tỉnh</t>
  </si>
  <si>
    <t>E</t>
  </si>
  <si>
    <t>TỔNG MỨC VAY CỦA NSĐP</t>
  </si>
  <si>
    <t>Vay để bù đắp bội chi</t>
  </si>
  <si>
    <t>Vay để trả nợ gốc</t>
  </si>
  <si>
    <t>G</t>
  </si>
  <si>
    <t>TỔNG MỨC DƯ NỢ VAY CUỐI NĂM CỦA NSĐP</t>
  </si>
  <si>
    <t>Biểu mẫu số 49</t>
  </si>
  <si>
    <t>QUYẾT TOÁN CÂN ĐỐI NGUỒN THU, CHI NGÂN SÁCH CẤP TỈNH (HUYỆN) VÀ NGÂN SÁCH HUYỆN (XÃ) NĂM...</t>
  </si>
  <si>
    <t>(Dùng cho ngân sách tỉnh, huyện)</t>
  </si>
  <si>
    <t>Nội dung</t>
  </si>
  <si>
    <t>So sánh (%)</t>
  </si>
  <si>
    <t>NGÂN SÁCH CẤP TỈNH (HUYỆN)</t>
  </si>
  <si>
    <t>Nguồn thu ngân sách</t>
  </si>
  <si>
    <t>Thu ngân sách được hưởng theo phân cấp</t>
  </si>
  <si>
    <t>Thu bổ sung từ ngân sách cấp trên</t>
  </si>
  <si>
    <t>Bổ sung cân đối ngân sách</t>
  </si>
  <si>
    <t>Bổ sung có mục tiêu</t>
  </si>
  <si>
    <t>Thu từ quỹ dự trữ tài chính (1)</t>
  </si>
  <si>
    <t>Chi ngân sách</t>
  </si>
  <si>
    <t>Chi thuộc nhiệm vụ của ngân sách cấp tỉnh(huyện)</t>
  </si>
  <si>
    <t>Chi bổ sung cho ngân sách cấp dưới</t>
  </si>
  <si>
    <t>Chi bổ sung cân đối ngân sách</t>
  </si>
  <si>
    <t>Chi bổ sung có mục tiêu</t>
  </si>
  <si>
    <t>Chi trả nợ gốc từ nguồn bội thu, tăng thu, tiết kiệm, kết dư ngân sách cấp tỉnh (1)</t>
  </si>
  <si>
    <t>Bội chi NSĐP/Kết dư NSĐP (1)</t>
  </si>
  <si>
    <t>NGÂN SÁCH HUYỆN (XÃ)</t>
  </si>
  <si>
    <t>Chi ngân sách</t>
  </si>
  <si>
    <t>Chi thuộc nhiệm vụ của ngân sách cấp huyện (xã)</t>
  </si>
  <si>
    <t>Chi bổ sung cho ngân sách cấp dưới (2)</t>
  </si>
  <si>
    <t>Kết dư</t>
  </si>
  <si>
    <t>(2) Ngân sách xã không có nhiệm vụ chi bổ sung cho ngân sách cấp dưới.</t>
  </si>
  <si>
    <t>Đơn vị: Triệu đồng</t>
  </si>
  <si>
    <t>Tổng thu NSNN</t>
  </si>
  <si>
    <t>Thu NSĐP</t>
  </si>
  <si>
    <t>5=3/1</t>
  </si>
  <si>
    <t>6=4/2</t>
  </si>
  <si>
    <t>TỔNG NGUỒN THU NSNN (A+B+C+D)</t>
  </si>
  <si>
    <t>TỔNG THU CÂN ĐỐI NSNN</t>
  </si>
  <si>
    <t>Thu nội địa</t>
  </si>
  <si>
    <t>Thu từ khu vực DNNN do trung ương quản lý (1)</t>
  </si>
  <si>
    <t>Thu từ khu vực DNNN do địa phương quản lý (2)</t>
  </si>
  <si>
    <t>Thu từ khu vực doanh nghiệp có vốn đầu tư nước ngoài (3)</t>
  </si>
  <si>
    <t>Thu từ khu vực kinh tế ngoài quốc doanh (4)</t>
  </si>
  <si>
    <t>Thuế thu nhập cá nhân</t>
  </si>
  <si>
    <t>Thuế bảo vệ môi trường</t>
  </si>
  <si>
    <t>Thuế BVMT thu từ hàng hóa sản xuất, kinh doanh trong nước</t>
  </si>
  <si>
    <t>Thuế BVMT thu từ hàng hóa nhập khẩu</t>
  </si>
  <si>
    <t>Lệ phí trước bạ</t>
  </si>
  <si>
    <t>Thu phí, lệ phí</t>
  </si>
  <si>
    <t>Phí và lệ phí trung ương</t>
  </si>
  <si>
    <t>Phí và lệ phí tỉnh</t>
  </si>
  <si>
    <t>Phí và lệ phí huyện</t>
  </si>
  <si>
    <t>Phí và lệ phí xã, phường</t>
  </si>
  <si>
    <t>Thuế sử dụng đất nông nghiệp</t>
  </si>
  <si>
    <t>Thuế sử dụng đất phi nông nghiệp</t>
  </si>
  <si>
    <t>Tiền cho thuê đất, thuê mặt nước</t>
  </si>
  <si>
    <t>Thu tiền sử dụng đất</t>
  </si>
  <si>
    <t>Tiền cho thuê và tiền bán nhà ở thuộc sở hữu nhà nước</t>
  </si>
  <si>
    <t>Thu từ hoạt động xổ số kiến thiết</t>
  </si>
  <si>
    <t>Thu tiền cấp quyền khai thác khoáng sản</t>
  </si>
  <si>
    <t>Thu khác ngân sách</t>
  </si>
  <si>
    <t>Thu từ quỹ đất công ích, hoa lợi công sản khác</t>
  </si>
  <si>
    <t>Thu hồi vốn, thu cổ tức (5)</t>
  </si>
  <si>
    <t>Lợi nhuận được chia của Nhà nước và lợi nhuận sau thuế còn lại sau khi trích lập các quỹ của doanh nghiệp nhà nước (5)</t>
  </si>
  <si>
    <t>Chênh lệch thu chi Ngân hàng Nhà nước (5)</t>
  </si>
  <si>
    <t>Thu từ dầu thô</t>
  </si>
  <si>
    <t>Thu từ hoạt động xuất nhập khẩu</t>
  </si>
  <si>
    <t>Thuế xuất khẩu</t>
  </si>
  <si>
    <t>Thuế nhập khẩu</t>
  </si>
  <si>
    <t>Thuế tiêu thụ đặc biệt thu từ hàng hóa nhập khẩu</t>
  </si>
  <si>
    <t>Thuế bảo vệ môi trường thu từ hàng hóa nhập khẩu</t>
  </si>
  <si>
    <t>Thuế giá trị gia tăng thu từ hàng hóa nhập khẩu</t>
  </si>
  <si>
    <t>Thu khác</t>
  </si>
  <si>
    <t>Thu viện trợ</t>
  </si>
  <si>
    <t>THU TỪ QUỸ DỰ TRỮ TÀI CHÍNH</t>
  </si>
  <si>
    <t>THU KẾT DƯ NĂM TRƯỚC</t>
  </si>
  <si>
    <t>THU CHUYỂN NGUỒN TỪ NĂM TRƯỚC CHUYỂN SANG</t>
  </si>
  <si>
    <t>Ghi chú:</t>
  </si>
  <si>
    <t>(1) Doanh nghiệp nhà nước do trung ương quản lý là doanh nghiệp do bộ, cơ quan ngang bộ, cơ quan thuộc Chính phủ, cơ quan khác ở trung ương đại diện Nhà nước chủ sở hữu 100% vốn điều lệ.</t>
  </si>
  <si>
    <t>(2) Doanh nghiệp nhà nước do địa phương quản lý là doanh nghiệp do Ủy ban nhân dân cấp tỉnh đại diện Nhà nước chủ sở hữu 100% vốn điều lệ.</t>
  </si>
  <si>
    <t>(3) Doanh nghiệp có vốn đầu tư nước ngoài là các doanh nghiệp mà phần vốn do tổ chức, cá nhân nước ngoài sở hữu từ 51% vốn điều lệ trở lên hoặc có đa số thành viên hợp danh là cá nhân nước ngoài đối với tổ chức kinh tế là công ty hợp danh.</t>
  </si>
  <si>
    <t>(4) Doanh nghiệp khu vực kinh tế ngoài quốc doanh là các doanh nghiệp thành lập theo Luật doanh nghiệp, Luật các tổ chức tín dụng, trừ các doanh nghiệp nhà nước do trung ương, địa phương quản lý, doanh nghiệp có vốn đầu tư nước ngoài nêu trên.</t>
  </si>
  <si>
    <t>(5) Thu ngân sách nhà nước trên địa bàn, thu ngân sách địa phương cấp huyện, xã không có thu từ cổ tức, lợi nhuận được chia của Nhà nước và lợi nhuận sau thuế còn lại sau khi trích lập các quỹ của doanh nghiệp nhà nước, chênh lệch thu, chi Ngân hàng Nhà nước, thu từ dầu thô, thu từ hoạt động xuất, nhập khẩu. Thu chênh lệch thu, chi Ngân hàng Nhà nước chỉ áp dụng đối với thành phố Hà Nội.</t>
  </si>
  <si>
    <t>Biểu mẫu số 51</t>
  </si>
  <si>
    <t>So sánh (%)</t>
  </si>
  <si>
    <t>3=2/1</t>
  </si>
  <si>
    <t>TỔNG CHI NGÂN SÁCH ĐỊA PHƯƠNG</t>
  </si>
  <si>
    <t>CHI CÂN ĐỐI NGÂN SÁCH ĐỊA PHƯƠNG</t>
  </si>
  <si>
    <t>Chi đầu tư cho các dự án</t>
  </si>
  <si>
    <t>Trong đó: Chia theo lĩnh vực</t>
  </si>
  <si>
    <t>Chi giáo dục - đào tạo và dạy nghề</t>
  </si>
  <si>
    <t>Chi khoa học và công nghệ</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</si>
  <si>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</si>
  <si>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</si>
  <si>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</si>
  <si>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</si>
  <si>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</si>
  <si>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Trong đó:</t>
  </si>
  <si>
    <t>VI</t>
  </si>
  <si>
    <t>Chi tạo nguồn, điều chỉnh tiền lương</t>
  </si>
  <si>
    <t>CHI CÁC CHƯƠNG TRÌNH MỤC TIÊU</t>
  </si>
  <si>
    <t>(Chi tiết theo từng Chương trình mục tiêu quốc gia)</t>
  </si>
  <si>
    <t>(Chi tiết theo từng chương trình mục tiêu, nhiệm vụ)</t>
  </si>
  <si>
    <t>CHI CHUYỂN NGUỒN SANG NĂM SAU</t>
  </si>
  <si>
    <t>Chi đầu tư cho các dự án</t>
  </si>
  <si>
    <t>Chi quốc phòng</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</si>
  <si>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</si>
  <si>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</si>
  <si>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</si>
  <si>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</si>
  <si>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</si>
  <si>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</si>
  <si>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</si>
  <si>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</si>
  <si>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</si>
  <si>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khác</t>
  </si>
  <si>
    <t>Chi đầu tư và hỗ trợ vốn cho các doanh nghiệp cung cấp sản phẩm, dịch vụ công ích do Nhà nước đặt hàng, các tổ chức kinh tế, các tổ chức tài chính của địa phương theo quy định của pháp luật</t>
  </si>
  <si>
    <t>Chi khoa học và công nghệ (2)</t>
  </si>
  <si>
    <t>Chi y tế, dân số và gia đình</t>
  </si>
  <si>
    <t>Chi thể dục thể thao</t>
  </si>
  <si>
    <t>Chi hoạt động của cơ quan quản lý nhà nước, đảng, đoàn thể</t>
  </si>
  <si>
    <t>Chi thường xuyên khác</t>
  </si>
  <si>
    <t>Chi trả nợ lãi các khoản do chính quyền địa phương vay (2)</t>
  </si>
  <si>
    <t>Chi bổ sung quỹ dự trữ tài chính (2)</t>
  </si>
  <si>
    <t>CHI CHUYỂN NGUỒN SANG NĂM SAU</t>
  </si>
  <si>
    <t>(2) Theo quy định tại Điều 7, Điều 11 và Điều 39 Luật NSNN, ngân sách huyện, xã không có nhiệm vụ chi nghiên cứu khoa học và công nghệ, chi trả lãi vay, chi bổ sung quỹ dự trữ tài chính.</t>
  </si>
  <si>
    <t>Đơn vị: Triệu đồng</t>
  </si>
  <si>
    <t>Bao gồm</t>
  </si>
  <si>
    <t>Ngân sách địa phương</t>
  </si>
  <si>
    <t>1=2+3</t>
  </si>
  <si>
    <t>4=5+6</t>
  </si>
  <si>
    <t>7=4/1</t>
  </si>
  <si>
    <t>8=5/2</t>
  </si>
  <si>
    <t>9=6/3</t>
  </si>
  <si>
    <t>CHI CÂN ĐỐI NSĐP</t>
  </si>
  <si>
    <t>Chi đầu tư từ nguồn thu xổ số kiến thiết</t>
  </si>
  <si>
    <t>Tên đơn vị</t>
  </si>
  <si>
    <t>Tổng số</t>
  </si>
  <si>
    <t>…</t>
  </si>
  <si>
    <t>Chi chương trình MTQG</t>
  </si>
  <si>
    <t>Chi chuyển nguồn sang ngân sách năm sau</t>
  </si>
  <si>
    <t>TỔNG SỐ</t>
  </si>
  <si>
    <t>CÁC CƠ QUAN, TỔ CHỨC</t>
  </si>
  <si>
    <t>Tổ chức B</t>
  </si>
  <si>
    <t>CHI TRẢ NỢ LÃI CÁC KHOẢN DO CHÍNH QUYỀN ĐỊA PHƯƠNG VAY (2)</t>
  </si>
  <si>
    <t>CHI BỔ SUNG QUỸ DỰ TRỮ TÀI CHÍNH (2)</t>
  </si>
  <si>
    <t>CHI DỰ PHÒNG NGÂN SÁCH</t>
  </si>
  <si>
    <t>CHI TẠO NGUỒN, ĐIỀU CHỈNH TIỀN LƯƠNG</t>
  </si>
  <si>
    <t>CHI BỔ SUNG CÓ MỤC TIÊU CHO NGÂN SÁCH CẤP DƯỚI (3)</t>
  </si>
  <si>
    <t>VII</t>
  </si>
  <si>
    <t>CHI CHUYỂN NGUỒN SANG NGÂN SÁCH NĂM SAU</t>
  </si>
  <si>
    <t>(2) Theo quy định tại Điều 7, Điều 11 Luật NSNN, ngân sách huyện, xã không có nhiệm vụ chi trả lãi vay, chi bổ sung quỹ dự trữ tài chính.</t>
  </si>
  <si>
    <t>(3) Ngân sách xã không có nhiệm vụ chi bổ sung có mục tiêu cho ngân sách cấp dưới.</t>
  </si>
  <si>
    <t>Biểu mẫu số 55</t>
  </si>
  <si>
    <t>QUYẾT TOÁN CHI ĐẦU TƯ PHÁT TRIỂN CỦA NGÂN SÁCH CẤP TỈNH (HUYỆN, XÃ) CHO TỪNG CƠ QUAN, TỔ CHỨC THEO LĨNH VỰC NĂM...</t>
  </si>
  <si>
    <t>Tên đơn vị</t>
  </si>
  <si>
    <t>Dự toán</t>
  </si>
  <si>
    <t>Chi văn hóa thông tin</t>
  </si>
  <si>
    <t>Chi thể dục thể thao</t>
  </si>
  <si>
    <t>Chi các hoạtđộng kinh tế</t>
  </si>
  <si>
    <t>Trong đó</t>
  </si>
  <si>
    <t>Chi bảo đảm xãhội</t>
  </si>
  <si>
    <t>Chi giao thông</t>
  </si>
  <si>
    <t>Chi nông nghiệp, lâm nghiệp, thủy lợi, thủy sản</t>
  </si>
  <si>
    <t>18=2/1</t>
  </si>
  <si>
    <t>TỔNG SỐ</t>
  </si>
  <si>
    <t>Cơ quanA</t>
  </si>
  <si>
    <t>Doanh nghiệp C</t>
  </si>
  <si>
    <t>……..</t>
  </si>
  <si>
    <t>Biểu mẫu số 56</t>
  </si>
  <si>
    <t>QUYẾT TOÁN CHI THƯỜNG XUYÊN CỦA NGÂN SÁCH CẤP TỈNH (HUYỆN, XÃ) CHO TỪNG CƠ QUAN, TỔ CHỨC THEO LĨNH VỰC NĂM...</t>
  </si>
  <si>
    <t>18= 2/1</t>
  </si>
  <si>
    <t>Biểu mẫu số 57</t>
  </si>
  <si>
    <t>TỔNG HỢP QUYẾT TOÁN CHI THƯỜNG XUYÊN NGÂN SÁCH CẤP TỈNH (HUYỆN, XÃ) CỦA TỪNG CƠ QUAN, TỔ CHỨC THEO NGUỒN VỐN NĂM...</t>
  </si>
  <si>
    <t>Dự toán được cấp</t>
  </si>
  <si>
    <t>Kinh phí thực hiện trong năm</t>
  </si>
  <si>
    <t>Nguồn còn lại</t>
  </si>
  <si>
    <t>Dự toán đầu năm</t>
  </si>
  <si>
    <t>Chuyển nguồn năm sau</t>
  </si>
  <si>
    <t>Hủy bỏ</t>
  </si>
  <si>
    <t>1=2+3-4</t>
  </si>
  <si>
    <t>6=1-5</t>
  </si>
  <si>
    <t>Cơ quan A</t>
  </si>
  <si>
    <t>……</t>
  </si>
  <si>
    <t>Biểu mẫu số 58</t>
  </si>
  <si>
    <t>Tên đơn vị (1)</t>
  </si>
  <si>
    <t>Chi CTMTQG</t>
  </si>
  <si>
    <t>Chi giáo dục đào tạo dạy nghề</t>
  </si>
  <si>
    <t>15= 4/1</t>
  </si>
  <si>
    <t>16= 5/2</t>
  </si>
  <si>
    <t>Huyện A</t>
  </si>
  <si>
    <t>Quận B</t>
  </si>
  <si>
    <t>Thị xã D</t>
  </si>
  <si>
    <t>Xã A</t>
  </si>
  <si>
    <t>Phường B</t>
  </si>
  <si>
    <t>(2) Dự toán chi ngân sách địa phương chi tiết theo các chỉ tiêu tương ứng phần Quyết toán chi ngân sách địa phương.</t>
  </si>
  <si>
    <t>(3) Theo quy định tại Điều 7, Điều 39 Luật NSNN, ngân sách huyện, xã không có nhiệm vụ chi nghiên cứu khoa học và công nghệ.</t>
  </si>
  <si>
    <t>So sách (%)</t>
  </si>
  <si>
    <t>Gồm</t>
  </si>
  <si>
    <t>Vốn đầu tư để thực hiện các CTMT, nhiệm vụ</t>
  </si>
  <si>
    <t>Vốn sự nghiệp thực hiện các chế độ, chính sách</t>
  </si>
  <si>
    <t>Vốn thực hiện các CTMT quốc gia</t>
  </si>
  <si>
    <t>Vốn ngoài nước</t>
  </si>
  <si>
    <t>Vốn trong nước</t>
  </si>
  <si>
    <t>3=4+5</t>
  </si>
  <si>
    <t>11=12+13</t>
  </si>
  <si>
    <t>17=9/1</t>
  </si>
  <si>
    <t>18=10/2</t>
  </si>
  <si>
    <t>19=11/3</t>
  </si>
  <si>
    <t>20=12/4</t>
  </si>
  <si>
    <t>21=13/5</t>
  </si>
  <si>
    <t>22=14/6</t>
  </si>
  <si>
    <t>23=15/7</t>
  </si>
  <si>
    <t>24=16/8</t>
  </si>
  <si>
    <t>Biểu mẫu số 60</t>
  </si>
  <si>
    <t>QUYẾT TOÁN THU NGÂN SÁCH HUYỆN (XÃ) NĂM...</t>
  </si>
  <si>
    <t>Tổng thu NSĐP</t>
  </si>
  <si>
    <t>Thu NSĐP hưởng theo phân cấp</t>
  </si>
  <si>
    <t>Số bổ sung cân đối từ ngân sách cấp trên</t>
  </si>
  <si>
    <t>Số bổ sung thực hiện cải cách tiền lương</t>
  </si>
  <si>
    <t>Thu từ kết dư năm trước</t>
  </si>
  <si>
    <t>Thành phố C</t>
  </si>
  <si>
    <t>………..</t>
  </si>
  <si>
    <t>Thị trấn C</t>
  </si>
  <si>
    <t>………….</t>
  </si>
  <si>
    <t>19=8/4</t>
  </si>
  <si>
    <t>Chuẩn bị đầu tư</t>
  </si>
  <si>
    <r>
      <t>Ghi chú: </t>
    </r>
    <r>
      <rPr>
        <i/>
        <sz val="12"/>
        <color rgb="FF000000"/>
        <rFont val="Times New Roman"/>
        <family val="1"/>
      </rPr>
      <t>(1) Theo quy định tại Điều 7, Điều 11 và Điều 39 Luật NSNN, ngân sách huyện, xã không có nhiệm vụ chi nghiên cứu khoa học và công nghệ, trả lãi vay, chi bổ sung quỹ dự trữ tài chính, bội chi NSĐP, vay và trả nợ gốc vay.</t>
    </r>
  </si>
  <si>
    <r>
      <t>Ghi chú: </t>
    </r>
    <r>
      <rPr>
        <i/>
        <sz val="14"/>
        <color rgb="FF000000"/>
        <rFont val="Times New Roman"/>
        <family val="1"/>
      </rPr>
      <t>(1) Theo quy định tại Điều 7, Điều 11 Luật NSNN, ngân sách huyện không có thu từ quỹ dự trữ tài chính, chi trả nợ gốc và bội chi NSĐP.</t>
    </r>
  </si>
  <si>
    <r>
      <t>Ghi chú: </t>
    </r>
    <r>
      <rPr>
        <i/>
        <sz val="12"/>
        <color rgb="FF000000"/>
        <rFont val="Times New Roman"/>
        <family val="1"/>
      </rPr>
      <t>(1) Theo quy định tại Điều 7, Điều 11 và Điều 39 Luật NSNN, ngân sách huyện, xã không có nhiệm vụ chi nghiên cứu khoa học và công nghệ, chi trả lãi vay, chi bổ sung quỹ dự trữ tài chính.</t>
    </r>
  </si>
  <si>
    <r>
      <t>Ghi chú: </t>
    </r>
    <r>
      <rPr>
        <i/>
        <sz val="12"/>
        <rFont val="Times New Roman"/>
        <family val="1"/>
      </rPr>
      <t>(1) Dự toán chi ngân sách địa phương chi tiết theo các chỉ tiêu tương ứng phần quyết toán chi ngân sách địa phương.</t>
    </r>
  </si>
  <si>
    <r>
      <t>Bổ sung trong năm </t>
    </r>
    <r>
      <rPr>
        <sz val="12"/>
        <color theme="1"/>
        <rFont val="Times New Roman"/>
        <family val="1"/>
      </rPr>
      <t>(nếu có)</t>
    </r>
  </si>
  <si>
    <r>
      <t>Giảm trừ trong năm </t>
    </r>
    <r>
      <rPr>
        <sz val="12"/>
        <color theme="1"/>
        <rFont val="Times New Roman"/>
        <family val="1"/>
      </rPr>
      <t>(nếu có)</t>
    </r>
  </si>
  <si>
    <r>
      <t>Ghi chú:</t>
    </r>
    <r>
      <rPr>
        <i/>
        <sz val="12"/>
        <color rgb="FF000000"/>
        <rFont val="Times New Roman"/>
        <family val="1"/>
      </rPr>
      <t> (1) Theo quy định tại Điều 7, Điều 39 Luật NSNN, ngân sách huyện, xã không có nhiệm vụ chi nghiên cứu khoa học và công nghệ.</t>
    </r>
  </si>
  <si>
    <r>
      <t>Ghi chú: </t>
    </r>
    <r>
      <rPr>
        <i/>
        <sz val="12"/>
        <color rgb="FF000000"/>
        <rFont val="Times New Roman"/>
        <family val="1"/>
      </rPr>
      <t>(1) Bổ sung từ ngân sách tỉnh chi tiết đến từng huyện; bổ sung từ ngân sách huyện chi tiết đến từng xã.</t>
    </r>
  </si>
  <si>
    <r>
      <t>Ghi chú: </t>
    </r>
    <r>
      <rPr>
        <i/>
        <sz val="12"/>
        <color rgb="FF000000"/>
        <rFont val="Times New Roman"/>
        <family val="1"/>
      </rPr>
      <t>(1) Chi Chương trình mục tiêu quốc gia ngân sách tỉnh chi tiết đến từng cơ quan, tổ chức và từng huyện. Chi Chương trình mục tiêu quốc gia ngân sách huyện chi tiết đến từng xã. Chi Chương trình mục tiêu quốc gia ngân sách xã chi tiết đến từng cơ quan, tổ chức.</t>
    </r>
  </si>
  <si>
    <t>Văn phòng Hội đồng nhân dân</t>
  </si>
  <si>
    <t>Văn phòng Uỷ ban nhân dân</t>
  </si>
  <si>
    <t>Sở Ngoại vụ</t>
  </si>
  <si>
    <t>Sở Nông nghiệp và PTNT</t>
  </si>
  <si>
    <t>Sở Tư pháp</t>
  </si>
  <si>
    <t>Sở Công Thương</t>
  </si>
  <si>
    <t>Sở Tài chính</t>
  </si>
  <si>
    <t>Sở Xây dựng</t>
  </si>
  <si>
    <t>Sở Giao thông vận tải</t>
  </si>
  <si>
    <t>Sở Giáo dục-Đào tạo</t>
  </si>
  <si>
    <t>Sở Y tế</t>
  </si>
  <si>
    <t>Sở Lao động TB &amp; XH</t>
  </si>
  <si>
    <t>Sở Tài nguyên môi trường</t>
  </si>
  <si>
    <t>Sở Thông tin và Truyền thông</t>
  </si>
  <si>
    <t>Sở Nội Vụ</t>
  </si>
  <si>
    <t>Thanh tra nhà nước</t>
  </si>
  <si>
    <t>Đài phát thanh truyền hình</t>
  </si>
  <si>
    <t>Ban quản lý các khu CN</t>
  </si>
  <si>
    <t>Văn phòng Tỉnh uỷ</t>
  </si>
  <si>
    <t>UB Mặt trận Tổ quốc</t>
  </si>
  <si>
    <t>Tỉnh đoàn</t>
  </si>
  <si>
    <t xml:space="preserve">Hội LH Phụ nữ </t>
  </si>
  <si>
    <t>Hội nông dân</t>
  </si>
  <si>
    <t xml:space="preserve">Hội cựu chiến binh </t>
  </si>
  <si>
    <t>TT Xúc tiến Đầu tư và TMDL</t>
  </si>
  <si>
    <t>Ban chỉ đạo PC tham nhũng</t>
  </si>
  <si>
    <t>Trường CĐ Y tế</t>
  </si>
  <si>
    <t>Trường Cao đẳng nghề</t>
  </si>
  <si>
    <t>Trường Đại học TG</t>
  </si>
  <si>
    <t>Trường Chính trị</t>
  </si>
  <si>
    <t>BCH QS tỉnh - Bộ đội biên phòng</t>
  </si>
  <si>
    <t>Công an tỉnh</t>
  </si>
  <si>
    <t>TT Phát triển quỹ đất và ĐTXD hạ tầng tỉnh</t>
  </si>
  <si>
    <t>Quỹ Phát triển quỹ đất tỉnh</t>
  </si>
  <si>
    <t xml:space="preserve">Các đơn vị khác </t>
  </si>
  <si>
    <t>Cục Thống kê</t>
  </si>
  <si>
    <t>Liên đoàn Lao động</t>
  </si>
  <si>
    <t>Công ty TNHH MTV Khai thác CTTL</t>
  </si>
  <si>
    <t>Ngân hàng Chính sách XH</t>
  </si>
  <si>
    <t>Bảo hiểm xã hội (mua BHYT)</t>
  </si>
  <si>
    <t>Cục Thuế tỉnh</t>
  </si>
  <si>
    <t>Hội Luật gia</t>
  </si>
  <si>
    <t>Hội Người mù</t>
  </si>
  <si>
    <t>Hội Đông y</t>
  </si>
  <si>
    <t>Hội Cựu thanh niên xung phong</t>
  </si>
  <si>
    <t>Hội Khuyến học</t>
  </si>
  <si>
    <t>Câu lạc bộ Hưu trí</t>
  </si>
  <si>
    <t>Huyện Cái Bè</t>
  </si>
  <si>
    <t>Huyện Cai Lậy</t>
  </si>
  <si>
    <t>Huyện Châu Thành</t>
  </si>
  <si>
    <t>Huyện Chợ Gạo</t>
  </si>
  <si>
    <t>Huyện Gò Công Tây</t>
  </si>
  <si>
    <t>Huyện Gò Công Đông</t>
  </si>
  <si>
    <t>Huyện Tân Phước</t>
  </si>
  <si>
    <t>Huyện Tân Phú Đông</t>
  </si>
  <si>
    <t>Thị xã Gò Công</t>
  </si>
  <si>
    <t>Thị xã Cai Lậy</t>
  </si>
  <si>
    <t>Thành phố Mỹ Tho</t>
  </si>
  <si>
    <t>QUYẾT TOÁN CHI NGÂN SÁCH ĐỊA PHƯƠNG THEO LĨNH VỰC NĂM 2017</t>
  </si>
  <si>
    <t>KẾT DƯ NSĐP</t>
  </si>
  <si>
    <t>H</t>
  </si>
  <si>
    <t>- Thuế giá trị gia tăng</t>
  </si>
  <si>
    <t>- Thuế thu nhập doanh nghiệp</t>
  </si>
  <si>
    <t>- Thuế tiêu thụ đặc biệt</t>
  </si>
  <si>
    <t>- Thuế tài nguyên</t>
  </si>
  <si>
    <t xml:space="preserve"> - Thuế môn bài</t>
  </si>
  <si>
    <t xml:space="preserve"> - Thu khác</t>
  </si>
  <si>
    <t>- Tiền thuê mặt đất, mặt nước</t>
  </si>
  <si>
    <t>Các khoản huy động, đóng góp</t>
  </si>
  <si>
    <t>Ngân sách cấp tỉnh</t>
  </si>
  <si>
    <t xml:space="preserve">Ngân sách huyện </t>
  </si>
  <si>
    <t>QUYẾT TOÁN CHI NGÂN SÁCH ĐỊA PHƯƠNG TỪNG HUYỆN NĂM 2017</t>
  </si>
  <si>
    <t>- Thu từ Thu nhập sau thuế</t>
  </si>
  <si>
    <t>- Thu từ các quỹ của DN XSKT</t>
  </si>
  <si>
    <t>Chi nộp ngân sách cấp trên</t>
  </si>
  <si>
    <t>Thu các khoản huy động, đóng góp</t>
  </si>
  <si>
    <t>CTMTQG Xây dựng nông thôn mới</t>
  </si>
  <si>
    <t>CTMTQG Giảm nghèo bền vững</t>
  </si>
  <si>
    <t>Chi đầu tư thực hiện các chương trình, nhiệm vụ</t>
  </si>
  <si>
    <t>Chi sự nghiệp thực hiện các chương trình, nhiệm vụ</t>
  </si>
  <si>
    <t>CHI NỘP NGÂN SÁCH CẤP TRÊN</t>
  </si>
  <si>
    <t>CHI NGÂN SÁCH CẤP TỈNH THEO LĨNH VỰC</t>
  </si>
  <si>
    <t>Mẫu biểu số 65</t>
  </si>
  <si>
    <t>QUYẾT TOÁN CHI CHƯƠNG TRÌNH MỤC TIÊU THEO MỤC LỤC NSNN NĂM 2017</t>
  </si>
  <si>
    <t>Tên Chương trình mục tiêu</t>
  </si>
  <si>
    <t>Chương</t>
  </si>
  <si>
    <t>Khoản</t>
  </si>
  <si>
    <t>Tiểu mục</t>
  </si>
  <si>
    <t>Số quyết toán</t>
  </si>
  <si>
    <t>TỔNG CỘNG</t>
  </si>
  <si>
    <t>Chương trình MTQG XDNTM</t>
  </si>
  <si>
    <t>021</t>
  </si>
  <si>
    <t>012</t>
  </si>
  <si>
    <t>014</t>
  </si>
  <si>
    <t>016</t>
  </si>
  <si>
    <t>011</t>
  </si>
  <si>
    <t>Chương trình MTQG Giảm nghèo bền vững</t>
  </si>
  <si>
    <t>Chương trình Y tế</t>
  </si>
  <si>
    <t>Chương trình vệ sinh an toàn thực phẩm</t>
  </si>
  <si>
    <t>Dự án ứng phó với biển đổi khí hậu</t>
  </si>
  <si>
    <t xml:space="preserve"> Chương trình mục tiêu phát triển lâm nghiệp bền vững</t>
  </si>
  <si>
    <t>017</t>
  </si>
  <si>
    <t>Ngày      tháng     năm</t>
  </si>
  <si>
    <t>GIÁM ĐỐC SỞ TÀI CHÍNH</t>
  </si>
  <si>
    <t>Sở Nông nghiệp và Phát triển nông thôn</t>
  </si>
  <si>
    <t>Liên minh Hợp tác xã</t>
  </si>
  <si>
    <t>Sở Lao động-Thương binh và Xã hội</t>
  </si>
  <si>
    <t>Sở Nội vụ</t>
  </si>
  <si>
    <t>Sở Văn hóa, Thể thao và Du lịch</t>
  </si>
  <si>
    <t>Sở Giáo dục và Đào tạo</t>
  </si>
  <si>
    <t>Chương trình mục tiêu quốc gia giảm nghèo</t>
  </si>
  <si>
    <t>Chi đầu tư phát triển (vốn trong nước)</t>
  </si>
  <si>
    <t>Kinh phí sự nghiệp (vốn trong nước)</t>
  </si>
  <si>
    <t xml:space="preserve">Chi đầu tư phát triển </t>
  </si>
  <si>
    <t xml:space="preserve">Kinh phí sự nghiệp </t>
  </si>
  <si>
    <t>Chương trình mục tiêu quốc gia việc làm</t>
  </si>
  <si>
    <t>Chương trình mục tiêu quốc gia y tế</t>
  </si>
  <si>
    <t>Chương trình mục tiêu quốc gia an toàn vệ sinh thực phẩm</t>
  </si>
  <si>
    <t>Chương trình mục tiêu quốc gia nông thôn mới</t>
  </si>
  <si>
    <t>Chi đầu tư phát triển (vốn nước ngoài)</t>
  </si>
  <si>
    <t>Chương trình mục tiêu biến đổi khí hậu</t>
  </si>
  <si>
    <t>CHI ĐẦU TƯ PHÁT TRIỂN</t>
  </si>
  <si>
    <t>Liên hiệp các Hội  KH&amp;KT</t>
  </si>
  <si>
    <t xml:space="preserve">LH các tổ chức Hữu nghị </t>
  </si>
  <si>
    <t>Hội Bảo vệ quyền lợi người tiêu dùng</t>
  </si>
  <si>
    <t>Hội Nhà báo</t>
  </si>
  <si>
    <t>Hội Văn học Nghệ thuật</t>
  </si>
  <si>
    <t>Hội Chữ thập đỏ</t>
  </si>
  <si>
    <t xml:space="preserve">Hội Nạn nhân chất độc da cam/dioxin </t>
  </si>
  <si>
    <t>Hội Người cao tuổi</t>
  </si>
  <si>
    <t>Hội Bảo trợ Bệnh nhân nghèo</t>
  </si>
  <si>
    <t>Ban liên lạc Cựu tù kháng chiến</t>
  </si>
  <si>
    <t>Sở khoa học CN-Quỹ KHCN</t>
  </si>
  <si>
    <t>Tòa án nhân dân</t>
  </si>
  <si>
    <t>Hoàn trả các khoản thu</t>
  </si>
  <si>
    <t>Quỹ Bảo vệ môi trường</t>
  </si>
  <si>
    <t>Chi các nội dung khác</t>
  </si>
  <si>
    <t>VIII</t>
  </si>
  <si>
    <t>CHI NỘP NS CẤP TRÊN</t>
  </si>
  <si>
    <t>VP KBNN Tiền Giang</t>
  </si>
  <si>
    <t xml:space="preserve">Biểu số: 03KBQT </t>
  </si>
  <si>
    <t>BÁO CÁO QUYẾT TOÁN CÁC NGUỒN VỐN  ĐẦU TƯ THUỘC NGÂN SÁCH NHÀ NƯỚC NĂM2017 CỦA CÁC TỈNH, THÀNH PHỐ</t>
  </si>
  <si>
    <t>(Tổng hợp theo đơn vị và chi tiết dự án)</t>
  </si>
  <si>
    <t>Báo cáo in từ ngày 01/01/2018 đến ngày 11/04/2018</t>
  </si>
  <si>
    <t>Đơn vị tính : Đồng</t>
  </si>
  <si>
    <t>Số TT</t>
  </si>
  <si>
    <t>Địa điểm mở tài khoản</t>
  </si>
  <si>
    <t>Mã dự án đầu tư</t>
  </si>
  <si>
    <t>Tổng mức đầu tư</t>
  </si>
  <si>
    <t xml:space="preserve">Luỹ kế vốn đã thanh
toán từ K/C đến hết
niên độ năm trước </t>
  </si>
  <si>
    <t>Số vốn tạm ứng theo chế độ chưa thu hồi của các năm trước nộp điều chỉnh giảm trong năm 2017</t>
  </si>
  <si>
    <t>Thanh toán KLHT trong năm của phần vốn tạm ứng theo chế độ chưa thu hồi từ K/C đến hết niên độ ngân sách năm trước năm  2017</t>
  </si>
  <si>
    <t>Kế hoạch và thanh toán vốn đầu tư các năm trước được kéo dài thời gian thực hiện và thanh toán trong năm 2017</t>
  </si>
  <si>
    <t>Kế hoạch vốn đầu tư năm  2017</t>
  </si>
  <si>
    <t>Tổng cộng vốn đã thanh toán KLHT quyết toán trong năm 2017</t>
  </si>
  <si>
    <t xml:space="preserve">Luỹ kế số vốn tạm ứng
theo chế độ chưa thu hồi
đến hết năm quyết toán </t>
  </si>
  <si>
    <t>Lũy kế số vốn đã thanh toán từ K/C đến hết năm 2017</t>
  </si>
  <si>
    <t>Số</t>
  </si>
  <si>
    <t>Kế hoạch vốn được kéo dài</t>
  </si>
  <si>
    <t>Thanh toán</t>
  </si>
  <si>
    <t>Kế hoạch vốn được phép kéo dài sang năm sau (nếu có)</t>
  </si>
  <si>
    <t>Số vốn còn lại chưa thanh toán 
hủy bỏ
(nếu có)</t>
  </si>
  <si>
    <t>Kế hoạch vốn đầu tư năm 2017</t>
  </si>
  <si>
    <t xml:space="preserve"> thứ tự</t>
  </si>
  <si>
    <t>Tr.đó: vốn tạm
 ứng theo chế độ chưa thu hồi</t>
  </si>
  <si>
    <t>Số vốn thanh 
toán
KLHT</t>
  </si>
  <si>
    <t>Số vốn tạm ứng theo chế độ chưa thu hồi</t>
  </si>
  <si>
    <t>Cột phụ: số dư tạm ứng còn lại</t>
  </si>
  <si>
    <t>15=10-11-14</t>
  </si>
  <si>
    <t>17=18+19</t>
  </si>
  <si>
    <t>21=16-17-20</t>
  </si>
  <si>
    <t>22=9+12+18</t>
  </si>
  <si>
    <t>23=7-8-9+13+19</t>
  </si>
  <si>
    <t>24=6+11+17</t>
  </si>
  <si>
    <t>Cân đối ngân sách</t>
  </si>
  <si>
    <t>Nông nghiệp</t>
  </si>
  <si>
    <t>1</t>
  </si>
  <si>
    <t>7567005 - (2016) Cống Rạch chợ và Thủ ngữ</t>
  </si>
  <si>
    <t>0561</t>
  </si>
  <si>
    <t>7567005</t>
  </si>
  <si>
    <t>2</t>
  </si>
  <si>
    <t>7387068 - 2016.Đê bao thị xã Gò Công</t>
  </si>
  <si>
    <t>7387068</t>
  </si>
  <si>
    <t>3</t>
  </si>
  <si>
    <t>7458147 - Kênh 14</t>
  </si>
  <si>
    <t>7458147</t>
  </si>
  <si>
    <t>4</t>
  </si>
  <si>
    <t>7604790 - (2017)Kênh Trần Văn Dõng</t>
  </si>
  <si>
    <t>7604790</t>
  </si>
  <si>
    <t>5</t>
  </si>
  <si>
    <t>7604797 - (2017)Kênh Tham thu</t>
  </si>
  <si>
    <t>7604797</t>
  </si>
  <si>
    <t>6</t>
  </si>
  <si>
    <t>7604792 - (2017)Hệ thống cống dưới đê Bình Ninh huyện Chợ Gạo</t>
  </si>
  <si>
    <t>7604792</t>
  </si>
  <si>
    <t>7</t>
  </si>
  <si>
    <t>7604794 - (2017)Kênh Sơn Quy - Láng nứa</t>
  </si>
  <si>
    <t>7604794</t>
  </si>
  <si>
    <t>8</t>
  </si>
  <si>
    <t>7609284 - (2017)Xử lý sạt lở trước trụ sở UBND xã Đông Hòa Hiệp</t>
  </si>
  <si>
    <t>7609284</t>
  </si>
  <si>
    <t>9</t>
  </si>
  <si>
    <t>7618548 - (2017)Nâng cấp tuyến đê Bình Ninh( đoạn bến phà =&gt; DT877A)</t>
  </si>
  <si>
    <t>7618548</t>
  </si>
  <si>
    <t>10</t>
  </si>
  <si>
    <t>7622808 - (2017)Bờ kè sông Long Uông (đoạn Huyện ủy -Cầu N.V.Côn)</t>
  </si>
  <si>
    <t>7622808</t>
  </si>
  <si>
    <t>11</t>
  </si>
  <si>
    <t>7627326 - (2017) Xử lý khẩn cấp kè chống sạt lở dọc sông Bảo Định,MT</t>
  </si>
  <si>
    <t>7627326</t>
  </si>
  <si>
    <t>12</t>
  </si>
  <si>
    <t>220170011 - 2017/Kè chống sạt lở KV D Trại Hải Đội 2</t>
  </si>
  <si>
    <t>220170011</t>
  </si>
  <si>
    <t>Giao thông</t>
  </si>
  <si>
    <t>7418258 - 2016/Cầu Bình Tân trên ĐT 877</t>
  </si>
  <si>
    <t>7418258</t>
  </si>
  <si>
    <t>7418255 - Cầu Chợ Gạo (KCHT: 05/2015-12/2017)</t>
  </si>
  <si>
    <t>7418255</t>
  </si>
  <si>
    <t>7492635 - Tuyến Tránh ĐT 868</t>
  </si>
  <si>
    <t>7492635</t>
  </si>
  <si>
    <t>7492636 - ĐT 872B-(Đoạn QL50-ĐT 877)</t>
  </si>
  <si>
    <t>7492636</t>
  </si>
  <si>
    <t>7604783 - 2017/Đường Huyện 60</t>
  </si>
  <si>
    <t>7604783</t>
  </si>
  <si>
    <t>7617937 - 2017/Cầu Hòa Tịnh trên ĐT 878B</t>
  </si>
  <si>
    <t>7617937</t>
  </si>
  <si>
    <t>7619135 - (2017)-Đường liên xã Bàn Long - Hữu Đạo</t>
  </si>
  <si>
    <t>7619135</t>
  </si>
  <si>
    <t>Khoa học - Công nghệ</t>
  </si>
  <si>
    <t>220160008 - 2016/ NC Trung Tâm máy tính nội bộ CA Tỉnh TG</t>
  </si>
  <si>
    <t>220160008</t>
  </si>
  <si>
    <t>7626752 - 2017/Trung Tâm Ngh Cứu ứ.Dụng&amp;DV Kh học C nghệ Tỉnh TG</t>
  </si>
  <si>
    <t>7626752</t>
  </si>
  <si>
    <t>7619141 - 2017/Nâng cấp trung Tâm tích hợp dữ liệu Tỉnh</t>
  </si>
  <si>
    <t>7619141</t>
  </si>
  <si>
    <t>7619142 - 2017/Trang bị máy VT P.Vụ H động HĐND các cấp nhiệm kỳ 16-20</t>
  </si>
  <si>
    <t>7619142</t>
  </si>
  <si>
    <t>7619143 - 2017/XD ứng dụngCNTT ....một cửa liên Thông Tỉnh TG(GĐ2)</t>
  </si>
  <si>
    <t>7619143</t>
  </si>
  <si>
    <t>7626839 - (2017) Số hóa tài liệu lưu trữ lịch sử tỉnh TG(GĐ 1)</t>
  </si>
  <si>
    <t>7626839</t>
  </si>
  <si>
    <t>7627872 - (2017)Xây dựng hệ thống phần mềm công báo điện tử &amp; ĐTTBCNTT..</t>
  </si>
  <si>
    <t>7627872</t>
  </si>
  <si>
    <t>7071838 - Nâng cao n/ lực của TTâm Kỹ thuật &amp; CN sinh học TG</t>
  </si>
  <si>
    <t>7071838</t>
  </si>
  <si>
    <t>7570525 - (2016)XD mạng Lan cho UBND các xã  Phường TT KN mạng chuyên dùng</t>
  </si>
  <si>
    <t>7570525</t>
  </si>
  <si>
    <t>7584321 - (2016)Đầu tư trang thiết bị&amp; UDCN TT....HĐND nhky 2016</t>
  </si>
  <si>
    <t>7584321</t>
  </si>
  <si>
    <t>Quản lý nhà nước</t>
  </si>
  <si>
    <t>7108318 - Kho lưu trữ chuyên dụng tỉnh TG</t>
  </si>
  <si>
    <t>7108318</t>
  </si>
  <si>
    <t>7629952 - XD T/ Sở làm việc TT Quan trắc Môi Trường&amp;Tài Nguyên</t>
  </si>
  <si>
    <t>7629952</t>
  </si>
  <si>
    <t>7621521 - (2017) Sửa chữa, nâng cấp nhà xe- nhà ăn VP HĐND tỉnh TG</t>
  </si>
  <si>
    <t>7621521</t>
  </si>
  <si>
    <t>7621346 - (2017) Sửa chữa nhà làm việc Văn phòng UBND tỉnh</t>
  </si>
  <si>
    <t>7621346</t>
  </si>
  <si>
    <t>7631580 - (2017) S/c nâng cấp nhà làm việc Liên minh HTX TG</t>
  </si>
  <si>
    <t>7631580</t>
  </si>
  <si>
    <t>7626121 - (2017)-SC Trụ sở làm việc Huyện ủy h. Châu Thành</t>
  </si>
  <si>
    <t>7626121</t>
  </si>
  <si>
    <t>7627871 - (2017)Sửa chữa trụ sở Trung tâm XTĐT-TM-DL Tiền Giang</t>
  </si>
  <si>
    <t>7627871</t>
  </si>
  <si>
    <t>7620532 - (2017) SC, nâng cấp Trụ sở làm việc Huyện ủy h.Chợ Gạo</t>
  </si>
  <si>
    <t>7620532</t>
  </si>
  <si>
    <t>7638246 - (2017) sữa chữa nâng cấp T/s làm việc  sở công thương</t>
  </si>
  <si>
    <t>7638246</t>
  </si>
  <si>
    <t>7615946 - Cải tạo, sửa chữa Nhà làm việc BQL Các Khu CN TG</t>
  </si>
  <si>
    <t>7615946</t>
  </si>
  <si>
    <t>7649045 - (2017) Chỉnh trang khu nhà làm việc UBND tỉnh TG</t>
  </si>
  <si>
    <t>7649045</t>
  </si>
  <si>
    <t>7647829 - Cải tạo, n/c trụ sở làm việc  Sở Kế hoạch và Đầu tư</t>
  </si>
  <si>
    <t>7647829</t>
  </si>
  <si>
    <t>13</t>
  </si>
  <si>
    <t>7621345 - Cải tao ,nâng cấp trụ sở làm việc Đài phát thanh và Tuyền hình TG</t>
  </si>
  <si>
    <t>7621345</t>
  </si>
  <si>
    <t>14</t>
  </si>
  <si>
    <t>7621197 - (2017)Nhà làm việc (khu B) Khối văn phòng Sở Nông nghiệp</t>
  </si>
  <si>
    <t>7621197</t>
  </si>
  <si>
    <t>15</t>
  </si>
  <si>
    <t>7629950 - (2017) S/c trụ sở làm việc Hội LH Phụ nữ tỉnh TG.</t>
  </si>
  <si>
    <t>7629950</t>
  </si>
  <si>
    <t>16</t>
  </si>
  <si>
    <t>7640413 - 2017/SC, CT Trụ Sở LV Huyện ủy Huyện TP(2017-2018)</t>
  </si>
  <si>
    <t>7640413</t>
  </si>
  <si>
    <t>17</t>
  </si>
  <si>
    <t>7543025 - Trụ sở UBND xã Long Chánh_TXGC</t>
  </si>
  <si>
    <t>7543025</t>
  </si>
  <si>
    <t>18</t>
  </si>
  <si>
    <t>7388730 - (2017) - Trụ sở UBND xã Phú Phong - CT2012</t>
  </si>
  <si>
    <t>7388730</t>
  </si>
  <si>
    <t>19</t>
  </si>
  <si>
    <t>7615945 - (2017) - Trụ sở UBND xã Bình Nghị (Khối Đảng ủy)</t>
  </si>
  <si>
    <t>7615945</t>
  </si>
  <si>
    <t>20</t>
  </si>
  <si>
    <t>7621190 - Trụ sở UBND Phường 5 (Thị xã Cai Lậy)</t>
  </si>
  <si>
    <t>7621190</t>
  </si>
  <si>
    <t>21</t>
  </si>
  <si>
    <t>7621343 - Trụ sở UBND Xã Tân Bình Thị xã Cai Lậy</t>
  </si>
  <si>
    <t>7621343</t>
  </si>
  <si>
    <t>Quốc phòng An ninh</t>
  </si>
  <si>
    <t>220150001 - Sở Chỉ huy thống nhất Tỉnh (Công trình Tối Mật)</t>
  </si>
  <si>
    <t>220150001</t>
  </si>
  <si>
    <t>220160005 - 2016/D Trại ban CHQS TX C Lậy-BCHQS tỉnhTG-QK9</t>
  </si>
  <si>
    <t>220160005</t>
  </si>
  <si>
    <t>220160006 - 2016/Nhà LV &amp; nhà ở cho dân quân xã,Phường,TT 2016</t>
  </si>
  <si>
    <t>220160006</t>
  </si>
  <si>
    <t>220160007 - 2016/D Trại Ban CHQS Huyện Cai Lậy cũ(BCHQS TX)</t>
  </si>
  <si>
    <t>220160007</t>
  </si>
  <si>
    <t>220170002 - 2017/Trụ sở LV&amp; nhà ở quân dân xã ,p,TT 2017</t>
  </si>
  <si>
    <t>220170002</t>
  </si>
  <si>
    <t>220170003 - 2017/Nhà dự bị động viên-BCHQS Huyện Chợ Gạo</t>
  </si>
  <si>
    <t>220170003</t>
  </si>
  <si>
    <t>220170004 - 2017/Nhà dự bị động viên-BCHQS Huyện GCĐ</t>
  </si>
  <si>
    <t>220170004</t>
  </si>
  <si>
    <t>220170005 - 2017/Nhà Làm việc Ban cơ yếu-BCHQS Tỉnh</t>
  </si>
  <si>
    <t>220170005</t>
  </si>
  <si>
    <t>220170006 - 2017/Trận Địa Pháo 85mm ( Công trình Mật)</t>
  </si>
  <si>
    <t>220170006</t>
  </si>
  <si>
    <t>220160004 - 2016/Trạm C Sát GT đường thủy Vàm kỳ Hôn thuộc PC68-C An Tỉnh TG</t>
  </si>
  <si>
    <t>220160004</t>
  </si>
  <si>
    <t>220170012 - 2017/CT,SC cơ quan BCH-BĐBP Tỉnh</t>
  </si>
  <si>
    <t>220170012</t>
  </si>
  <si>
    <t>220170007 - 2017/Cơ sở LV Trạm CA C khẩu Cảng M Tho&amp; P Đội PCCC...</t>
  </si>
  <si>
    <t>220170007</t>
  </si>
  <si>
    <t>220170008 - 2017/SC LĐ trụ nước chửa cháy địa bàn Tỉnh TG</t>
  </si>
  <si>
    <t>220170008</t>
  </si>
  <si>
    <t>220170009 - 2017/C Tạo,NC Mở rộng CS LV Công An Huyện C Gạo</t>
  </si>
  <si>
    <t>220170009</t>
  </si>
  <si>
    <t>220170013 - 2017/Máy sắc ký khí khối phổ PV HĐ G định T Pcủa CATỉn</t>
  </si>
  <si>
    <t>220170013</t>
  </si>
  <si>
    <t>Công trình khác</t>
  </si>
  <si>
    <t>7626268 - Bệnh viện ĐKTT Tiền Giang</t>
  </si>
  <si>
    <t>7626268</t>
  </si>
  <si>
    <t>7621344 - Bổ sung trang thiết bị phát thanh_Truyền hình</t>
  </si>
  <si>
    <t>7621344</t>
  </si>
  <si>
    <t>7281107 - Nâng cấp hệ thống kiểm soát xâm nhập măn vùng Gò Công</t>
  </si>
  <si>
    <t>7281107</t>
  </si>
  <si>
    <t>7281125 - Kiểm soát và giảm rũi ro do vùng Ba Rài - Phú An</t>
  </si>
  <si>
    <t>7281125</t>
  </si>
  <si>
    <t>7526373 - Gây bồi, tạo bãi, trồng cây ngập mặn ....đê biển Gò Công(Km 24...+25)</t>
  </si>
  <si>
    <t>7526373</t>
  </si>
  <si>
    <t>7491010 - 2016/Chuyển đổi Nông Nghiệp bền Vững Tại Việt Nam(2015-2020)</t>
  </si>
  <si>
    <t>7491010</t>
  </si>
  <si>
    <t>7237023 - NC đô thị vùng đồng bằng sông Cửu Long-Tiểu DATPMT</t>
  </si>
  <si>
    <t>7237023</t>
  </si>
  <si>
    <t>7207230 - Đường tỉnh 878</t>
  </si>
  <si>
    <t>7207230</t>
  </si>
  <si>
    <t>7301733 - Đường tỉnh 871 B</t>
  </si>
  <si>
    <t>7301733</t>
  </si>
  <si>
    <t>7510245 - Hạ tầng Kỹ thuật Khu Trung tâm hành chính huyện Cai Lậy(GĐ1)</t>
  </si>
  <si>
    <t>7510245</t>
  </si>
  <si>
    <t>7436532 - Cảng cá Vàm Láng kết hợp tránh, trú bão</t>
  </si>
  <si>
    <t>7436532</t>
  </si>
  <si>
    <t>7084619 - Làng Nghề Truyền Thống Tủ Thờ Gò Công</t>
  </si>
  <si>
    <t>7084619</t>
  </si>
  <si>
    <t>7515088 - Sữa chữa trụ sở làm việc Ban tiếp công dân</t>
  </si>
  <si>
    <t>7515088</t>
  </si>
  <si>
    <t>220090022 - Đồn Công An khu  công nghiệp Mỹ Tho</t>
  </si>
  <si>
    <t>220090022</t>
  </si>
  <si>
    <t>220090023 - NLV Tạm CA huyện Tân Phú Đông</t>
  </si>
  <si>
    <t>220090023</t>
  </si>
  <si>
    <t>220090024 - Nhà ở doanh trại CA huyện Tân Phú Đông</t>
  </si>
  <si>
    <t>220090024</t>
  </si>
  <si>
    <t>220130007 - XD HT Cấp Nước phòng cháy chữa cháy Tỉnh TG</t>
  </si>
  <si>
    <t>220130007</t>
  </si>
  <si>
    <t>220100093 - Hội trường 200 chổ - Bộ chỉ huy - BĐBP(VB số 98 ngày 03/10/12)</t>
  </si>
  <si>
    <t>220100093</t>
  </si>
  <si>
    <t>7513270 - Trụ sở UBND xã Bình Ân - h. GCĐ</t>
  </si>
  <si>
    <t>7513270</t>
  </si>
  <si>
    <t>7567259 - (2016) Sửa chữa trụ sở làm việc Ban quản lý tỉnh TG</t>
  </si>
  <si>
    <t>7567259</t>
  </si>
  <si>
    <t>7332204 - Tuyến cống thoát nước đấu nối HTTN CCN Trung An, KDC Bình Tạo,..</t>
  </si>
  <si>
    <t>7332204</t>
  </si>
  <si>
    <t>7394183 - Đường và Cầu nối Khu Công nghiệp Tân Hương &amp; Khu TĐC Tân Hương</t>
  </si>
  <si>
    <t>7394183</t>
  </si>
  <si>
    <t>22</t>
  </si>
  <si>
    <t>7440306 - Hệ thống thoát nước mưa đường nội bộ số 4 Cụm CN Trung An</t>
  </si>
  <si>
    <t>7440306</t>
  </si>
  <si>
    <t>23</t>
  </si>
  <si>
    <t>7556303 - S/c, cải tạo VP làm việc một cửa sở Giao thông VT TG</t>
  </si>
  <si>
    <t>7556303</t>
  </si>
  <si>
    <t>24</t>
  </si>
  <si>
    <t>7207247 - Ao sinh thái điều tiết nước &amp; xử lý sơ bộ  nước sinh hoạt  khu TĐC Tân Hương</t>
  </si>
  <si>
    <t>7207247</t>
  </si>
  <si>
    <t>25</t>
  </si>
  <si>
    <t>7159431 - Hội Trường UBND huyện GCT</t>
  </si>
  <si>
    <t>7159431</t>
  </si>
  <si>
    <t>26</t>
  </si>
  <si>
    <t>7432785 - Nhà làm việc Khối Đảng huyện Gò Công Tây-GCT14</t>
  </si>
  <si>
    <t>7432785</t>
  </si>
  <si>
    <t>27</t>
  </si>
  <si>
    <t>7188351 - Trụ sở các hội quần chúng tỉnh TG</t>
  </si>
  <si>
    <t>7188351</t>
  </si>
  <si>
    <t>28</t>
  </si>
  <si>
    <t>7493696 - Kè chống sạt lở sông Bảo Định - TP.MT</t>
  </si>
  <si>
    <t>7493696</t>
  </si>
  <si>
    <t>220140004 - Trụ Sở LV&amp; nhà ở dân quân xã ,F,TTr ấn năm 2014</t>
  </si>
  <si>
    <t>220140004</t>
  </si>
  <si>
    <t>220150005 - Nhà ăn, nhà ở học viên-Trường QS Tỉnh</t>
  </si>
  <si>
    <t>220150005</t>
  </si>
  <si>
    <t>220120007 - T Tâm NC HT&amp;PT C Đồng(Trụ Sở LV phòng Tình Báo CA Tỉnh TG</t>
  </si>
  <si>
    <t>220120007</t>
  </si>
  <si>
    <t>7541071 - Di tích LS- VH 08 Dân công tải đạn hy sinh, S.Bình ,CG</t>
  </si>
  <si>
    <t>7541071</t>
  </si>
  <si>
    <t>7493694 - Nâng cấp, SC Hội trường UBND huyện TP(2015-2016)</t>
  </si>
  <si>
    <t>7493694</t>
  </si>
  <si>
    <t>7522449 - Trụ sở UBND Phường 2 - Thị xã Cai Lậy</t>
  </si>
  <si>
    <t>7522449</t>
  </si>
  <si>
    <t>7567288 - 2016/ứng dụng CNTT trong HĐ các QQ Đảng TỉnhTG GĐ 2015-2020</t>
  </si>
  <si>
    <t>7567288</t>
  </si>
  <si>
    <t>Xổ số kiến thiết</t>
  </si>
  <si>
    <t>Giáo dục - Đào tạo</t>
  </si>
  <si>
    <t>7197466 - Trường THPT Nguyễn Đình Chiểu</t>
  </si>
  <si>
    <t>7197466</t>
  </si>
  <si>
    <t>7438316 - Trường THPT Trần Văn Hoài , Huyện Chợ Gạo</t>
  </si>
  <si>
    <t>7438316</t>
  </si>
  <si>
    <t>7231881 - Trường Tiểu học Trung An - TPMT</t>
  </si>
  <si>
    <t>7231881</t>
  </si>
  <si>
    <t>7424782 - Trường Tiểu học Thủ Khoa Huân</t>
  </si>
  <si>
    <t>7424782</t>
  </si>
  <si>
    <t>7422657 - Trung tâm học tập đa năng huyện Cái Bè</t>
  </si>
  <si>
    <t>7422657</t>
  </si>
  <si>
    <t>7507188 - Trường Trung học cơ sở Bình Đức - TP.MT</t>
  </si>
  <si>
    <t>7507188</t>
  </si>
  <si>
    <t>7388728 - Trường THCS Phú Thành-GCT2012</t>
  </si>
  <si>
    <t>7388728</t>
  </si>
  <si>
    <t>7518152 - Trường THCS Phú Phong h. Châu Thành</t>
  </si>
  <si>
    <t>7518152</t>
  </si>
  <si>
    <t>7301699 - KhốI hội trường -Trường Chính Trị Tỉnh TG</t>
  </si>
  <si>
    <t>7301699</t>
  </si>
  <si>
    <t>7497404 - Trường THCS Lê Ngọc Hân - TP Mỹ Tho</t>
  </si>
  <si>
    <t>7497404</t>
  </si>
  <si>
    <t>7479597 - 2016. Trường THPT Tân Phú Đông -  H. Tân Phú Đông</t>
  </si>
  <si>
    <t>7479597</t>
  </si>
  <si>
    <t>7438321 - Trường THPT Tân Thới</t>
  </si>
  <si>
    <t>7438321</t>
  </si>
  <si>
    <t>7438309 - Trường THPT Tân Hiệp - Huyện Châu Thành</t>
  </si>
  <si>
    <t>7438309</t>
  </si>
  <si>
    <t>7567219 - (2016) Trường THPT Nguyễn Văn Thìn- huyện GCT</t>
  </si>
  <si>
    <t>7567219</t>
  </si>
  <si>
    <t>7568761 - (2016)Trường THPT Bình Phục Nhứt - huyện Chợ Gạo</t>
  </si>
  <si>
    <t>7568761</t>
  </si>
  <si>
    <t>7567215 - (2016) Trường THPT Lê Thanh Hiền - huyện Cái Bè</t>
  </si>
  <si>
    <t>7567215</t>
  </si>
  <si>
    <t>7562686 - (2016) TRường THCS thị trấn Chợ Gạo GĐ2</t>
  </si>
  <si>
    <t>7562686</t>
  </si>
  <si>
    <t>7570541 - (2016)Trường Tiểu học Long Hòa - TP.MT</t>
  </si>
  <si>
    <t>7570541</t>
  </si>
  <si>
    <t>7566014 - (2016) Trường THCS Quơn Long</t>
  </si>
  <si>
    <t>7566014</t>
  </si>
  <si>
    <t>7569624 - Trường TH Phú An 1</t>
  </si>
  <si>
    <t>7569624</t>
  </si>
  <si>
    <t>7569630 - Trường THCS Phan Văn Cẩm - Xã Long Tiên</t>
  </si>
  <si>
    <t>7569630</t>
  </si>
  <si>
    <t>7567222 - (2016) Trường THCS Vĩnh Kim (Khối HC - Thư viện)</t>
  </si>
  <si>
    <t>7567222</t>
  </si>
  <si>
    <t>7567223 - (2016) Trường Tiểu học Thân Cửu Nghĩa B</t>
  </si>
  <si>
    <t>7567223</t>
  </si>
  <si>
    <t>7568763 - (2016) Trường TH Tân Phước 2</t>
  </si>
  <si>
    <t>7568763</t>
  </si>
  <si>
    <t>7568773 - (2016) Trường TH Long An</t>
  </si>
  <si>
    <t>7568773</t>
  </si>
  <si>
    <t>7616220 - (2017)-Truong THCS Long Hưng (giai đoạn 1)</t>
  </si>
  <si>
    <t>7616220</t>
  </si>
  <si>
    <t>7562631 - (2016)Trường Tiểu học Vàm Láng 1</t>
  </si>
  <si>
    <t>7562631</t>
  </si>
  <si>
    <t>7567035 - (2016) Trường THCS Thạnh Nhựt h. GCT (GĐ 1)</t>
  </si>
  <si>
    <t>7567035</t>
  </si>
  <si>
    <t>29</t>
  </si>
  <si>
    <t>7569326 - (2016) Trường THCS Phan Văn Ba - huyện CB</t>
  </si>
  <si>
    <t>7569326</t>
  </si>
  <si>
    <t>30</t>
  </si>
  <si>
    <t>7570374 - 2016-Trường TH Tân Trung 1 -TXGC</t>
  </si>
  <si>
    <t>7570374</t>
  </si>
  <si>
    <t>31</t>
  </si>
  <si>
    <t>7562633 - (2016) Trung tâm bồi dưỡng chính trị h. GCĐ</t>
  </si>
  <si>
    <t>7562633</t>
  </si>
  <si>
    <t>32</t>
  </si>
  <si>
    <t>220160002 - 2016/T tâm H Luyện &amp; BD Ngh vụ, C An Tỉnh GĐ 1(2016-2018)</t>
  </si>
  <si>
    <t>220160002</t>
  </si>
  <si>
    <t>33</t>
  </si>
  <si>
    <t>7559449 - Khối hội trường - KTX - Khu phụ trợ - Trường CĐYT TG</t>
  </si>
  <si>
    <t>7559449</t>
  </si>
  <si>
    <t>34</t>
  </si>
  <si>
    <t>7566204 - (2016) Khối Th. Hành PV G.Dạy các Nghề Tr. điểm-Trường Cao Đẳng Nghề TG-GĐ1</t>
  </si>
  <si>
    <t>7566204</t>
  </si>
  <si>
    <t>35</t>
  </si>
  <si>
    <t>7619594 - (2017)Trường THPT Cái Bè - huyện Cái Bè</t>
  </si>
  <si>
    <t>7619594</t>
  </si>
  <si>
    <t>36</t>
  </si>
  <si>
    <t>7619595 - (2017) Trường THPT Dưỡng Điềm - huyện Châu Thành</t>
  </si>
  <si>
    <t>7619595</t>
  </si>
  <si>
    <t>37</t>
  </si>
  <si>
    <t>7619429 - (2017)Nâng cấp, MR  Trường THPT Nguyễn Văn Côn GĐ 2 - H.GCĐ</t>
  </si>
  <si>
    <t>7619429</t>
  </si>
  <si>
    <t>38</t>
  </si>
  <si>
    <t>7619593 - (2017)Nâng cấp, MR  trường THPT Đốc Binh Kiều - TX CL</t>
  </si>
  <si>
    <t>7619593</t>
  </si>
  <si>
    <t>39</t>
  </si>
  <si>
    <t>7607548 - (2017) - Trường Tiểu học Tân Thành 2</t>
  </si>
  <si>
    <t>7607548</t>
  </si>
  <si>
    <t>40</t>
  </si>
  <si>
    <t>7607546 - (2017)-Trường THCS Võ Duy Linh</t>
  </si>
  <si>
    <t>7607546</t>
  </si>
  <si>
    <t>41</t>
  </si>
  <si>
    <t>7619543 - 2017/Trung Tâm Bồi Dưỡng Chính Trị Huyện TP</t>
  </si>
  <si>
    <t>7619543</t>
  </si>
  <si>
    <t>42</t>
  </si>
  <si>
    <t>7619431 - 2017/Trường Tiểu Học Hưng Thạnh</t>
  </si>
  <si>
    <t>7619431</t>
  </si>
  <si>
    <t>43</t>
  </si>
  <si>
    <t>7619756 - (2017) - Trường TH Tân Lý Tây B (giai đoạn  2)</t>
  </si>
  <si>
    <t>7619756</t>
  </si>
  <si>
    <t>44</t>
  </si>
  <si>
    <t>7620541 - (2017)-Trường TH Thới Sơn, TP.MT</t>
  </si>
  <si>
    <t>7620541</t>
  </si>
  <si>
    <t>45</t>
  </si>
  <si>
    <t>7616970 - (2017)-Trường TH Phước Thạnh, TP.MT</t>
  </si>
  <si>
    <t>7616970</t>
  </si>
  <si>
    <t>46</t>
  </si>
  <si>
    <t>7619540 - Trường TH Phan Văn Kiêu Thị xã Cai Lậy</t>
  </si>
  <si>
    <t>7619540</t>
  </si>
  <si>
    <t>47</t>
  </si>
  <si>
    <t>7619541 - (2017)-Trường THCS Xuân Diệu, TP.MT</t>
  </si>
  <si>
    <t>7619541</t>
  </si>
  <si>
    <t>48</t>
  </si>
  <si>
    <t>7619542 - (2017)-Trường THCS Đạo Thạnh, TP.MT</t>
  </si>
  <si>
    <t>7619542</t>
  </si>
  <si>
    <t>49</t>
  </si>
  <si>
    <t>7620533 - (2017)-Nâng cấp MR Trường TH Thanh Bình</t>
  </si>
  <si>
    <t>7620533</t>
  </si>
  <si>
    <t>50</t>
  </si>
  <si>
    <t>7488669 - Hạ tầng kỹ thuật GĐ1-Trường ĐHTG</t>
  </si>
  <si>
    <t>7488669</t>
  </si>
  <si>
    <t>51</t>
  </si>
  <si>
    <t>7240264 - Cổng Tường Rào-Trường ĐHTG</t>
  </si>
  <si>
    <t>7240264</t>
  </si>
  <si>
    <t>52</t>
  </si>
  <si>
    <t>7580847 - 2016/ĐTư BS trang TB khoa khoa học cơ bản-Trường ĐHTG</t>
  </si>
  <si>
    <t>7580847</t>
  </si>
  <si>
    <t>53</t>
  </si>
  <si>
    <t>7609286 - 2017/Trung Tâm Thông Tin Thư Viện-Trường ĐHTG</t>
  </si>
  <si>
    <t>7609286</t>
  </si>
  <si>
    <t>54</t>
  </si>
  <si>
    <t>7500762 - Trường MN Hoa Mai - xã Mỹ Phong - TP.MT</t>
  </si>
  <si>
    <t>7500762</t>
  </si>
  <si>
    <t>55</t>
  </si>
  <si>
    <t>7500767 - Trường Tiểu học Mỹ Phong - TP.MT</t>
  </si>
  <si>
    <t>7500767</t>
  </si>
  <si>
    <t>56</t>
  </si>
  <si>
    <t>7524933 - Trường THCS Tân Mỹ Chánh</t>
  </si>
  <si>
    <t>7524933</t>
  </si>
  <si>
    <t>57</t>
  </si>
  <si>
    <t>7569325 - (2016) Trường THCS Lê Quốc Việt</t>
  </si>
  <si>
    <t>7569325</t>
  </si>
  <si>
    <t>58</t>
  </si>
  <si>
    <t>Thanh toán KLHT y tế, giáo dục</t>
  </si>
  <si>
    <t>7054207 - Trường MG Măng non-GCT</t>
  </si>
  <si>
    <t>7054207</t>
  </si>
  <si>
    <t>7057851 - Trường TH Mỹ Đức Tây A</t>
  </si>
  <si>
    <t>7057851</t>
  </si>
  <si>
    <t>7275320 - Trung tâm dạy nghề huyện Cái Bè</t>
  </si>
  <si>
    <t>7275320</t>
  </si>
  <si>
    <t>7398656 - Trường THCS Đoàn Thị Nghiệp- H. Cai Lậy</t>
  </si>
  <si>
    <t>7398656</t>
  </si>
  <si>
    <t>7421900 - Trường THCS Xuân Đông-CG13</t>
  </si>
  <si>
    <t>7421900</t>
  </si>
  <si>
    <t>7431127 - Trường TH Bình Đông 1 (GĐ 2)</t>
  </si>
  <si>
    <t>7431127</t>
  </si>
  <si>
    <t>7438325 - Nhà WC các điểm trường H. Cái Bè &amp; Cai Lậy năm 2014</t>
  </si>
  <si>
    <t>7438325</t>
  </si>
  <si>
    <t>7438332 - Nhà WC các điểm trường TX Gò Công &amp; Gò Công Đông năm 2014</t>
  </si>
  <si>
    <t>7438332</t>
  </si>
  <si>
    <t>7438335 - Nhà WC các điểm trường H.Chợ Gạo &amp; Gò Công Tây năm 2014</t>
  </si>
  <si>
    <t>7438335</t>
  </si>
  <si>
    <t>7438339 - Nhà WC các điểm trường H.Tân Phước &amp; Châu Thành năm 2014</t>
  </si>
  <si>
    <t>7438339</t>
  </si>
  <si>
    <t>7438345 - Nhà WC các điểm trường trên địa bàn TP Mỹ Tho nă 2014</t>
  </si>
  <si>
    <t>7438345</t>
  </si>
  <si>
    <t>7111822 - Trung tâm dạy nghề huyện GCĐ10</t>
  </si>
  <si>
    <t>7111822</t>
  </si>
  <si>
    <t>7332218 - Trụ Sở Ban BVChăm Sóc SK cán bộ &amp; TT lưu trữ Tỉnh ủy TG</t>
  </si>
  <si>
    <t>7332218</t>
  </si>
  <si>
    <t>7050096 - BENH VIEN Y HOC CO TRUYEN</t>
  </si>
  <si>
    <t>7050096</t>
  </si>
  <si>
    <t>7053485 - Bệnh viện Đa khoa huyện Gò Công Đông</t>
  </si>
  <si>
    <t>7053485</t>
  </si>
  <si>
    <t>7053596 - Bệnh viện Đa khoa khu vực Gò Công(TPCP)</t>
  </si>
  <si>
    <t>7053596</t>
  </si>
  <si>
    <t>7053668 - Bệnh viện Đa khoa huyện Tân Phước</t>
  </si>
  <si>
    <t>7053668</t>
  </si>
  <si>
    <t>7054378 - Trung tâm Y tế dự phòng huyện Châu Thành</t>
  </si>
  <si>
    <t>7054378</t>
  </si>
  <si>
    <t>7069577 - Khối thực hành thư viện  trường Cao Đẳng Y tế TG</t>
  </si>
  <si>
    <t>7069577</t>
  </si>
  <si>
    <t>7100919 - Trung tâm y tế huyện Gò Công Tây</t>
  </si>
  <si>
    <t>7100919</t>
  </si>
  <si>
    <t>7373863 - Đầu tư mua sắm trang thiết bị y tế trung tâm CSSKSS TG</t>
  </si>
  <si>
    <t>7373863</t>
  </si>
  <si>
    <t>7456523 - Xây dựng hồ nước và nhà vệ sinh tại các trạm y tế xã</t>
  </si>
  <si>
    <t>7456523</t>
  </si>
  <si>
    <t>7512433 - Bệnh viện vệ tinh - Khoa vệ tinh(Phần trang thiết bị y tế) - BVĐKTT tỉnh(GĐ1)</t>
  </si>
  <si>
    <t>7512433</t>
  </si>
  <si>
    <t>7376430 - Trường THCS Vàm Láng, GCĐ</t>
  </si>
  <si>
    <t>7376430</t>
  </si>
  <si>
    <t>7030002 - Trường THCS Thị trấn Chợ Gạo</t>
  </si>
  <si>
    <t>7030002</t>
  </si>
  <si>
    <t>7491341 - N.cấp, mở rộng Tr. THPT Nguyễn Văn Côn</t>
  </si>
  <si>
    <t>7491341</t>
  </si>
  <si>
    <t>7381684 - Trường THPT Chuyên TG</t>
  </si>
  <si>
    <t>7381684</t>
  </si>
  <si>
    <t>7243039 - Trung tâm dạy nghề huyện GCT(10)</t>
  </si>
  <si>
    <t>7243039</t>
  </si>
  <si>
    <t>7505733 - Trung tâm y tế huyện Gò Công Tây (Thang máy &amp; phòng chờ khu khám)</t>
  </si>
  <si>
    <t>7505733</t>
  </si>
  <si>
    <t>7096215 - Trường TH hậu Mỹ Bắc B 2008</t>
  </si>
  <si>
    <t>7096215</t>
  </si>
  <si>
    <t>7096264 - Trường THCs An Hữu</t>
  </si>
  <si>
    <t>7096264</t>
  </si>
  <si>
    <t>7240178 - Trường THCS Mỹ Đức Tây 2010</t>
  </si>
  <si>
    <t>7240178</t>
  </si>
  <si>
    <t>7240653 - Trường tiểu học Hòa Khánh A 2010</t>
  </si>
  <si>
    <t>7240653</t>
  </si>
  <si>
    <t>7276287 - Trung tâm dạy nghề huyện Chợ Gạo 2010</t>
  </si>
  <si>
    <t>7276287</t>
  </si>
  <si>
    <t>7654621 - 2017/Trường TH Tân lập 1 (2017-2019)</t>
  </si>
  <si>
    <t>7654621</t>
  </si>
  <si>
    <t>7268821 - Khối N. xưởng sạch-L.Học L thuyết-Trường TC nghề KVCLậy</t>
  </si>
  <si>
    <t>7268821</t>
  </si>
  <si>
    <t>Các công trình khác</t>
  </si>
  <si>
    <t>Y tế</t>
  </si>
  <si>
    <t>7415711 - Xây dựng mở rộng Bệnh viện y học Cổ truyền</t>
  </si>
  <si>
    <t>7415711</t>
  </si>
  <si>
    <t>7436544 - Trung tâm phòng chống HIV/AIDS tỉnh TG(QĐ 2582)</t>
  </si>
  <si>
    <t>7436544</t>
  </si>
  <si>
    <t>7499651 - Cải tạo mở rộng BV ĐKKV Gò Công</t>
  </si>
  <si>
    <t>7499651</t>
  </si>
  <si>
    <t>7506250 - Phòng Khám ĐKKV Tân Hương</t>
  </si>
  <si>
    <t>7506250</t>
  </si>
  <si>
    <t>7607553 - Cải tạo nâng cấp Bệnh viện Tâm thần tỉnh TG</t>
  </si>
  <si>
    <t>7607553</t>
  </si>
  <si>
    <t>7619596 - Đầu tư hệ thống xử lý chất thải Y tế</t>
  </si>
  <si>
    <t>7619596</t>
  </si>
  <si>
    <t>7607558 - Trung tâm Y tế huyện Cai Lậy</t>
  </si>
  <si>
    <t>7607558</t>
  </si>
  <si>
    <t>7607561 - Phòng Khám ĐKKV Tân Hương(Giai đoạn 2)</t>
  </si>
  <si>
    <t>7607561</t>
  </si>
  <si>
    <t xml:space="preserve">Các dự án trọng điểm </t>
  </si>
  <si>
    <t>7380780 - Đường Lê Văn Phẩm-Đoạn 2  (TĐDA:2013-2017)</t>
  </si>
  <si>
    <t>7380780</t>
  </si>
  <si>
    <t>7439587 - Đầu tư hạ tầng khu tái định cư Đạo Thạnh</t>
  </si>
  <si>
    <t>7439587</t>
  </si>
  <si>
    <t>7361593 - Hạ tầng kỹ thuật - Quảng trường trung tâm tỉnh TG (GD1)</t>
  </si>
  <si>
    <t>7361593</t>
  </si>
  <si>
    <t>7432800 - Bồi thường, hỗ trợ, tái định cư thuộc dự án......khu TĐC quảng trường...</t>
  </si>
  <si>
    <t>7432800</t>
  </si>
  <si>
    <t>7432801 - Bồi thường, hỗ trợ, tái định cư phục vụ....Quảng trường TT...</t>
  </si>
  <si>
    <t>7432801</t>
  </si>
  <si>
    <t>7437877 - QT sân lễ - QT  Trung tâm Tỉnh TG</t>
  </si>
  <si>
    <t>7437877</t>
  </si>
  <si>
    <t>Hỗ trợ cải tạo, nâng cấp phát triển hệ thống chợ trên địa bàn tỉnh</t>
  </si>
  <si>
    <t>7609278 - (2017) - Bến Chợ huyện Chợ Gạo</t>
  </si>
  <si>
    <t>7609278</t>
  </si>
  <si>
    <t>7619134 - (2017) - Bến bãi - chợ Phú Phong (giai đoạn 2)</t>
  </si>
  <si>
    <t>7619134</t>
  </si>
  <si>
    <t>7621189 - Chợ Tân Phú Thị xã Cai Lậy</t>
  </si>
  <si>
    <t>7621189</t>
  </si>
  <si>
    <t>7622271 - (2017) Chợ Tân Thạnh</t>
  </si>
  <si>
    <t>7622271</t>
  </si>
  <si>
    <t>Văn hóa Xã hội</t>
  </si>
  <si>
    <t>7503770 - Nâng Cấp Mở Rộng Trung Tâm công tác XH Tỉnh TG</t>
  </si>
  <si>
    <t>7503770</t>
  </si>
  <si>
    <t>7431131 - Sân vận động Thị xã Gò Công</t>
  </si>
  <si>
    <t>7431131</t>
  </si>
  <si>
    <t>7623798 - 2017/Nâng cấp Nghĩa trang LS Tỉnh TG</t>
  </si>
  <si>
    <t>7623798</t>
  </si>
  <si>
    <t>7627328 - (2017)Tôn tạo khu mộ lãnh binh N.V.Cẩn,Mỹ Lợi A,Cái Bè</t>
  </si>
  <si>
    <t>7627328</t>
  </si>
  <si>
    <t>7627327 - (2017) - SC, CT HT tưới nước Sân vận động TG</t>
  </si>
  <si>
    <t>7627327</t>
  </si>
  <si>
    <t>7616338 - (2017)-Công viên Nguyễn Văn Côn thị trấn Vĩnh Bình</t>
  </si>
  <si>
    <t>7616338</t>
  </si>
  <si>
    <t>7623799 - 2017/Tỉnh hội người Mù</t>
  </si>
  <si>
    <t>7623799</t>
  </si>
  <si>
    <t>7624129 - (2017) Công viên trái cây</t>
  </si>
  <si>
    <t>7624129</t>
  </si>
  <si>
    <t>7418253 - Đường Huyện 39</t>
  </si>
  <si>
    <t>7418253</t>
  </si>
  <si>
    <t>7207208 - MRộng ĐT 867 ( QL 1 - Trường THCS L Định -cầu 3 Râu-cầu Dừa)</t>
  </si>
  <si>
    <t>7207208</t>
  </si>
  <si>
    <t>7382811 - CTạo,NC Đường Tràm Mù(ĐH41):Đoạn ĐT 867-UBNX Thạnh Tân-TP</t>
  </si>
  <si>
    <t>7382811</t>
  </si>
  <si>
    <t>7492201 - Đường huyện 16 A- h. Gò công Tây</t>
  </si>
  <si>
    <t>7492201</t>
  </si>
  <si>
    <t>7492216 - Đường huyện 07 - huyện Gò Công Đông</t>
  </si>
  <si>
    <t>7492216</t>
  </si>
  <si>
    <t>7491539 - Cầu Bình Thành trên ĐT 873(KC: 2015-2018)</t>
  </si>
  <si>
    <t>7491539</t>
  </si>
  <si>
    <t>7491621 - Đường Liên 6 xã(Đoạn từ Sông Ba Rài - Giồng Tre)</t>
  </si>
  <si>
    <t>7491621</t>
  </si>
  <si>
    <t>7492198 - Cầu Xóm Bún (Km14+944) trên ĐT 879</t>
  </si>
  <si>
    <t>7492198</t>
  </si>
  <si>
    <t>7493689 - Đường Ông Bảo Bà Kén</t>
  </si>
  <si>
    <t>7493689</t>
  </si>
  <si>
    <t>7493691 - Đường Đông Kênh Ba Muồng</t>
  </si>
  <si>
    <t>7493691</t>
  </si>
  <si>
    <t>7497043 - Đường huyện 34 nối dài (Bến đò Long Hưng-Cổng 2 ĐT)</t>
  </si>
  <si>
    <t>7497043</t>
  </si>
  <si>
    <t>7438966 - Cầu Phú Kiết(km10+086)-cống Lộ Tổng(km4+756)-ĐT879</t>
  </si>
  <si>
    <t>7438966</t>
  </si>
  <si>
    <t>7375830 - Các cầu trên đường Đông kênh Chín Hấn</t>
  </si>
  <si>
    <t>7375830</t>
  </si>
  <si>
    <t>7513190 - Đường Đoàn Thị Nghiệp (Đoạn L.T.K - Nguyễn Thị Thập) - TP.MT</t>
  </si>
  <si>
    <t>7513190</t>
  </si>
  <si>
    <t>7513208 - Hai cầu trên ĐH 85 - H TPĐ</t>
  </si>
  <si>
    <t>7513208</t>
  </si>
  <si>
    <t>7619757 - (2017)-Đường liên huyện (ĐH 36 CTnối ĐH 51tx Cai Lậy) - đoạn qua h. Châu Thành</t>
  </si>
  <si>
    <t>7619757</t>
  </si>
  <si>
    <t>7624256 - Đường liên huyện(Đ huyện 36 CT nối ĐH 51 CL) qua địa p</t>
  </si>
  <si>
    <t>7624256</t>
  </si>
  <si>
    <t>7616108 - Cầu Nguyễn Trọng Dân -TXGC</t>
  </si>
  <si>
    <t>7616108</t>
  </si>
  <si>
    <t>7613718 - (2017)- Cầu Trần Văn Dõng - xã Bình Ân</t>
  </si>
  <si>
    <t>7613718</t>
  </si>
  <si>
    <t>7616117 - (2017)- Đường Trần Văn Ưng (nối dài)</t>
  </si>
  <si>
    <t>7616117</t>
  </si>
  <si>
    <t>7616349 - (2017)- Đường Nguyễn Thị Bảy - thị trấn Vĩnh Bình</t>
  </si>
  <si>
    <t>7616349</t>
  </si>
  <si>
    <t>7616470 - 2017/Đường Đông kênh Chín Hấn( ĐH45A)</t>
  </si>
  <si>
    <t>7616470</t>
  </si>
  <si>
    <t>7616971 - (2017)- Đường huyện 90 E, TP.MT</t>
  </si>
  <si>
    <t>7616971</t>
  </si>
  <si>
    <t>7617815 - Đường Bình Phú - Bình Thạnh(ĐH.65)</t>
  </si>
  <si>
    <t>7617815</t>
  </si>
  <si>
    <t>7617816 - Đường vào Trường Mẫu Giáo ấp 10 xã Mỹ Thành Nam</t>
  </si>
  <si>
    <t>7617816</t>
  </si>
  <si>
    <t>7619755 - (2017) - Nâng cấp mở rộng Đường Hộ Tài - h. CT</t>
  </si>
  <si>
    <t>7619755</t>
  </si>
  <si>
    <t>7621371 - (2017)-Tuyến đường Bắc kênh Trần Văn Dõng</t>
  </si>
  <si>
    <t>7621371</t>
  </si>
  <si>
    <t>7621372 - (2017) Đường Bắc kênh Cần Lộc (gđ 2)</t>
  </si>
  <si>
    <t>7621372</t>
  </si>
  <si>
    <t>7622014 - (2017)-Đường Bờ Cộ trên, xã Phước Thạnh-TP.MT</t>
  </si>
  <si>
    <t>7622014</t>
  </si>
  <si>
    <t>7623797 - 2017/NC Lát đan Đường Nam NV Tiếp(P Lập-Kênh NT Thành</t>
  </si>
  <si>
    <t>7623797</t>
  </si>
  <si>
    <t>7624130 - (2017) Cầu dân sinh Thiên Hộ</t>
  </si>
  <si>
    <t>7624130</t>
  </si>
  <si>
    <t>7624131 - (2017) Mở rộng đường huyện 74(GĐ 3)</t>
  </si>
  <si>
    <t>7624131</t>
  </si>
  <si>
    <t>7624132 - (2017) Đường Tây kênh 7, xã Hậu Mỹ Bắc A</t>
  </si>
  <si>
    <t>7624132</t>
  </si>
  <si>
    <t>7624133 - (2017) Đường dân sinh dọc kênh Nguyễn Văn Tiếp....</t>
  </si>
  <si>
    <t>7624133</t>
  </si>
  <si>
    <t>7629864 - Sửa chữa, cải tạo Đường Liên xã Mỹ Hạnh Trung - Tân Bì</t>
  </si>
  <si>
    <t>7629864</t>
  </si>
  <si>
    <t>7629948 - (2017)-Cải tạo &amp; NC Đường Kênh Đào - Mộ Bia, h. CT</t>
  </si>
  <si>
    <t>7629948</t>
  </si>
  <si>
    <t>7629949 - (2017)-Đường ấp Dầu, xã Đông Hòa, h. Châu Thành</t>
  </si>
  <si>
    <t>7629949</t>
  </si>
  <si>
    <t>7549668 - Đường Tây Mỹ Long - Bà Kỳ Thị xã Cai Lậy</t>
  </si>
  <si>
    <t>7549668</t>
  </si>
  <si>
    <t>Du lịch</t>
  </si>
  <si>
    <t>7626272 - (2017)- CSHT KDL Cù Lao Thới Sơn, TP.MT</t>
  </si>
  <si>
    <t>7626272</t>
  </si>
  <si>
    <t>Thanh toán KLHT</t>
  </si>
  <si>
    <t>7052983 - Trường THCS Võ Việt tân</t>
  </si>
  <si>
    <t>7052983</t>
  </si>
  <si>
    <t>7053015 - Trường THCS Trừ Văn Thố</t>
  </si>
  <si>
    <t>7053015</t>
  </si>
  <si>
    <t>7053037 - HT thoát nước KV Rạch Ông Hiệu</t>
  </si>
  <si>
    <t>0562</t>
  </si>
  <si>
    <t>7078465 - Trường TH Thạnh Lộc 1(08 phòng - 2009)</t>
  </si>
  <si>
    <t>7078465</t>
  </si>
  <si>
    <t>7242185 - Trường TH Hội Xuân</t>
  </si>
  <si>
    <t>7242185</t>
  </si>
  <si>
    <t>7243007 - Trường TH Trừ Văn Thố 1</t>
  </si>
  <si>
    <t>7243007</t>
  </si>
  <si>
    <t>7186301 - N. cao ChLượng,A.Ttoàn SP NN &amp;PTCT khí Sinh học</t>
  </si>
  <si>
    <t>7186301</t>
  </si>
  <si>
    <t>7108132 - Bờ bao Khu dân cư có sẵn Bắc kênh Ban Chón</t>
  </si>
  <si>
    <t>7108132</t>
  </si>
  <si>
    <t>7108138 - Bờ bao Khu dân cư có sẵn Đông xóm Chòi</t>
  </si>
  <si>
    <t>7108138</t>
  </si>
  <si>
    <t>7108144 - Bờ bao Khu dân cư có sẵn Tây Kênh Chà Là</t>
  </si>
  <si>
    <t>7108144</t>
  </si>
  <si>
    <t>7108150 - Bờ bao Khu dân cư có sẵn kênh Cà Dăm</t>
  </si>
  <si>
    <t>7108150</t>
  </si>
  <si>
    <t>7108153 - Bờ bao Khu dân cư có sẵn Kênh Cà Mau- Bà Tùng</t>
  </si>
  <si>
    <t>7108153</t>
  </si>
  <si>
    <t>7108277 - Bờ bao Khu dân cư có sẵn Kênh Bà Thửa</t>
  </si>
  <si>
    <t>7108277</t>
  </si>
  <si>
    <t>7114781 - Bờ bao Khu dân cư có sẵn Tây Kênh Bưng Thôn Trang</t>
  </si>
  <si>
    <t>7114781</t>
  </si>
  <si>
    <t>7165729 - Cụm dân cư Mỹ Phước Tây(mở rộng)</t>
  </si>
  <si>
    <t>7165729</t>
  </si>
  <si>
    <t>7169222 - Bờ bao Khu dân cư có sẵn Kênh Bà Kỳ - đoạn 1</t>
  </si>
  <si>
    <t>7169222</t>
  </si>
  <si>
    <t>7053047 - Cầu Trắng</t>
  </si>
  <si>
    <t>7053047</t>
  </si>
  <si>
    <t>7053059 - Đường huyện 57</t>
  </si>
  <si>
    <t>7053059</t>
  </si>
  <si>
    <t>7053064 - Đường Phú Tiểu</t>
  </si>
  <si>
    <t>7053064</t>
  </si>
  <si>
    <t>7054210 - Đường liên xã Tân Bình - Mỹ Hạnh Trung</t>
  </si>
  <si>
    <t>7054210</t>
  </si>
  <si>
    <t>7054212 - Đường huyện 15A-GCT</t>
  </si>
  <si>
    <t>7054212</t>
  </si>
  <si>
    <t>7108366 - Đường liên 4 xã</t>
  </si>
  <si>
    <t>7108366</t>
  </si>
  <si>
    <t>7159441 - Đường nội ô thị trấn Vĩnh Bình huyện GCT</t>
  </si>
  <si>
    <t>7159441</t>
  </si>
  <si>
    <t>7163385 - Cầu Bình Trị huyện Cai Lậy</t>
  </si>
  <si>
    <t>7163385</t>
  </si>
  <si>
    <t>7173129 - Cầu chợ Tân Hội &amp; cống k.mới trên đường Tân Hội - MHĐ</t>
  </si>
  <si>
    <t>7173129</t>
  </si>
  <si>
    <t>7175307 - Đường kênh Cả Gáo huyện Cai Lậy</t>
  </si>
  <si>
    <t>7175307</t>
  </si>
  <si>
    <t>7207225 - Các cầu trên ĐT 864</t>
  </si>
  <si>
    <t>7207225</t>
  </si>
  <si>
    <t>7216249 - Đường Khu 7 - Thanh Hòa huyện Cai Lậy</t>
  </si>
  <si>
    <t>7216249</t>
  </si>
  <si>
    <t>7216255 - Cầu Thâm Rôn trên đường Lộ Giồng Tre</t>
  </si>
  <si>
    <t>7216255</t>
  </si>
  <si>
    <t>7216256 - Cầu Ông Quí trên đường Lộ Giồng Tre</t>
  </si>
  <si>
    <t>7216256</t>
  </si>
  <si>
    <t>7269481 - Đường dọc sông Tiền(nối dài ĐT 864)</t>
  </si>
  <si>
    <t>7269481</t>
  </si>
  <si>
    <t>7312970 - Cầu Bến Tranh</t>
  </si>
  <si>
    <t>7312970</t>
  </si>
  <si>
    <t>7321788 - Đường và cầu vào trường TH Bình Phú 1 huyện Cai lậy</t>
  </si>
  <si>
    <t>7321788</t>
  </si>
  <si>
    <t>7418169 - Đường kinh 6 Bằng Lăng(từ ông Hưng=&gt;UBND xã MT)</t>
  </si>
  <si>
    <t>7418169</t>
  </si>
  <si>
    <t>7430736 - Đường huyện 16C-huyện Gò Công Tây-GCT14.</t>
  </si>
  <si>
    <t>7430736</t>
  </si>
  <si>
    <t>7448454 - Đường Bình Phú - Phú An huyện Cai Lậy</t>
  </si>
  <si>
    <t>7448454</t>
  </si>
  <si>
    <t>7473467 - Sửa chữa Trụ sở làm việc của các phường thuộc Thị xã Cai Lậy</t>
  </si>
  <si>
    <t>7473467</t>
  </si>
  <si>
    <t>7473478 - Sửa chữa Trụ sở làm việc của các cơ quan huyện  Cai Lậy</t>
  </si>
  <si>
    <t>7473478</t>
  </si>
  <si>
    <t>7510227 - Đường vào KCN Tân Hương, huyện Châu Thành</t>
  </si>
  <si>
    <t>7510227</t>
  </si>
  <si>
    <t>7505731 - Trùng tu, tôn tạo di tích Đài c/s xã Long Vĩnh H. GCT.</t>
  </si>
  <si>
    <t>7505731</t>
  </si>
  <si>
    <t>7469442 - Trường Tiểu học Bình Nghị 2 - h. GCĐ (HM:KLH+TV, HC...</t>
  </si>
  <si>
    <t>7469442</t>
  </si>
  <si>
    <t>7442175 - Trường THCS Bình Ân huyện Gò Công Đông-GCĐ14</t>
  </si>
  <si>
    <t>7442175</t>
  </si>
  <si>
    <t>7500758 - Trường Tiểu học Bình Đức - TP.MT</t>
  </si>
  <si>
    <t>7500758</t>
  </si>
  <si>
    <t>7508894 - Trường THCS Hiệp Đức huyện Cai lậy</t>
  </si>
  <si>
    <t>7508894</t>
  </si>
  <si>
    <t>7403338 - Trung Tâm dạy nghề Huyện Tân Phước</t>
  </si>
  <si>
    <t>7403338</t>
  </si>
  <si>
    <t>7138933 - DA Khoa học cơ bản - Trường Đại học tiền giang</t>
  </si>
  <si>
    <t>7138933</t>
  </si>
  <si>
    <t>7549038 - Tiểu dự án giải phóng mặt bằng gđ 1 - Trường ĐH TG</t>
  </si>
  <si>
    <t>7549038</t>
  </si>
  <si>
    <t>7187030 - Bệnh viện Phụ Sản Tiền Giang</t>
  </si>
  <si>
    <t>7187030</t>
  </si>
  <si>
    <t>7512436 - Mở rộng Bệnh viện lao &amp; Bệnh phổi Tiền Giang</t>
  </si>
  <si>
    <t>7512436</t>
  </si>
  <si>
    <t>7524927 - (2016)Trùng tu đền thờ Võ Tánh</t>
  </si>
  <si>
    <t>7524927</t>
  </si>
  <si>
    <t>220100009 - Đuờng huyện 90C- TPMT</t>
  </si>
  <si>
    <t>220100009</t>
  </si>
  <si>
    <t>7461746 - Cầu Kênh Xáng Ngang Thị xã Cai Lậy</t>
  </si>
  <si>
    <t>7461746</t>
  </si>
  <si>
    <t>7514595 - Cải tạo nâng cấp đường Xẻo Mây ( Giai đoạn 2)</t>
  </si>
  <si>
    <t>7514595</t>
  </si>
  <si>
    <t>7506243 - Đường vào Cụm Công nghiệp An Thạnh</t>
  </si>
  <si>
    <t>7506243</t>
  </si>
  <si>
    <t>7506248 - Đường nội bộ Cụm Công nghiệp An Thạnh</t>
  </si>
  <si>
    <t>7506248</t>
  </si>
  <si>
    <t>7505721 - Trung Tâm Chữa bệnh-GD-LĐ-XH</t>
  </si>
  <si>
    <t>7505721</t>
  </si>
  <si>
    <t>59</t>
  </si>
  <si>
    <t>7506246 - Cải tạo s/c tường rào hiện hữu &amp; XD mới tường rào 3 phía còn lại CCN TMC</t>
  </si>
  <si>
    <t>7506246</t>
  </si>
  <si>
    <t>60</t>
  </si>
  <si>
    <t>7052705 - Trường THCS Long Trung</t>
  </si>
  <si>
    <t>7052705</t>
  </si>
  <si>
    <t>61</t>
  </si>
  <si>
    <t>Vốn NSTW hỗ trợ đầu tư các chương trình mục tiêu</t>
  </si>
  <si>
    <t>Chương trình phát triển KTXH các vùng</t>
  </si>
  <si>
    <t>Các dự án kết cấu hạ tầng KTXH quan trọng</t>
  </si>
  <si>
    <t>Hỗ trợ đầu tư các huyện mới chia tách</t>
  </si>
  <si>
    <t>7407546 - Trụ sở làm việc Huyện ủy, UBND huyện Tân Phú Đông-TPĐ13.</t>
  </si>
  <si>
    <t>7407546</t>
  </si>
  <si>
    <t>Chương trình mục tiêu phát triển kinh tế thủy sản bền vững</t>
  </si>
  <si>
    <t>7436532 - Khu neo đậu tránh trú bão cho tàu cá cửa sông Soài Rạp kết hợp bến cá Vàm Láng</t>
  </si>
  <si>
    <t>Chương trình mục tiêu tái cơ cấu KTNN và phòng chống GNTT, ổn định đời sống dân cư</t>
  </si>
  <si>
    <t>7164737 - Nâng cấp đê biển Gò Công</t>
  </si>
  <si>
    <t>7164737</t>
  </si>
  <si>
    <t>Chương trình mục tiêu phát triển hạ tầng du lịch</t>
  </si>
  <si>
    <t>7567258 - (2016) Đầu tư CSHT phát triển du lịch huyện Cái Bè</t>
  </si>
  <si>
    <t>7567258</t>
  </si>
  <si>
    <t>TW bổ sung năm 2016 kéo dài thời gian thanh toán sang năm 2017</t>
  </si>
  <si>
    <t>7407548 - Đường vào TT hành chính H TPĐ giai đoạn 1 (HT 2016)</t>
  </si>
  <si>
    <t>7407548</t>
  </si>
  <si>
    <t>7418260 - Cầu Kênh 14 (Trên ĐT 872)</t>
  </si>
  <si>
    <t>7418260</t>
  </si>
  <si>
    <t>Chương trình mục tiêu quốc gia giảm nghèo bền vững</t>
  </si>
  <si>
    <t>7564075 - (2016) Đường cặp sông Cửa Tiểu (Xã Tân Thới)</t>
  </si>
  <si>
    <t>7564075</t>
  </si>
  <si>
    <t>7569332 - (2016) Đường số 2 (ấp Đôi Ma, xã kiểng Phước)</t>
  </si>
  <si>
    <t>7569332</t>
  </si>
  <si>
    <t>7569337 - (2016) Đường Xóm Chài (xã Kiểng Phước)</t>
  </si>
  <si>
    <t>7569337</t>
  </si>
  <si>
    <t>7569339 - (2016) Đường số 14 (xã Gia Thuận)</t>
  </si>
  <si>
    <t>7569339</t>
  </si>
  <si>
    <t>7569341 - (2016) Đường số 8 (xã Gia Thuận)</t>
  </si>
  <si>
    <t>7569341</t>
  </si>
  <si>
    <t>7569343 - (2016) Đường Giồng bến xe (xã Phước Trung)</t>
  </si>
  <si>
    <t>7569343</t>
  </si>
  <si>
    <t>7569642 - 2016-Đường xóm Bảy Hổ Xã Bình Đông-TXGC</t>
  </si>
  <si>
    <t>7569642</t>
  </si>
  <si>
    <t>7569645 - 2016_Cầu Xóm Ông Sư,xã Bình xuân-TXGC</t>
  </si>
  <si>
    <t>7569645</t>
  </si>
  <si>
    <t>7569649 - 2016_Cầu xóm lá ấp 5, xã Bình Xuân -TXGC</t>
  </si>
  <si>
    <t>7569649</t>
  </si>
  <si>
    <t>7569651 - 2016-Đường xóm Chín Sầm ấp 5 ,xã Bình Xuân-TXGC</t>
  </si>
  <si>
    <t>7569651</t>
  </si>
  <si>
    <t>7564070 - (2016) Cống Bà Khúc (Xã Tân Thới)</t>
  </si>
  <si>
    <t>7564070</t>
  </si>
  <si>
    <t>7564082 - (2016) Trường Tiểu học  Phú Tân ( xã Phú Tân)</t>
  </si>
  <si>
    <t>7564082</t>
  </si>
  <si>
    <t>Chương trình mục tiêu quốc gia kéo dài</t>
  </si>
  <si>
    <t>7389036 - Giao thông NT xã Tân Thạnh (Đề án 625-2011)</t>
  </si>
  <si>
    <t>7389036</t>
  </si>
  <si>
    <t>7441129 - Đường cầu Xây - Xóm rẫy xã Kiểng Phước -2014</t>
  </si>
  <si>
    <t>7441129</t>
  </si>
  <si>
    <t>7441132 - Đường Thanh Nhung 3 (xã Phước Trung) - 2014</t>
  </si>
  <si>
    <t>7441132</t>
  </si>
  <si>
    <t>7441134 - Đường liên ấp 5-6 xã Gia Thuận - 2014</t>
  </si>
  <si>
    <t>7441134</t>
  </si>
  <si>
    <t>7486752 - Đường ấp 3 (xã Gia Thuận) -GCĐ 2015</t>
  </si>
  <si>
    <t>7486752</t>
  </si>
  <si>
    <t>7486753 - Đường vào trụ sở ấp Xóm Lưới, xã Kiểng Phước -GCĐ2015</t>
  </si>
  <si>
    <t>7486753</t>
  </si>
  <si>
    <t>7486756 - Đường liên ấp 4-5 cặp kênh Xóm Gồng, xã Gia Thuận-GCĐ 2015</t>
  </si>
  <si>
    <t>7486756</t>
  </si>
  <si>
    <t>7564066 - (2016) Đường vào Lũy Pháo Đài (xã Phú Tân).</t>
  </si>
  <si>
    <t>7564066</t>
  </si>
  <si>
    <t>7513214 - Giao thông NT xã Phú Thạnh (ĐA 615-2011)</t>
  </si>
  <si>
    <t>7513214</t>
  </si>
  <si>
    <t>7195676 - Đường Trung Tâm xã Tân Thạnh(đoạn qua ấp Tân Hòa)-TPĐ</t>
  </si>
  <si>
    <t>7195676</t>
  </si>
  <si>
    <t>7198389 - Đường vào bệnh viện đa khoa huyện Tân Phú Đông</t>
  </si>
  <si>
    <t>7198389</t>
  </si>
  <si>
    <t>7492183 - Đường đê Lạc Hòa xã Bình Đông TXGC</t>
  </si>
  <si>
    <t>7492183</t>
  </si>
  <si>
    <t>7492188 - Đường ngoài đê ấp 6, xã Bình Xuân TXGC</t>
  </si>
  <si>
    <t>7492188</t>
  </si>
  <si>
    <t>7492194 - Đường Ao Gừa ấp 6, xã Bình Xuân TXGC</t>
  </si>
  <si>
    <t>7492194</t>
  </si>
  <si>
    <t>7564079 - (2016) Đường Thạnh Xuân (Xã Tân Phú)</t>
  </si>
  <si>
    <t>7564079</t>
  </si>
  <si>
    <t>7456861 - Trạm y tế xã Phú Thạnh</t>
  </si>
  <si>
    <t>7456861</t>
  </si>
  <si>
    <t>Vốn nước ngoài (thanh toán theo cơ chế trong nước)</t>
  </si>
  <si>
    <t>F</t>
  </si>
  <si>
    <t>Tăng thu Xổ số kiến thiết</t>
  </si>
  <si>
    <t>7607549 - (2017)- Trường Tiểu học Tân Thành 1</t>
  </si>
  <si>
    <t>7607549</t>
  </si>
  <si>
    <t>7619430 - 2017/TrườngTHCS Tân Lập 1</t>
  </si>
  <si>
    <t>7619430</t>
  </si>
  <si>
    <t>7207223 - Bến phà Tân Long - huyện Tân Phú Đông</t>
  </si>
  <si>
    <t>7207223</t>
  </si>
  <si>
    <t>7521600 - Đường huyện 24 A (Hòa Định - Xuân Đông)</t>
  </si>
  <si>
    <t>7521600</t>
  </si>
  <si>
    <t>Kết dư, tăng thu XSKT năm 2016 chuyển sang</t>
  </si>
  <si>
    <t>7607556 - Cải tạo nâng cấp BVĐKTT TG</t>
  </si>
  <si>
    <t>7607556</t>
  </si>
  <si>
    <t>7449175 - Đường và HTTN phía Đông đường Hùng Vương</t>
  </si>
  <si>
    <t>7449175</t>
  </si>
  <si>
    <t>220040172 - Đường vào nhà thi đấu TT đa môn.</t>
  </si>
  <si>
    <t>220040172</t>
  </si>
  <si>
    <t>7034858 - Đường huyện 35(đoạn ĐT 874 B - ĐT868)</t>
  </si>
  <si>
    <t>7034858</t>
  </si>
  <si>
    <t>7034908 - Đường huyện 35(đoạn bến đò Long Hưng - ĐT876)</t>
  </si>
  <si>
    <t>7034908</t>
  </si>
  <si>
    <t>7034957 - Nâng cấp đường tỉnh 865 (đoạn từ ranh tỉnh LA-ĐT 868)</t>
  </si>
  <si>
    <t>7034957</t>
  </si>
  <si>
    <t>7035245 - N/cấp &amp; MR đường Âp Bắc - TPMT (QL60-cầu Đ.Ngạn)</t>
  </si>
  <si>
    <t>7035245</t>
  </si>
  <si>
    <t>7035970 - Đường Rạch Gầm - TP Mỹ Tho</t>
  </si>
  <si>
    <t>7035970</t>
  </si>
  <si>
    <t>7036011 - Đường vào khu công nghiệp Long Giang(GĐ1)</t>
  </si>
  <si>
    <t>7036011</t>
  </si>
  <si>
    <t>7036079 - Đường tỉnh 879B</t>
  </si>
  <si>
    <t>7036079</t>
  </si>
  <si>
    <t>7036809 - Đường Tỉnh 861(Đoạn từ Km 0+000 đến KM4+775)</t>
  </si>
  <si>
    <t>7036809</t>
  </si>
  <si>
    <t>7036851 - NCấp và mở rộng đường Phú Nhuận - Mỹ Thành Bắc</t>
  </si>
  <si>
    <t>7036851</t>
  </si>
  <si>
    <t>7052612 - Đường lộ tập đoàn P5 TP Mỹ Tho</t>
  </si>
  <si>
    <t>7052612</t>
  </si>
  <si>
    <t>7060559 - Nâng cấp đường vào các bến phà đi H. Tân Phú Đông</t>
  </si>
  <si>
    <t>7060559</t>
  </si>
  <si>
    <t>7064827 - Cải  tạo nạo vét  Rạch bạch Nha  TP Mỹ tho</t>
  </si>
  <si>
    <t>7064827</t>
  </si>
  <si>
    <t>7096343 - Đường từ ĐT 879B- Cầu Lộ Đình</t>
  </si>
  <si>
    <t>7096343</t>
  </si>
  <si>
    <t>7161415 - Đường tỉnh 864 (Mố cầu Đồng Tâm - ĐT 868)</t>
  </si>
  <si>
    <t>7161415</t>
  </si>
  <si>
    <t>7190791 - Đường nam kỳ khởi nghĩa TP MT</t>
  </si>
  <si>
    <t>7190791</t>
  </si>
  <si>
    <t>7301720 - Đường tỉnh 874 (giai đoạn 1) ;TĐộ DA :19/4/12-19/4/14</t>
  </si>
  <si>
    <t>7301720</t>
  </si>
  <si>
    <t>7301728 - Đường vào cầu Thiên Hộ mới</t>
  </si>
  <si>
    <t>7301728</t>
  </si>
  <si>
    <t>7546784 - HTchiếu sáng CC tuyến tránh QL 50 qua TP Mỹ Tho</t>
  </si>
  <si>
    <t>7546784</t>
  </si>
  <si>
    <t>7548274 - Hệ thống chiếu sáng trên ĐT 866B</t>
  </si>
  <si>
    <t>7548274</t>
  </si>
  <si>
    <t>7383805 - Đường Trần Hưng Đạo (đoạn L.T.K-L.T.H.G)</t>
  </si>
  <si>
    <t>7383805</t>
  </si>
  <si>
    <t>7449832 - HTthoát nước ĐT 877(HT2014-2015)</t>
  </si>
  <si>
    <t>7449832</t>
  </si>
  <si>
    <t>7492649 - Trung Tu ĐT 871 (Km9+700-Km11+011)</t>
  </si>
  <si>
    <t>7492649</t>
  </si>
  <si>
    <t>7057339 - Lắp đặt cống &amp; nạo vét rạch qua lộ xã Đạo Thạnh</t>
  </si>
  <si>
    <t>7057339</t>
  </si>
  <si>
    <t>7057347 - HTTN ấp Mỹ Thạnh xã Mỹ Phong (GĐ2)</t>
  </si>
  <si>
    <t>7057347</t>
  </si>
  <si>
    <t>7057352 - Hệ thống thoát nước phi 1.000 qua xã lộ Đạo Thạnh</t>
  </si>
  <si>
    <t>7057352</t>
  </si>
  <si>
    <t>TW bổ sung có mục tiêu hoàn trả địa phương</t>
  </si>
  <si>
    <t>Nguồn dự phòng NSTW năm 2016 phân bổ cho địa phương năm 2017</t>
  </si>
  <si>
    <t>7142594 - DA bờ kè phía Tây sông Ba Rài</t>
  </si>
  <si>
    <t>7142594</t>
  </si>
  <si>
    <t>7666606 - Phòng chống xói lở, ổn định bờ Sông Tiền KV Cù Lao Tân Long</t>
  </si>
  <si>
    <t>7666606</t>
  </si>
  <si>
    <t>J</t>
  </si>
  <si>
    <t>Nguồn vốn ODA</t>
  </si>
  <si>
    <t>K</t>
  </si>
  <si>
    <t xml:space="preserve">Vốn trái phiếu Chính phủ </t>
  </si>
  <si>
    <t>7036904 - Đường tỉnh 865</t>
  </si>
  <si>
    <t>7036904</t>
  </si>
  <si>
    <t>Thủy lợi</t>
  </si>
  <si>
    <t>7041815 - Dự án 5 kênh Bắc Quốc Lộ I</t>
  </si>
  <si>
    <t>7041815</t>
  </si>
  <si>
    <t>L</t>
  </si>
  <si>
    <t xml:space="preserve">Tăng thu sử dụng đất kéo dài </t>
  </si>
  <si>
    <t>73</t>
  </si>
  <si>
    <t>177</t>
  </si>
  <si>
    <t>278</t>
  </si>
  <si>
    <t>283</t>
  </si>
  <si>
    <r>
      <t xml:space="preserve">Các dự án </t>
    </r>
    <r>
      <rPr>
        <b/>
        <sz val="9"/>
        <color indexed="10"/>
        <rFont val="Times New Roman"/>
        <family val="1"/>
        <charset val="163"/>
      </rPr>
      <t>không ghi</t>
    </r>
    <r>
      <rPr>
        <b/>
        <sz val="9"/>
        <rFont val="Times New Roman"/>
        <family val="1"/>
      </rPr>
      <t xml:space="preserve"> kế hoạch năm</t>
    </r>
    <r>
      <rPr>
        <b/>
        <sz val="9"/>
        <color indexed="10"/>
        <rFont val="Times New Roman"/>
        <family val="1"/>
        <charset val="163"/>
      </rPr>
      <t xml:space="preserve"> 2017 còn dư vốn tạm ứng chưa thu hồi</t>
    </r>
    <r>
      <rPr>
        <b/>
        <sz val="9"/>
        <rFont val="Times New Roman"/>
        <family val="1"/>
      </rPr>
      <t xml:space="preserve"> từ những năm trước chuyển sang năm 2017:</t>
    </r>
  </si>
  <si>
    <t>Vốn đầu tư trong cân đối NSĐP (bao gồm cả vốn đầu tư từ nguồn thu tiền sử dụng đất, xổ số kiến thiết)</t>
  </si>
  <si>
    <t>220130003 - Cơ Sở LV Công An TX GCông</t>
  </si>
  <si>
    <t>220130003</t>
  </si>
  <si>
    <t>7373709 - Trường mầm non Kim Sơn</t>
  </si>
  <si>
    <t>7373709</t>
  </si>
  <si>
    <t>7432786 - Trường THCS Long Bình huyện Gò Công Tây-GCT14</t>
  </si>
  <si>
    <t>7432786</t>
  </si>
  <si>
    <t>7507182 - Trường Tiểu học Hữu Đạo (Khối HC và các HM phụ)</t>
  </si>
  <si>
    <t>7507182</t>
  </si>
  <si>
    <t>7492295 - Sửa chữa nâng cấp Bệnh viện ĐKTT Tiền Giang</t>
  </si>
  <si>
    <t>7492295</t>
  </si>
  <si>
    <t>7499646 - Cải tạo mở rộng Trung tâm y tế huyện Gò Công Đông</t>
  </si>
  <si>
    <t>7499646</t>
  </si>
  <si>
    <t>7564093 - (2016) Sửa chữa Trung tâm Thể dục Thể thao tỉnh TG</t>
  </si>
  <si>
    <t>7564093</t>
  </si>
  <si>
    <t>7564097 - (2016) Trường Năng khiếu thể dục thể thao tỉnh TG (GĐ 2)</t>
  </si>
  <si>
    <t>7564097</t>
  </si>
  <si>
    <t>7470422 - Bờ kè chợ Gò Công Đông (HM: Bờ kè + sân đường)</t>
  </si>
  <si>
    <t>7470422</t>
  </si>
  <si>
    <t>7491329 - Đường Tây kênh 7 ( đoạn từ cầu đập ông Tải =&gt; cầu Rạch giá)</t>
  </si>
  <si>
    <t>7491329</t>
  </si>
  <si>
    <t>BCH QS huyện tân Phú Đông</t>
  </si>
  <si>
    <t>XDMR &amp; NCNL HTCN khu vực Gò Công</t>
  </si>
  <si>
    <t>Nâng cao NL, TTKT &amp; CN tỉnh TG</t>
  </si>
  <si>
    <t>Đường dây thép</t>
  </si>
  <si>
    <t>TTHN, dạy nghề &amp; GTVL TN tỉnh TG</t>
  </si>
  <si>
    <t>ĐT 861</t>
  </si>
  <si>
    <t>Trường THPT TT Chợ gạo gđ 2</t>
  </si>
  <si>
    <t>Đường Tân Hiệp - Thân Đức</t>
  </si>
  <si>
    <t>Trùng tu đền thờ Võ tánh</t>
  </si>
  <si>
    <t>7196967 - Đường huyện 70 huyện Cai Lậy</t>
  </si>
  <si>
    <t>7196967</t>
  </si>
  <si>
    <t>7496584 - NC, SC Hội trường UBND TXGC</t>
  </si>
  <si>
    <t>7496584</t>
  </si>
  <si>
    <t>Chương trình mục tiêu quốc gia giảm nghèo bền vững giai đoạn 2016-2020</t>
  </si>
  <si>
    <t>7422730 - Giao thông NT xã Tân Thạnh (Đề án 615-2013)</t>
  </si>
  <si>
    <t>7422730</t>
  </si>
  <si>
    <t>Vốn đầu tư theo CTMT (III.1+III.2)</t>
  </si>
  <si>
    <t>III.1</t>
  </si>
  <si>
    <t>7335129 - Khu đón tiếp đường bộ cù lao Thới Sơn-TPMT(2011)</t>
  </si>
  <si>
    <t>7335129</t>
  </si>
  <si>
    <t>Bến phà Tân Long huyện tân Phú Đông</t>
  </si>
  <si>
    <t>III.2</t>
  </si>
  <si>
    <t>Vốn ngoài nước theo cơ chế trong nước</t>
  </si>
  <si>
    <t>000 - Vốn Trái phiếu Chính Phủ</t>
  </si>
  <si>
    <t>BVĐK KV Cai Lậy</t>
  </si>
  <si>
    <t>BVĐK KV tân Phước</t>
  </si>
  <si>
    <t>BVĐK KV Chợ Gạo</t>
  </si>
  <si>
    <t>BVĐK KV Gò công đông</t>
  </si>
  <si>
    <t>7118104 - Đường và kè sông Tiền khu vực Tp Mỹ Tho</t>
  </si>
  <si>
    <t>7118104</t>
  </si>
  <si>
    <t>Vốn bổ sung ngoài kế hoạch</t>
  </si>
  <si>
    <t>NC MR ĐT 877</t>
  </si>
  <si>
    <t>Đường vào cụm công nghiệp AN Thạnh</t>
  </si>
  <si>
    <t>Chống ngập Bảo Định 2012 kéo dài</t>
  </si>
  <si>
    <t>NC đô thị vùng đồng bằng sông Cửu Long-Tiểu DATPMT</t>
  </si>
  <si>
    <t>TACH VON UNG TRUOC+2003 VE TRUOC KHONG THEO DOI</t>
  </si>
  <si>
    <t/>
  </si>
  <si>
    <t>BVĐK Tiền Giang (2002)</t>
  </si>
  <si>
    <t>Tuyến dân cư Láng Cat (2003)</t>
  </si>
  <si>
    <t xml:space="preserve">Nội dung </t>
  </si>
  <si>
    <r>
      <t>Ghi chú: </t>
    </r>
    <r>
      <rPr>
        <i/>
        <sz val="12"/>
        <color rgb="FF000000"/>
        <rFont val="Times New Roman"/>
        <family val="1"/>
      </rPr>
      <t>(1) Theo quy định tại Điều 7, Điều 11 và Điều 39 Luật NSNN, ngân sách huyện, xã không có nhiệm vụ chi nghiên cứu khoa học và công nghệ, chi trả lãi vay, chi bổ sung quỹ dự trữ tài chính.</t>
    </r>
  </si>
  <si>
    <t xml:space="preserve">Nội dung </t>
  </si>
  <si>
    <t>Chi đầu tư phát triển 
(Không kể chương trình MTQG)</t>
  </si>
  <si>
    <t>Chi thường xuyên 
(Không kể chương trình MTQG)</t>
  </si>
  <si>
    <t xml:space="preserve">Chi trả nợ lãi do chính quyền địa phương vay </t>
  </si>
  <si>
    <t xml:space="preserve">Chi bổ sung quỹ dự trữ tài chính </t>
  </si>
  <si>
    <t xml:space="preserve">Dự toán </t>
  </si>
  <si>
    <t>Chi bổ sung quỹ dự trữ tài chính</t>
  </si>
  <si>
    <t xml:space="preserve">Tên đơn vị </t>
  </si>
  <si>
    <t>27=6/2</t>
  </si>
  <si>
    <t>28=7/3</t>
  </si>
  <si>
    <t>25=5/1</t>
  </si>
  <si>
    <t>ỦY BAN NHÂN DÂN TỈNH TIỀN GIANG</t>
  </si>
  <si>
    <t>Biểu số 62/CK-NSNN</t>
  </si>
  <si>
    <t>Biểu số 63/CK-NSNN</t>
  </si>
  <si>
    <t>Biểu số 64/CK-NSNN</t>
  </si>
  <si>
    <t>Biểu số 65/CK-NSNN</t>
  </si>
  <si>
    <t>Biểu số 68/CK-NSNN</t>
  </si>
  <si>
    <t>Biểu số 67/CK-NSNN</t>
  </si>
  <si>
    <t>Biểu số 66/CK-NSNN</t>
  </si>
  <si>
    <t>Tương đối (%)</t>
  </si>
  <si>
    <t>BỘI THU NSĐP</t>
  </si>
  <si>
    <t>(Kèm theo Quyết định số ………../QĐ-UBND ngày    /01/2020 của Ủy ban nhân dân tỉnh Tiền Giang)</t>
  </si>
  <si>
    <t>Dự toán năm 2018</t>
  </si>
  <si>
    <t>QUYẾT TOÁN CÂN ĐỐI NGÂN SÁCH ĐỊA PHƯƠNG NĂM 2018</t>
  </si>
  <si>
    <t>QUYẾT TOÁN THU NGÂN SÁCH NHÀ NƯỚC NĂM 2018</t>
  </si>
  <si>
    <t>QUYẾT TOÁN CHI NGÂN SÁCH ĐỊA PHƯƠNG, CHI NGÂN SÁCH CẤP TỈNH VÀ CHI NGÂN SÁCH HUYỆN THEO CƠ CẤU CHI NĂM 2018</t>
  </si>
  <si>
    <t>QUYẾT TOÁN CHI NGÂN SÁCH CẤP TỈNH THEO LĨNH VỰC NĂM 2018</t>
  </si>
  <si>
    <t>CHI BỔ SUNG CÂN ĐỐI CHO NGÂN SÁCH CẤP DƯỚI (1)</t>
  </si>
  <si>
    <t>QUYẾT TOÁN CHI NGÂN SÁCH CẤP TỈNH CHO TỪNG CƠ QUAN, TỔ CHỨC THEO LĨNH VỰC NĂM 2018</t>
  </si>
  <si>
    <t>Sở Kế hoạch và Đầu tư</t>
  </si>
  <si>
    <t>Sở Văn hóa- Thể thao và Du lịch</t>
  </si>
  <si>
    <t>Cục Thi hành án dân sự tỉnh</t>
  </si>
  <si>
    <t>Chi khác</t>
  </si>
  <si>
    <t>Ban Quản lý dự án đầu tư xây dựng công trình dân dụng và công nghiệp tỉnh Tiền Giang.</t>
  </si>
  <si>
    <t>QUYẾT TOÁN CHI BỔ SUNG TỪ NGÂN SÁCH CẤP TỈNH CHO NGÂN SÁCH TỪNG HUYỆN NĂM 2018</t>
  </si>
  <si>
    <t>QUYẾT TOÁN CHI CHƯƠNG TRÌNH MỤC TIÊU QUỐC GIA NĂM 2018</t>
  </si>
</sst>
</file>

<file path=xl/styles.xml><?xml version="1.0" encoding="utf-8"?>
<styleSheet xmlns="http://schemas.openxmlformats.org/spreadsheetml/2006/main">
  <numFmts count="2">
    <numFmt numFmtId="43" formatCode="_(* #,##0.00_);_(* \(#,##0.00\);_(* &quot;-&quot;??_);_(@_)"/>
    <numFmt numFmtId="164" formatCode="_(* #,##0_);_(* \(#,##0\);_(* &quot;-&quot;??_);_(@_)"/>
  </numFmts>
  <fonts count="71">
    <font>
      <sz val="11"/>
      <color theme="1"/>
      <name val="Calibri"/>
      <family val="2"/>
      <scheme val="minor"/>
    </font>
    <font>
      <b/>
      <sz val="12"/>
      <color rgb="FF000000"/>
      <name val="Times New Roman"/>
      <family val="1"/>
    </font>
    <font>
      <sz val="12"/>
      <color theme="1"/>
      <name val="Times New Roman"/>
      <family val="1"/>
    </font>
    <font>
      <i/>
      <sz val="12"/>
      <color rgb="FF000000"/>
      <name val="Times New Roman"/>
      <family val="1"/>
    </font>
    <font>
      <b/>
      <sz val="12"/>
      <color theme="1"/>
      <name val="Times New Roman"/>
      <family val="1"/>
    </font>
    <font>
      <b/>
      <i/>
      <sz val="12"/>
      <color rgb="FF000000"/>
      <name val="Times New Roman"/>
      <family val="1"/>
    </font>
    <font>
      <sz val="12"/>
      <color rgb="FF000000"/>
      <name val="Times New Roman"/>
      <family val="1"/>
    </font>
    <font>
      <b/>
      <sz val="14"/>
      <color rgb="FF000000"/>
      <name val="Times New Roman"/>
      <family val="1"/>
    </font>
    <font>
      <sz val="14"/>
      <color theme="1"/>
      <name val="Times New Roman"/>
      <family val="1"/>
    </font>
    <font>
      <i/>
      <sz val="14"/>
      <color rgb="FF000000"/>
      <name val="Times New Roman"/>
      <family val="1"/>
    </font>
    <font>
      <b/>
      <sz val="14"/>
      <color theme="1"/>
      <name val="Times New Roman"/>
      <family val="1"/>
    </font>
    <font>
      <b/>
      <i/>
      <sz val="14"/>
      <color rgb="FF000000"/>
      <name val="Times New Roman"/>
      <family val="1"/>
    </font>
    <font>
      <sz val="14"/>
      <color rgb="FF000000"/>
      <name val="Times New Roman"/>
      <family val="1"/>
    </font>
    <font>
      <i/>
      <sz val="10"/>
      <color theme="1"/>
      <name val="Times New Roman"/>
      <family val="1"/>
    </font>
    <font>
      <i/>
      <sz val="12"/>
      <color theme="1"/>
      <name val="Times New Roman"/>
      <family val="1"/>
    </font>
    <font>
      <b/>
      <sz val="12"/>
      <name val="Times New Roman"/>
      <family val="1"/>
    </font>
    <font>
      <i/>
      <sz val="12"/>
      <name val="Times New Roman"/>
      <family val="1"/>
    </font>
    <font>
      <sz val="12"/>
      <name val="Times New Roman"/>
      <family val="1"/>
    </font>
    <font>
      <b/>
      <i/>
      <sz val="12"/>
      <name val="Times New Roman"/>
      <family val="1"/>
    </font>
    <font>
      <sz val="11"/>
      <name val="Times New Roman"/>
      <family val="1"/>
    </font>
    <font>
      <sz val="12"/>
      <color rgb="FFFF0000"/>
      <name val="Times New Roman"/>
      <family val="1"/>
    </font>
    <font>
      <sz val="10"/>
      <name val="Arial"/>
      <family val="2"/>
    </font>
    <font>
      <sz val="12"/>
      <name val=".VnTime"/>
      <family val="2"/>
    </font>
    <font>
      <sz val="10"/>
      <name val="Times New Roman"/>
      <family val="1"/>
    </font>
    <font>
      <sz val="10"/>
      <color rgb="FFFF0000"/>
      <name val="Times New Roman"/>
      <family val="1"/>
    </font>
    <font>
      <sz val="10"/>
      <name val="Times New Roman"/>
      <family val="1"/>
      <charset val="163"/>
    </font>
    <font>
      <b/>
      <sz val="11"/>
      <name val="Times New Roman"/>
      <family val="1"/>
    </font>
    <font>
      <b/>
      <sz val="9"/>
      <name val="Times New Roman"/>
      <family val="1"/>
    </font>
    <font>
      <sz val="9"/>
      <color theme="1"/>
      <name val="Times New Roman"/>
      <family val="1"/>
    </font>
    <font>
      <i/>
      <sz val="9"/>
      <name val="Times New Roman"/>
      <family val="1"/>
    </font>
    <font>
      <sz val="9"/>
      <name val="Times New Roman"/>
      <family val="1"/>
    </font>
    <font>
      <b/>
      <sz val="8"/>
      <name val="Times New Roman"/>
      <family val="1"/>
    </font>
    <font>
      <sz val="10"/>
      <name val="Arial"/>
      <family val="2"/>
      <charset val="163"/>
    </font>
    <font>
      <sz val="8"/>
      <color theme="1"/>
      <name val="Calibri"/>
      <family val="2"/>
      <scheme val="minor"/>
    </font>
    <font>
      <sz val="11"/>
      <color indexed="8"/>
      <name val="Calibri"/>
      <family val="2"/>
    </font>
    <font>
      <sz val="8"/>
      <name val="Times New Roman"/>
      <family val="1"/>
    </font>
    <font>
      <b/>
      <sz val="8"/>
      <color rgb="FFFF0000"/>
      <name val="Times New Roman"/>
      <family val="1"/>
      <charset val="163"/>
    </font>
    <font>
      <b/>
      <sz val="7"/>
      <name val="Times New Roman"/>
      <family val="1"/>
    </font>
    <font>
      <sz val="7"/>
      <color theme="1"/>
      <name val="Calibri"/>
      <family val="2"/>
      <scheme val="minor"/>
    </font>
    <font>
      <b/>
      <sz val="9"/>
      <color rgb="FF9E1276"/>
      <name val="Times New Roman"/>
      <family val="1"/>
    </font>
    <font>
      <b/>
      <sz val="11"/>
      <color rgb="FF9E1276"/>
      <name val="Calibri"/>
      <family val="2"/>
      <scheme val="minor"/>
    </font>
    <font>
      <sz val="11"/>
      <name val="Calibri"/>
      <family val="2"/>
      <scheme val="minor"/>
    </font>
    <font>
      <sz val="14"/>
      <name val=".VnTime"/>
      <family val="2"/>
    </font>
    <font>
      <b/>
      <sz val="11"/>
      <name val="Calibri"/>
      <family val="2"/>
      <scheme val="minor"/>
    </font>
    <font>
      <sz val="9"/>
      <color rgb="FFFF0000"/>
      <name val="Times New Roman"/>
      <family val="1"/>
    </font>
    <font>
      <b/>
      <sz val="9"/>
      <color rgb="FF7030A0"/>
      <name val="Times New Roman"/>
      <family val="1"/>
    </font>
    <font>
      <b/>
      <sz val="9"/>
      <color rgb="FF7030A0"/>
      <name val="Times New Roman"/>
      <family val="1"/>
      <charset val="163"/>
    </font>
    <font>
      <b/>
      <sz val="11"/>
      <color rgb="FF7030A0"/>
      <name val="Calibri"/>
      <family val="2"/>
      <scheme val="minor"/>
    </font>
    <font>
      <b/>
      <sz val="9"/>
      <color rgb="FFC00000"/>
      <name val="Times New Roman"/>
      <family val="1"/>
    </font>
    <font>
      <b/>
      <sz val="11"/>
      <color rgb="FFC00000"/>
      <name val="Calibri"/>
      <family val="2"/>
      <scheme val="minor"/>
    </font>
    <font>
      <sz val="9"/>
      <color rgb="FF7030A0"/>
      <name val="Times New Roman"/>
      <family val="1"/>
    </font>
    <font>
      <sz val="11"/>
      <color rgb="FF7030A0"/>
      <name val="Calibri"/>
      <family val="2"/>
      <scheme val="minor"/>
    </font>
    <font>
      <sz val="9"/>
      <color rgb="FF0070C0"/>
      <name val="Times New Roman"/>
      <family val="1"/>
    </font>
    <font>
      <sz val="9"/>
      <color rgb="FFFF0000"/>
      <name val="Times New Roman"/>
      <family val="1"/>
      <charset val="163"/>
    </font>
    <font>
      <sz val="9"/>
      <name val="Times New Roman"/>
      <family val="1"/>
      <charset val="163"/>
    </font>
    <font>
      <sz val="9"/>
      <color theme="9" tint="-0.249977111117893"/>
      <name val="Times New Roman"/>
      <family val="1"/>
    </font>
    <font>
      <sz val="9"/>
      <color theme="9"/>
      <name val="Times New Roman"/>
      <family val="1"/>
    </font>
    <font>
      <sz val="11"/>
      <color rgb="FFC00000"/>
      <name val="Calibri"/>
      <family val="2"/>
      <scheme val="minor"/>
    </font>
    <font>
      <b/>
      <sz val="9"/>
      <color rgb="FFC00000"/>
      <name val="Times New Roman"/>
      <family val="1"/>
      <charset val="163"/>
    </font>
    <font>
      <b/>
      <sz val="9"/>
      <color rgb="FF00B050"/>
      <name val="Times New Roman"/>
      <family val="1"/>
    </font>
    <font>
      <sz val="11"/>
      <color rgb="FF00B050"/>
      <name val="Calibri"/>
      <family val="2"/>
      <scheme val="minor"/>
    </font>
    <font>
      <b/>
      <sz val="9"/>
      <color indexed="10"/>
      <name val="Times New Roman"/>
      <family val="1"/>
      <charset val="163"/>
    </font>
    <font>
      <b/>
      <sz val="11"/>
      <color rgb="FF00B050"/>
      <name val="Calibri"/>
      <family val="2"/>
      <scheme val="minor"/>
    </font>
    <font>
      <b/>
      <sz val="9"/>
      <color rgb="FFFF0000"/>
      <name val="Times New Roman"/>
      <family val="1"/>
    </font>
    <font>
      <b/>
      <i/>
      <sz val="9"/>
      <color rgb="FFFF0000"/>
      <name val="Times New Roman"/>
      <family val="1"/>
    </font>
    <font>
      <b/>
      <sz val="11"/>
      <color rgb="FFFF0000"/>
      <name val="Calibri"/>
      <family val="2"/>
      <scheme val="minor"/>
    </font>
    <font>
      <b/>
      <sz val="9"/>
      <name val="Times New Roman"/>
      <family val="1"/>
      <charset val="163"/>
    </font>
    <font>
      <b/>
      <sz val="8"/>
      <color indexed="81"/>
      <name val="Tahoma"/>
      <family val="2"/>
    </font>
    <font>
      <sz val="8"/>
      <color indexed="81"/>
      <name val="Tahoma"/>
      <family val="2"/>
    </font>
    <font>
      <i/>
      <sz val="10"/>
      <name val="Times New Roman"/>
      <family val="1"/>
    </font>
    <font>
      <i/>
      <sz val="10"/>
      <color rgb="FF000000"/>
      <name val="Times New Roman"/>
      <family val="1"/>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FFFF"/>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36">
    <border>
      <left/>
      <right/>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thin">
        <color rgb="FF000000"/>
      </top>
      <bottom style="thin">
        <color indexed="64"/>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rgb="FF000000"/>
      </right>
      <top style="hair">
        <color auto="1"/>
      </top>
      <bottom style="hair">
        <color auto="1"/>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indexed="64"/>
      </left>
      <right style="thin">
        <color indexed="64"/>
      </right>
      <top/>
      <bottom style="hair">
        <color indexed="64"/>
      </bottom>
      <diagonal/>
    </border>
    <border>
      <left/>
      <right/>
      <top style="thin">
        <color rgb="FF000000"/>
      </top>
      <bottom style="thin">
        <color rgb="FF000000"/>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thin">
        <color rgb="FF000000"/>
      </bottom>
      <diagonal/>
    </border>
    <border>
      <left style="thin">
        <color rgb="FF000000"/>
      </left>
      <right style="thin">
        <color rgb="FF000000"/>
      </right>
      <top/>
      <bottom style="dotted">
        <color rgb="FF000000"/>
      </bottom>
      <diagonal/>
    </border>
    <border>
      <left style="thin">
        <color auto="1"/>
      </left>
      <right style="thin">
        <color rgb="FF000000"/>
      </right>
      <top style="hair">
        <color auto="1"/>
      </top>
      <bottom style="thin">
        <color rgb="FF000000"/>
      </bottom>
      <diagonal/>
    </border>
    <border>
      <left style="thin">
        <color rgb="FF000000"/>
      </left>
      <right style="thin">
        <color rgb="FF000000"/>
      </right>
      <top style="hair">
        <color rgb="FF000000"/>
      </top>
      <bottom style="thin">
        <color indexed="64"/>
      </bottom>
      <diagonal/>
    </border>
    <border>
      <left style="thin">
        <color auto="1"/>
      </left>
      <right style="thin">
        <color rgb="FF000000"/>
      </right>
      <top style="hair">
        <color rgb="FF000000"/>
      </top>
      <bottom style="thin">
        <color indexed="64"/>
      </bottom>
      <diagonal/>
    </border>
    <border>
      <left style="thin">
        <color rgb="FF000000"/>
      </left>
      <right style="thin">
        <color auto="1"/>
      </right>
      <top style="hair">
        <color rgb="FF000000"/>
      </top>
      <bottom style="thin">
        <color rgb="FF000000"/>
      </bottom>
      <diagonal/>
    </border>
  </borders>
  <cellStyleXfs count="9">
    <xf numFmtId="0" fontId="0" fillId="0" borderId="0"/>
    <xf numFmtId="0" fontId="21" fillId="0" borderId="0"/>
    <xf numFmtId="0" fontId="22" fillId="0" borderId="0"/>
    <xf numFmtId="0" fontId="21" fillId="0" borderId="0"/>
    <xf numFmtId="0" fontId="32" fillId="0" borderId="0"/>
    <xf numFmtId="0" fontId="34" fillId="0" borderId="0"/>
    <xf numFmtId="43" fontId="34" fillId="0" borderId="0" applyFont="0" applyFill="0" applyBorder="0" applyAlignment="0" applyProtection="0"/>
    <xf numFmtId="0" fontId="21" fillId="0" borderId="0"/>
    <xf numFmtId="0" fontId="42" fillId="0" borderId="0"/>
  </cellStyleXfs>
  <cellXfs count="413">
    <xf numFmtId="0" fontId="0" fillId="0" borderId="0" xfId="0"/>
    <xf numFmtId="0" fontId="1" fillId="0" borderId="0" xfId="0" applyFont="1" applyAlignment="1">
      <alignment horizontal="right" wrapText="1"/>
    </xf>
    <xf numFmtId="0" fontId="2" fillId="0" borderId="0" xfId="0" applyFont="1"/>
    <xf numFmtId="0" fontId="3" fillId="0" borderId="0" xfId="0" applyFont="1" applyAlignment="1">
      <alignment horizontal="right" wrapText="1"/>
    </xf>
    <xf numFmtId="0" fontId="6" fillId="0" borderId="0" xfId="0" applyFont="1" applyAlignment="1">
      <alignment horizontal="left" wrapText="1"/>
    </xf>
    <xf numFmtId="0" fontId="1" fillId="0" borderId="0" xfId="0" applyFont="1" applyAlignment="1">
      <alignment horizontal="right" vertical="center" wrapText="1"/>
    </xf>
    <xf numFmtId="0" fontId="2" fillId="0" borderId="0" xfId="0" applyFont="1" applyAlignment="1">
      <alignment vertical="center"/>
    </xf>
    <xf numFmtId="0" fontId="3" fillId="0" borderId="0" xfId="0" applyFont="1" applyAlignment="1">
      <alignment horizontal="right" vertical="center" wrapText="1"/>
    </xf>
    <xf numFmtId="0" fontId="6" fillId="0" borderId="0" xfId="0" applyFont="1" applyAlignment="1">
      <alignment horizontal="left" vertical="center" wrapText="1"/>
    </xf>
    <xf numFmtId="0" fontId="4" fillId="0" borderId="4" xfId="0" applyFont="1" applyBorder="1" applyAlignment="1">
      <alignment horizontal="center" vertical="center" wrapText="1"/>
    </xf>
    <xf numFmtId="0" fontId="4" fillId="0" borderId="4" xfId="0" applyFont="1" applyBorder="1" applyAlignment="1">
      <alignment vertical="center" wrapText="1"/>
    </xf>
    <xf numFmtId="0" fontId="2" fillId="0" borderId="4" xfId="0" applyFont="1" applyBorder="1" applyAlignment="1">
      <alignment horizontal="center" vertical="center" wrapText="1"/>
    </xf>
    <xf numFmtId="0" fontId="2" fillId="0" borderId="4" xfId="0" applyFont="1" applyBorder="1" applyAlignment="1">
      <alignment vertical="center" wrapText="1"/>
    </xf>
    <xf numFmtId="0" fontId="4" fillId="0" borderId="5" xfId="0" applyFont="1" applyBorder="1" applyAlignment="1">
      <alignment horizontal="center" vertical="center" wrapText="1"/>
    </xf>
    <xf numFmtId="0" fontId="4" fillId="0" borderId="5" xfId="0" applyFont="1" applyBorder="1" applyAlignment="1">
      <alignment vertical="center" wrapText="1"/>
    </xf>
    <xf numFmtId="0" fontId="2" fillId="0" borderId="5" xfId="0" applyFont="1" applyBorder="1" applyAlignment="1">
      <alignment horizontal="center" vertical="center" wrapText="1"/>
    </xf>
    <xf numFmtId="0" fontId="2" fillId="0" borderId="5" xfId="0" applyFont="1" applyBorder="1" applyAlignment="1">
      <alignment vertical="center" wrapText="1"/>
    </xf>
    <xf numFmtId="0" fontId="7" fillId="0" borderId="0" xfId="0" applyFont="1" applyAlignment="1">
      <alignment horizontal="right" vertical="center" wrapText="1"/>
    </xf>
    <xf numFmtId="0" fontId="8" fillId="0" borderId="0" xfId="0" applyFont="1" applyAlignment="1">
      <alignment vertical="center"/>
    </xf>
    <xf numFmtId="0" fontId="9" fillId="0" borderId="0" xfId="0" applyFont="1" applyAlignment="1">
      <alignment horizontal="right" vertical="center" wrapText="1"/>
    </xf>
    <xf numFmtId="0" fontId="10" fillId="0" borderId="3"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6" xfId="0" applyFont="1" applyBorder="1" applyAlignment="1">
      <alignment vertical="center" wrapText="1"/>
    </xf>
    <xf numFmtId="0" fontId="8" fillId="0" borderId="6"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4" xfId="0" applyFont="1" applyBorder="1" applyAlignment="1">
      <alignment vertical="center" wrapText="1"/>
    </xf>
    <xf numFmtId="0" fontId="8" fillId="0" borderId="4" xfId="0" applyFont="1" applyBorder="1" applyAlignment="1">
      <alignment horizontal="center" vertical="center" wrapText="1"/>
    </xf>
    <xf numFmtId="0" fontId="8" fillId="0" borderId="4" xfId="0" applyFont="1" applyBorder="1" applyAlignment="1">
      <alignment vertical="center" wrapText="1"/>
    </xf>
    <xf numFmtId="0" fontId="10" fillId="0" borderId="5" xfId="0" applyFont="1" applyBorder="1" applyAlignment="1">
      <alignment horizontal="center" vertical="center" wrapText="1"/>
    </xf>
    <xf numFmtId="0" fontId="10" fillId="0" borderId="5" xfId="0" applyFont="1" applyBorder="1" applyAlignment="1">
      <alignment vertical="center" wrapText="1"/>
    </xf>
    <xf numFmtId="0" fontId="8" fillId="0" borderId="5" xfId="0" applyFont="1" applyBorder="1" applyAlignment="1">
      <alignment horizontal="center" vertical="center" wrapText="1"/>
    </xf>
    <xf numFmtId="0" fontId="12" fillId="0" borderId="0" xfId="0" applyFont="1" applyAlignment="1">
      <alignment horizontal="left" vertical="center" wrapText="1"/>
    </xf>
    <xf numFmtId="0" fontId="4" fillId="0" borderId="6" xfId="0" applyFont="1" applyBorder="1" applyAlignment="1">
      <alignment horizontal="center" vertical="center" wrapText="1"/>
    </xf>
    <xf numFmtId="0" fontId="4" fillId="0" borderId="6" xfId="0" applyFont="1" applyBorder="1" applyAlignment="1">
      <alignment vertical="center" wrapText="1"/>
    </xf>
    <xf numFmtId="0" fontId="4" fillId="0" borderId="3" xfId="0" applyFont="1" applyBorder="1" applyAlignment="1">
      <alignment horizontal="center" vertical="center" wrapText="1"/>
    </xf>
    <xf numFmtId="0" fontId="15" fillId="0" borderId="0" xfId="0" applyFont="1" applyAlignment="1">
      <alignment horizontal="right" vertical="center" wrapText="1"/>
    </xf>
    <xf numFmtId="0" fontId="4" fillId="0" borderId="7" xfId="0" applyFont="1" applyBorder="1" applyAlignment="1">
      <alignment horizontal="center" vertical="center" wrapText="1"/>
    </xf>
    <xf numFmtId="0" fontId="4" fillId="0" borderId="3" xfId="0" applyFont="1" applyBorder="1" applyAlignment="1">
      <alignment horizontal="center" vertical="center" wrapText="1"/>
    </xf>
    <xf numFmtId="3" fontId="17" fillId="0" borderId="9" xfId="0" applyNumberFormat="1" applyFont="1" applyBorder="1" applyAlignment="1">
      <alignment horizontal="center" vertical="center"/>
    </xf>
    <xf numFmtId="3" fontId="17" fillId="0" borderId="9" xfId="0" applyNumberFormat="1" applyFont="1" applyBorder="1" applyAlignment="1">
      <alignment vertical="center"/>
    </xf>
    <xf numFmtId="3" fontId="17" fillId="0" borderId="11" xfId="0" applyNumberFormat="1" applyFont="1" applyBorder="1" applyAlignment="1">
      <alignment vertical="center"/>
    </xf>
    <xf numFmtId="0" fontId="2" fillId="0" borderId="12" xfId="0" applyFont="1" applyBorder="1" applyAlignment="1">
      <alignment horizontal="center" vertical="center" wrapText="1"/>
    </xf>
    <xf numFmtId="0" fontId="2" fillId="0" borderId="12" xfId="0" applyFont="1" applyBorder="1" applyAlignment="1">
      <alignment vertical="center" wrapText="1"/>
    </xf>
    <xf numFmtId="3" fontId="2" fillId="0" borderId="0" xfId="0" applyNumberFormat="1" applyFont="1" applyAlignment="1">
      <alignment vertical="center"/>
    </xf>
    <xf numFmtId="3" fontId="3" fillId="0" borderId="0" xfId="0" applyNumberFormat="1" applyFont="1" applyAlignment="1">
      <alignment horizontal="right" vertical="center" wrapText="1"/>
    </xf>
    <xf numFmtId="3" fontId="4" fillId="0" borderId="4" xfId="0" applyNumberFormat="1" applyFont="1" applyBorder="1" applyAlignment="1">
      <alignment vertical="center" wrapText="1"/>
    </xf>
    <xf numFmtId="3" fontId="4" fillId="0" borderId="0" xfId="0" applyNumberFormat="1" applyFont="1" applyAlignment="1">
      <alignment vertical="center"/>
    </xf>
    <xf numFmtId="3" fontId="2" fillId="0" borderId="4" xfId="0" applyNumberFormat="1" applyFont="1" applyBorder="1" applyAlignment="1">
      <alignment vertical="center" wrapText="1"/>
    </xf>
    <xf numFmtId="3" fontId="2" fillId="0" borderId="5" xfId="0" applyNumberFormat="1" applyFont="1" applyBorder="1" applyAlignment="1">
      <alignment vertical="center" wrapText="1"/>
    </xf>
    <xf numFmtId="3" fontId="6" fillId="0" borderId="0" xfId="0" applyNumberFormat="1" applyFont="1" applyAlignment="1">
      <alignment horizontal="left" vertical="center" wrapText="1"/>
    </xf>
    <xf numFmtId="3" fontId="2" fillId="0" borderId="0" xfId="0" applyNumberFormat="1" applyFont="1" applyAlignment="1">
      <alignment horizontal="left" vertical="center" wrapText="1"/>
    </xf>
    <xf numFmtId="3" fontId="4" fillId="0" borderId="6" xfId="0" applyNumberFormat="1" applyFont="1" applyBorder="1" applyAlignment="1">
      <alignment vertical="center" wrapText="1"/>
    </xf>
    <xf numFmtId="3" fontId="2" fillId="0" borderId="6" xfId="0" applyNumberFormat="1" applyFont="1" applyBorder="1" applyAlignment="1">
      <alignment vertical="center" wrapText="1"/>
    </xf>
    <xf numFmtId="3" fontId="2" fillId="0" borderId="0" xfId="0" applyNumberFormat="1" applyFont="1" applyAlignment="1">
      <alignment horizontal="right" vertical="center"/>
    </xf>
    <xf numFmtId="0" fontId="15" fillId="0" borderId="0" xfId="0" applyFont="1" applyAlignment="1">
      <alignment horizontal="center" vertical="center" wrapText="1"/>
    </xf>
    <xf numFmtId="0" fontId="4" fillId="0" borderId="3" xfId="0" applyFont="1" applyBorder="1" applyAlignment="1">
      <alignment horizontal="center" vertical="center" wrapText="1"/>
    </xf>
    <xf numFmtId="3" fontId="2" fillId="0" borderId="0" xfId="0" applyNumberFormat="1" applyFont="1"/>
    <xf numFmtId="3" fontId="3" fillId="0" borderId="0" xfId="0" applyNumberFormat="1" applyFont="1" applyAlignment="1">
      <alignment horizontal="right" wrapText="1"/>
    </xf>
    <xf numFmtId="3" fontId="1" fillId="0" borderId="0" xfId="0" applyNumberFormat="1" applyFont="1" applyAlignment="1">
      <alignment horizontal="left" wrapText="1"/>
    </xf>
    <xf numFmtId="3" fontId="2" fillId="0" borderId="0" xfId="0" applyNumberFormat="1" applyFont="1" applyAlignment="1">
      <alignment horizontal="left" wrapText="1"/>
    </xf>
    <xf numFmtId="3" fontId="6" fillId="0" borderId="0" xfId="0" applyNumberFormat="1" applyFont="1" applyAlignment="1">
      <alignment horizontal="left" wrapText="1"/>
    </xf>
    <xf numFmtId="3" fontId="4" fillId="0" borderId="0" xfId="0" applyNumberFormat="1" applyFont="1"/>
    <xf numFmtId="4" fontId="4" fillId="0" borderId="6" xfId="0" applyNumberFormat="1" applyFont="1" applyBorder="1" applyAlignment="1">
      <alignment vertical="center" wrapText="1"/>
    </xf>
    <xf numFmtId="0" fontId="4" fillId="0" borderId="0" xfId="0" applyFont="1" applyAlignment="1">
      <alignment vertical="center"/>
    </xf>
    <xf numFmtId="0" fontId="17" fillId="0" borderId="0" xfId="0" applyFont="1"/>
    <xf numFmtId="3" fontId="1" fillId="0" borderId="0" xfId="0" applyNumberFormat="1" applyFont="1" applyAlignment="1">
      <alignment horizontal="right" vertical="center"/>
    </xf>
    <xf numFmtId="0" fontId="15" fillId="0" borderId="8" xfId="0" applyFont="1" applyBorder="1" applyAlignment="1">
      <alignment horizontal="center" vertical="center" wrapText="1"/>
    </xf>
    <xf numFmtId="3" fontId="18" fillId="0" borderId="9" xfId="0" applyNumberFormat="1" applyFont="1" applyBorder="1"/>
    <xf numFmtId="0" fontId="18" fillId="0" borderId="0" xfId="0" applyFont="1"/>
    <xf numFmtId="3" fontId="15" fillId="0" borderId="9" xfId="0" applyNumberFormat="1" applyFont="1" applyBorder="1"/>
    <xf numFmtId="0" fontId="17" fillId="0" borderId="9" xfId="0" applyFont="1" applyBorder="1"/>
    <xf numFmtId="0" fontId="17" fillId="0" borderId="9" xfId="0" quotePrefix="1" applyFont="1" applyBorder="1" applyAlignment="1">
      <alignment horizontal="right"/>
    </xf>
    <xf numFmtId="3" fontId="17" fillId="0" borderId="9" xfId="0" applyNumberFormat="1" applyFont="1" applyBorder="1"/>
    <xf numFmtId="3" fontId="17" fillId="0" borderId="0" xfId="0" applyNumberFormat="1" applyFont="1"/>
    <xf numFmtId="0" fontId="17" fillId="0" borderId="10" xfId="0" applyFont="1" applyBorder="1"/>
    <xf numFmtId="0" fontId="17" fillId="0" borderId="10" xfId="0" quotePrefix="1" applyFont="1" applyBorder="1" applyAlignment="1">
      <alignment horizontal="right"/>
    </xf>
    <xf numFmtId="3" fontId="17" fillId="0" borderId="10" xfId="0" applyNumberFormat="1" applyFont="1" applyBorder="1"/>
    <xf numFmtId="0" fontId="16" fillId="0" borderId="0" xfId="0" applyFont="1" applyAlignment="1">
      <alignment horizontal="center"/>
    </xf>
    <xf numFmtId="0" fontId="16" fillId="0" borderId="0" xfId="0" applyFont="1"/>
    <xf numFmtId="0" fontId="15" fillId="0" borderId="0" xfId="0" applyFont="1" applyAlignment="1">
      <alignment horizontal="center"/>
    </xf>
    <xf numFmtId="0" fontId="15" fillId="0" borderId="0" xfId="0" applyFont="1"/>
    <xf numFmtId="3" fontId="15" fillId="0" borderId="0" xfId="0" applyNumberFormat="1" applyFont="1" applyAlignment="1">
      <alignment horizontal="center" vertical="center" wrapText="1"/>
    </xf>
    <xf numFmtId="3" fontId="18" fillId="0" borderId="0" xfId="0" applyNumberFormat="1" applyFont="1"/>
    <xf numFmtId="3" fontId="16" fillId="0" borderId="0" xfId="0" applyNumberFormat="1" applyFont="1"/>
    <xf numFmtId="3" fontId="15" fillId="0" borderId="0" xfId="0" applyNumberFormat="1" applyFont="1"/>
    <xf numFmtId="3" fontId="4" fillId="0" borderId="6" xfId="0" applyNumberFormat="1" applyFont="1" applyBorder="1" applyAlignment="1">
      <alignment horizontal="center" vertical="center" wrapText="1"/>
    </xf>
    <xf numFmtId="4" fontId="2" fillId="0" borderId="6" xfId="0" applyNumberFormat="1" applyFont="1" applyBorder="1" applyAlignment="1">
      <alignment vertical="center" wrapText="1"/>
    </xf>
    <xf numFmtId="0" fontId="27" fillId="4" borderId="0" xfId="0" applyFont="1" applyFill="1" applyBorder="1" applyAlignment="1">
      <alignment horizontal="left" vertical="center"/>
    </xf>
    <xf numFmtId="0" fontId="27" fillId="4" borderId="0" xfId="0" applyFont="1" applyFill="1" applyBorder="1" applyAlignment="1">
      <alignment horizontal="center" vertical="center" wrapText="1"/>
    </xf>
    <xf numFmtId="0" fontId="28" fillId="4" borderId="0" xfId="0" applyFont="1" applyFill="1" applyBorder="1" applyAlignment="1">
      <alignment horizontal="center" vertical="center"/>
    </xf>
    <xf numFmtId="0" fontId="28" fillId="5" borderId="0" xfId="0" applyFont="1" applyFill="1" applyBorder="1" applyAlignment="1">
      <alignment horizontal="center" vertical="center"/>
    </xf>
    <xf numFmtId="0" fontId="27" fillId="4" borderId="0" xfId="0" applyFont="1" applyFill="1" applyBorder="1" applyAlignment="1">
      <alignment horizontal="center" vertical="center"/>
    </xf>
    <xf numFmtId="0" fontId="0" fillId="4" borderId="0" xfId="0" applyFill="1"/>
    <xf numFmtId="0" fontId="28" fillId="4" borderId="0" xfId="0" applyFont="1" applyFill="1" applyBorder="1" applyAlignment="1">
      <alignment horizontal="center" vertical="center" wrapText="1"/>
    </xf>
    <xf numFmtId="0" fontId="30" fillId="4" borderId="0" xfId="0" applyFont="1" applyFill="1" applyBorder="1" applyAlignment="1">
      <alignment horizontal="center" vertical="center"/>
    </xf>
    <xf numFmtId="0" fontId="31" fillId="5" borderId="22" xfId="3" applyFont="1" applyFill="1" applyBorder="1" applyAlignment="1">
      <alignment horizontal="center" vertical="center" wrapText="1"/>
    </xf>
    <xf numFmtId="0" fontId="33" fillId="4" borderId="0" xfId="0" applyFont="1" applyFill="1"/>
    <xf numFmtId="0" fontId="31" fillId="5" borderId="26" xfId="3" applyFont="1" applyFill="1" applyBorder="1" applyAlignment="1">
      <alignment horizontal="center" vertical="center" wrapText="1"/>
    </xf>
    <xf numFmtId="0" fontId="31" fillId="5" borderId="20" xfId="3" applyFont="1" applyFill="1" applyBorder="1" applyAlignment="1">
      <alignment horizontal="center" vertical="center" wrapText="1"/>
    </xf>
    <xf numFmtId="0" fontId="31" fillId="5" borderId="25" xfId="3" applyFont="1" applyFill="1" applyBorder="1" applyAlignment="1">
      <alignment horizontal="center" vertical="center" wrapText="1"/>
    </xf>
    <xf numFmtId="0" fontId="31" fillId="5" borderId="28" xfId="3" applyFont="1" applyFill="1" applyBorder="1" applyAlignment="1">
      <alignment horizontal="center" vertical="center" wrapText="1"/>
    </xf>
    <xf numFmtId="0" fontId="35" fillId="4" borderId="21" xfId="0" applyFont="1" applyFill="1" applyBorder="1" applyAlignment="1">
      <alignment horizontal="center" vertical="center" wrapText="1"/>
    </xf>
    <xf numFmtId="0" fontId="35" fillId="4" borderId="21" xfId="0" applyFont="1" applyFill="1" applyBorder="1" applyAlignment="1">
      <alignment horizontal="center" vertical="center"/>
    </xf>
    <xf numFmtId="164" fontId="36" fillId="5" borderId="21" xfId="0" applyNumberFormat="1" applyFont="1" applyFill="1" applyBorder="1" applyAlignment="1">
      <alignment horizontal="center" vertical="center" wrapText="1"/>
    </xf>
    <xf numFmtId="0" fontId="39" fillId="2" borderId="21" xfId="0" applyFont="1" applyFill="1" applyBorder="1" applyAlignment="1">
      <alignment horizontal="center" vertical="center" wrapText="1"/>
    </xf>
    <xf numFmtId="0" fontId="39" fillId="2" borderId="21" xfId="0" applyFont="1" applyFill="1" applyBorder="1" applyAlignment="1">
      <alignment horizontal="left" vertical="center" wrapText="1"/>
    </xf>
    <xf numFmtId="0" fontId="39" fillId="2" borderId="21" xfId="0" applyFont="1" applyFill="1" applyBorder="1" applyAlignment="1">
      <alignment horizontal="center" vertical="center"/>
    </xf>
    <xf numFmtId="164" fontId="39" fillId="2" borderId="21" xfId="6" applyNumberFormat="1" applyFont="1" applyFill="1" applyBorder="1" applyAlignment="1">
      <alignment horizontal="center" vertical="center" wrapText="1"/>
    </xf>
    <xf numFmtId="0" fontId="40" fillId="4" borderId="0" xfId="0" applyFont="1" applyFill="1"/>
    <xf numFmtId="0" fontId="27" fillId="4" borderId="21" xfId="0" applyFont="1" applyFill="1" applyBorder="1" applyAlignment="1">
      <alignment horizontal="center" vertical="center" wrapText="1"/>
    </xf>
    <xf numFmtId="0" fontId="27" fillId="4" borderId="21" xfId="0" applyFont="1" applyFill="1" applyBorder="1" applyAlignment="1">
      <alignment horizontal="left" vertical="center" wrapText="1"/>
    </xf>
    <xf numFmtId="0" fontId="27" fillId="4" borderId="21" xfId="0" applyFont="1" applyFill="1" applyBorder="1" applyAlignment="1">
      <alignment horizontal="center" vertical="center"/>
    </xf>
    <xf numFmtId="164" fontId="27" fillId="4" borderId="21" xfId="6" applyNumberFormat="1" applyFont="1" applyFill="1" applyBorder="1" applyAlignment="1">
      <alignment horizontal="center" vertical="center" wrapText="1"/>
    </xf>
    <xf numFmtId="0" fontId="41" fillId="4" borderId="0" xfId="0" applyFont="1" applyFill="1"/>
    <xf numFmtId="49" fontId="30" fillId="4" borderId="21" xfId="7" applyNumberFormat="1" applyFont="1" applyFill="1" applyBorder="1" applyAlignment="1">
      <alignment horizontal="center" vertical="center" wrapText="1"/>
    </xf>
    <xf numFmtId="0" fontId="30" fillId="4" borderId="21" xfId="8" quotePrefix="1" applyNumberFormat="1" applyFont="1" applyFill="1" applyBorder="1" applyAlignment="1">
      <alignment horizontal="left" vertical="center" wrapText="1"/>
    </xf>
    <xf numFmtId="0" fontId="30" fillId="4" borderId="21" xfId="0" quotePrefix="1" applyFont="1" applyFill="1" applyBorder="1" applyAlignment="1">
      <alignment horizontal="center" vertical="center"/>
    </xf>
    <xf numFmtId="164" fontId="30" fillId="4" borderId="21" xfId="6" applyNumberFormat="1" applyFont="1" applyFill="1" applyBorder="1" applyAlignment="1">
      <alignment horizontal="center" vertical="center"/>
    </xf>
    <xf numFmtId="164" fontId="30" fillId="5" borderId="21" xfId="6" applyNumberFormat="1" applyFont="1" applyFill="1" applyBorder="1" applyAlignment="1">
      <alignment horizontal="center" vertical="center"/>
    </xf>
    <xf numFmtId="164" fontId="30" fillId="6" borderId="21" xfId="6" applyNumberFormat="1" applyFont="1" applyFill="1" applyBorder="1" applyAlignment="1">
      <alignment horizontal="center" vertical="center"/>
    </xf>
    <xf numFmtId="49" fontId="27" fillId="4" borderId="21" xfId="7" applyNumberFormat="1" applyFont="1" applyFill="1" applyBorder="1" applyAlignment="1">
      <alignment horizontal="center" vertical="center" wrapText="1"/>
    </xf>
    <xf numFmtId="0" fontId="27" fillId="4" borderId="21" xfId="8" quotePrefix="1" applyNumberFormat="1" applyFont="1" applyFill="1" applyBorder="1" applyAlignment="1">
      <alignment horizontal="left" vertical="center" wrapText="1"/>
    </xf>
    <xf numFmtId="0" fontId="27" fillId="4" borderId="21" xfId="0" quotePrefix="1" applyFont="1" applyFill="1" applyBorder="1" applyAlignment="1">
      <alignment horizontal="center" vertical="center"/>
    </xf>
    <xf numFmtId="164" fontId="27" fillId="4" borderId="21" xfId="6" applyNumberFormat="1" applyFont="1" applyFill="1" applyBorder="1" applyAlignment="1">
      <alignment horizontal="center" vertical="center"/>
    </xf>
    <xf numFmtId="0" fontId="43" fillId="4" borderId="0" xfId="0" applyFont="1" applyFill="1"/>
    <xf numFmtId="164" fontId="44" fillId="4" borderId="21" xfId="6" applyNumberFormat="1" applyFont="1" applyFill="1" applyBorder="1" applyAlignment="1">
      <alignment horizontal="center" vertical="center"/>
    </xf>
    <xf numFmtId="0" fontId="45" fillId="4" borderId="21" xfId="8" quotePrefix="1" applyNumberFormat="1" applyFont="1" applyFill="1" applyBorder="1" applyAlignment="1">
      <alignment horizontal="left" vertical="center" wrapText="1"/>
    </xf>
    <xf numFmtId="0" fontId="45" fillId="4" borderId="21" xfId="0" quotePrefix="1" applyFont="1" applyFill="1" applyBorder="1" applyAlignment="1">
      <alignment horizontal="center" vertical="center"/>
    </xf>
    <xf numFmtId="164" fontId="45" fillId="4" borderId="21" xfId="6" applyNumberFormat="1" applyFont="1" applyFill="1" applyBorder="1" applyAlignment="1">
      <alignment horizontal="center" vertical="center"/>
    </xf>
    <xf numFmtId="164" fontId="46" fillId="4" borderId="21" xfId="6" applyNumberFormat="1" applyFont="1" applyFill="1" applyBorder="1" applyAlignment="1">
      <alignment horizontal="center" vertical="center"/>
    </xf>
    <xf numFmtId="164" fontId="45" fillId="5" borderId="21" xfId="6" applyNumberFormat="1" applyFont="1" applyFill="1" applyBorder="1" applyAlignment="1">
      <alignment horizontal="center" vertical="center"/>
    </xf>
    <xf numFmtId="164" fontId="45" fillId="6" borderId="21" xfId="6" applyNumberFormat="1" applyFont="1" applyFill="1" applyBorder="1" applyAlignment="1">
      <alignment horizontal="center" vertical="center"/>
    </xf>
    <xf numFmtId="0" fontId="47" fillId="4" borderId="0" xfId="0" applyFont="1" applyFill="1"/>
    <xf numFmtId="164" fontId="27" fillId="5" borderId="21" xfId="6" applyNumberFormat="1" applyFont="1" applyFill="1" applyBorder="1" applyAlignment="1">
      <alignment horizontal="center" vertical="center"/>
    </xf>
    <xf numFmtId="164" fontId="27" fillId="6" borderId="21" xfId="6" applyNumberFormat="1" applyFont="1" applyFill="1" applyBorder="1" applyAlignment="1">
      <alignment horizontal="center" vertical="center"/>
    </xf>
    <xf numFmtId="49" fontId="48" fillId="2" borderId="21" xfId="7" applyNumberFormat="1" applyFont="1" applyFill="1" applyBorder="1" applyAlignment="1">
      <alignment horizontal="center" vertical="center" wrapText="1"/>
    </xf>
    <xf numFmtId="0" fontId="48" fillId="2" borderId="21" xfId="8" quotePrefix="1" applyNumberFormat="1" applyFont="1" applyFill="1" applyBorder="1" applyAlignment="1">
      <alignment horizontal="left" vertical="center" wrapText="1"/>
    </xf>
    <xf numFmtId="0" fontId="48" fillId="2" borderId="21" xfId="0" quotePrefix="1" applyFont="1" applyFill="1" applyBorder="1" applyAlignment="1">
      <alignment horizontal="center" vertical="center"/>
    </xf>
    <xf numFmtId="164" fontId="48" fillId="2" borderId="21" xfId="6" applyNumberFormat="1" applyFont="1" applyFill="1" applyBorder="1" applyAlignment="1">
      <alignment horizontal="center" vertical="center"/>
    </xf>
    <xf numFmtId="0" fontId="49" fillId="4" borderId="0" xfId="0" applyFont="1" applyFill="1"/>
    <xf numFmtId="164" fontId="50" fillId="4" borderId="21" xfId="6" applyNumberFormat="1" applyFont="1" applyFill="1" applyBorder="1" applyAlignment="1">
      <alignment horizontal="center" vertical="center"/>
    </xf>
    <xf numFmtId="0" fontId="50" fillId="4" borderId="21" xfId="8" quotePrefix="1" applyNumberFormat="1" applyFont="1" applyFill="1" applyBorder="1" applyAlignment="1">
      <alignment horizontal="left" vertical="center" wrapText="1"/>
    </xf>
    <xf numFmtId="0" fontId="50" fillId="4" borderId="21" xfId="0" quotePrefix="1" applyFont="1" applyFill="1" applyBorder="1" applyAlignment="1">
      <alignment horizontal="center" vertical="center"/>
    </xf>
    <xf numFmtId="164" fontId="50" fillId="5" borderId="21" xfId="6" applyNumberFormat="1" applyFont="1" applyFill="1" applyBorder="1" applyAlignment="1">
      <alignment horizontal="center" vertical="center"/>
    </xf>
    <xf numFmtId="0" fontId="51" fillId="4" borderId="0" xfId="0" applyFont="1" applyFill="1"/>
    <xf numFmtId="164" fontId="52" fillId="4" borderId="21" xfId="6" applyNumberFormat="1" applyFont="1" applyFill="1" applyBorder="1" applyAlignment="1">
      <alignment horizontal="center" vertical="center"/>
    </xf>
    <xf numFmtId="0" fontId="28" fillId="4" borderId="0" xfId="0" applyFont="1" applyFill="1"/>
    <xf numFmtId="0" fontId="28" fillId="5" borderId="0" xfId="0" applyFont="1" applyFill="1"/>
    <xf numFmtId="164" fontId="53" fillId="4" borderId="21" xfId="6" applyNumberFormat="1" applyFont="1" applyFill="1" applyBorder="1" applyAlignment="1">
      <alignment horizontal="center" vertical="center"/>
    </xf>
    <xf numFmtId="164" fontId="54" fillId="4" borderId="21" xfId="6" applyNumberFormat="1" applyFont="1" applyFill="1" applyBorder="1" applyAlignment="1">
      <alignment horizontal="center" vertical="center"/>
    </xf>
    <xf numFmtId="164" fontId="54" fillId="6" borderId="21" xfId="6" applyNumberFormat="1" applyFont="1" applyFill="1" applyBorder="1" applyAlignment="1">
      <alignment horizontal="center" vertical="center"/>
    </xf>
    <xf numFmtId="164" fontId="55" fillId="5" borderId="21" xfId="6" applyNumberFormat="1" applyFont="1" applyFill="1" applyBorder="1" applyAlignment="1">
      <alignment horizontal="center" vertical="center"/>
    </xf>
    <xf numFmtId="49" fontId="54" fillId="4" borderId="21" xfId="7" applyNumberFormat="1" applyFont="1" applyFill="1" applyBorder="1" applyAlignment="1">
      <alignment horizontal="center" vertical="center" wrapText="1"/>
    </xf>
    <xf numFmtId="0" fontId="0" fillId="4" borderId="0" xfId="0" applyFont="1" applyFill="1"/>
    <xf numFmtId="164" fontId="56" fillId="4" borderId="21" xfId="6" applyNumberFormat="1" applyFont="1" applyFill="1" applyBorder="1" applyAlignment="1">
      <alignment horizontal="center" vertical="center"/>
    </xf>
    <xf numFmtId="0" fontId="57" fillId="4" borderId="0" xfId="0" applyFont="1" applyFill="1"/>
    <xf numFmtId="0" fontId="48" fillId="2" borderId="21" xfId="0" applyFont="1" applyFill="1" applyBorder="1" applyAlignment="1">
      <alignment horizontal="center" vertical="center" wrapText="1"/>
    </xf>
    <xf numFmtId="0" fontId="48" fillId="2" borderId="21" xfId="0" applyFont="1" applyFill="1" applyBorder="1" applyAlignment="1">
      <alignment horizontal="left" vertical="center" wrapText="1"/>
    </xf>
    <xf numFmtId="0" fontId="48" fillId="2" borderId="21" xfId="0" applyFont="1" applyFill="1" applyBorder="1" applyAlignment="1">
      <alignment horizontal="center" vertical="center"/>
    </xf>
    <xf numFmtId="164" fontId="48" fillId="2" borderId="21" xfId="6" applyNumberFormat="1" applyFont="1" applyFill="1" applyBorder="1" applyAlignment="1">
      <alignment horizontal="center" vertical="center" wrapText="1"/>
    </xf>
    <xf numFmtId="0" fontId="27" fillId="4" borderId="21" xfId="8" applyFont="1" applyFill="1" applyBorder="1" applyAlignment="1">
      <alignment horizontal="center" vertical="center" wrapText="1"/>
    </xf>
    <xf numFmtId="1" fontId="27" fillId="4" borderId="21" xfId="7" applyNumberFormat="1" applyFont="1" applyFill="1" applyBorder="1" applyAlignment="1">
      <alignment horizontal="left" vertical="center" wrapText="1"/>
    </xf>
    <xf numFmtId="164" fontId="27" fillId="5" borderId="21" xfId="6" applyNumberFormat="1" applyFont="1" applyFill="1" applyBorder="1" applyAlignment="1">
      <alignment horizontal="center" vertical="center" wrapText="1"/>
    </xf>
    <xf numFmtId="49" fontId="58" fillId="2" borderId="21" xfId="7" applyNumberFormat="1" applyFont="1" applyFill="1" applyBorder="1" applyAlignment="1">
      <alignment horizontal="center" vertical="center" wrapText="1"/>
    </xf>
    <xf numFmtId="0" fontId="59" fillId="4" borderId="21" xfId="0" applyFont="1" applyFill="1" applyBorder="1" applyAlignment="1">
      <alignment horizontal="center" vertical="center" wrapText="1"/>
    </xf>
    <xf numFmtId="0" fontId="59" fillId="4" borderId="21" xfId="0" applyFont="1" applyFill="1" applyBorder="1" applyAlignment="1">
      <alignment horizontal="left" vertical="center" wrapText="1"/>
    </xf>
    <xf numFmtId="0" fontId="59" fillId="4" borderId="21" xfId="0" applyFont="1" applyFill="1" applyBorder="1" applyAlignment="1">
      <alignment horizontal="center" vertical="center"/>
    </xf>
    <xf numFmtId="164" fontId="59" fillId="4" borderId="21" xfId="6" applyNumberFormat="1" applyFont="1" applyFill="1" applyBorder="1" applyAlignment="1">
      <alignment horizontal="center" vertical="center" wrapText="1"/>
    </xf>
    <xf numFmtId="0" fontId="60" fillId="4" borderId="0" xfId="0" applyFont="1" applyFill="1"/>
    <xf numFmtId="49" fontId="30" fillId="2" borderId="21" xfId="7" applyNumberFormat="1" applyFont="1" applyFill="1" applyBorder="1" applyAlignment="1">
      <alignment horizontal="center" vertical="center" wrapText="1"/>
    </xf>
    <xf numFmtId="0" fontId="30" fillId="2" borderId="21" xfId="8" quotePrefix="1" applyNumberFormat="1" applyFont="1" applyFill="1" applyBorder="1" applyAlignment="1">
      <alignment horizontal="left" vertical="center" wrapText="1"/>
    </xf>
    <xf numFmtId="0" fontId="30" fillId="2" borderId="21" xfId="0" quotePrefix="1" applyFont="1" applyFill="1" applyBorder="1" applyAlignment="1">
      <alignment horizontal="center" vertical="center"/>
    </xf>
    <xf numFmtId="164" fontId="30" fillId="2" borderId="21" xfId="6" applyNumberFormat="1" applyFont="1" applyFill="1" applyBorder="1" applyAlignment="1">
      <alignment horizontal="center" vertical="center"/>
    </xf>
    <xf numFmtId="0" fontId="0" fillId="2" borderId="0" xfId="0" applyFill="1"/>
    <xf numFmtId="0" fontId="27" fillId="7" borderId="21" xfId="0" applyFont="1" applyFill="1" applyBorder="1" applyAlignment="1">
      <alignment horizontal="center" vertical="center" wrapText="1"/>
    </xf>
    <xf numFmtId="0" fontId="27" fillId="7" borderId="21" xfId="0" applyFont="1" applyFill="1" applyBorder="1" applyAlignment="1">
      <alignment horizontal="left" vertical="center" wrapText="1"/>
    </xf>
    <xf numFmtId="0" fontId="27" fillId="7" borderId="21" xfId="0" applyFont="1" applyFill="1" applyBorder="1" applyAlignment="1">
      <alignment horizontal="center" vertical="center"/>
    </xf>
    <xf numFmtId="164" fontId="27" fillId="7" borderId="21" xfId="6" applyNumberFormat="1" applyFont="1" applyFill="1" applyBorder="1" applyAlignment="1">
      <alignment horizontal="center" vertical="center" wrapText="1"/>
    </xf>
    <xf numFmtId="0" fontId="0" fillId="7" borderId="0" xfId="0" applyFill="1"/>
    <xf numFmtId="0" fontId="30" fillId="4" borderId="21" xfId="8" applyNumberFormat="1" applyFont="1" applyFill="1" applyBorder="1" applyAlignment="1">
      <alignment horizontal="left" vertical="center" wrapText="1"/>
    </xf>
    <xf numFmtId="164" fontId="28" fillId="4" borderId="21" xfId="6" applyNumberFormat="1" applyFont="1" applyFill="1" applyBorder="1" applyAlignment="1">
      <alignment horizontal="center" vertical="center"/>
    </xf>
    <xf numFmtId="164" fontId="59" fillId="5" borderId="21" xfId="6" applyNumberFormat="1" applyFont="1" applyFill="1" applyBorder="1" applyAlignment="1">
      <alignment horizontal="center" vertical="center" wrapText="1"/>
    </xf>
    <xf numFmtId="0" fontId="62" fillId="4" borderId="0" xfId="0" applyFont="1" applyFill="1"/>
    <xf numFmtId="0" fontId="63" fillId="4" borderId="21" xfId="0" applyFont="1" applyFill="1" applyBorder="1" applyAlignment="1">
      <alignment horizontal="center" vertical="center" wrapText="1"/>
    </xf>
    <xf numFmtId="0" fontId="64" fillId="4" borderId="21" xfId="0" applyFont="1" applyFill="1" applyBorder="1" applyAlignment="1">
      <alignment horizontal="left" vertical="center" wrapText="1"/>
    </xf>
    <xf numFmtId="0" fontId="63" fillId="4" borderId="21" xfId="0" applyFont="1" applyFill="1" applyBorder="1" applyAlignment="1">
      <alignment horizontal="center" vertical="center"/>
    </xf>
    <xf numFmtId="164" fontId="63" fillId="4" borderId="21" xfId="6" applyNumberFormat="1" applyFont="1" applyFill="1" applyBorder="1" applyAlignment="1">
      <alignment horizontal="center" vertical="center" wrapText="1"/>
    </xf>
    <xf numFmtId="0" fontId="65" fillId="4" borderId="0" xfId="0" applyFont="1" applyFill="1"/>
    <xf numFmtId="49" fontId="28" fillId="4" borderId="21" xfId="7" applyNumberFormat="1" applyFont="1" applyFill="1" applyBorder="1" applyAlignment="1">
      <alignment horizontal="center" vertical="center" wrapText="1"/>
    </xf>
    <xf numFmtId="0" fontId="28" fillId="4" borderId="21" xfId="8" quotePrefix="1" applyNumberFormat="1" applyFont="1" applyFill="1" applyBorder="1" applyAlignment="1">
      <alignment horizontal="left" vertical="center" wrapText="1"/>
    </xf>
    <xf numFmtId="0" fontId="28" fillId="4" borderId="21" xfId="0" quotePrefix="1" applyFont="1" applyFill="1" applyBorder="1" applyAlignment="1">
      <alignment horizontal="center" vertical="center"/>
    </xf>
    <xf numFmtId="164" fontId="28" fillId="5" borderId="21" xfId="6" applyNumberFormat="1" applyFont="1" applyFill="1" applyBorder="1" applyAlignment="1">
      <alignment horizontal="center" vertical="center"/>
    </xf>
    <xf numFmtId="49" fontId="59" fillId="4" borderId="21" xfId="7" applyNumberFormat="1" applyFont="1" applyFill="1" applyBorder="1" applyAlignment="1">
      <alignment horizontal="center" vertical="center" wrapText="1"/>
    </xf>
    <xf numFmtId="0" fontId="59" fillId="4" borderId="21" xfId="8" quotePrefix="1" applyNumberFormat="1" applyFont="1" applyFill="1" applyBorder="1" applyAlignment="1">
      <alignment horizontal="left" vertical="center" wrapText="1"/>
    </xf>
    <xf numFmtId="164" fontId="59" fillId="4" borderId="21" xfId="6" applyNumberFormat="1" applyFont="1" applyFill="1" applyBorder="1" applyAlignment="1">
      <alignment horizontal="center" vertical="center"/>
    </xf>
    <xf numFmtId="164" fontId="59" fillId="5" borderId="21" xfId="6" applyNumberFormat="1" applyFont="1" applyFill="1" applyBorder="1" applyAlignment="1">
      <alignment horizontal="center" vertical="center"/>
    </xf>
    <xf numFmtId="0" fontId="27" fillId="4" borderId="21" xfId="8" applyNumberFormat="1" applyFont="1" applyFill="1" applyBorder="1" applyAlignment="1">
      <alignment horizontal="left" vertical="center" wrapText="1"/>
    </xf>
    <xf numFmtId="164" fontId="66" fillId="4" borderId="21" xfId="6" applyNumberFormat="1" applyFont="1" applyFill="1" applyBorder="1" applyAlignment="1">
      <alignment horizontal="center" vertical="center"/>
    </xf>
    <xf numFmtId="49" fontId="63" fillId="4" borderId="21" xfId="7" applyNumberFormat="1" applyFont="1" applyFill="1" applyBorder="1" applyAlignment="1">
      <alignment horizontal="center" vertical="center" wrapText="1"/>
    </xf>
    <xf numFmtId="0" fontId="63" fillId="4" borderId="21" xfId="8" applyNumberFormat="1" applyFont="1" applyFill="1" applyBorder="1" applyAlignment="1">
      <alignment horizontal="left" vertical="center" wrapText="1"/>
    </xf>
    <xf numFmtId="0" fontId="63" fillId="4" borderId="21" xfId="0" quotePrefix="1" applyFont="1" applyFill="1" applyBorder="1" applyAlignment="1">
      <alignment horizontal="center" vertical="center"/>
    </xf>
    <xf numFmtId="164" fontId="63" fillId="4" borderId="21" xfId="6" applyNumberFormat="1" applyFont="1" applyFill="1" applyBorder="1" applyAlignment="1">
      <alignment horizontal="center" vertical="center"/>
    </xf>
    <xf numFmtId="0" fontId="0" fillId="5" borderId="0" xfId="0" applyFill="1"/>
    <xf numFmtId="164" fontId="29" fillId="4" borderId="0" xfId="3" applyNumberFormat="1" applyFont="1" applyFill="1" applyBorder="1" applyAlignment="1">
      <alignment horizontal="center" vertical="center"/>
    </xf>
    <xf numFmtId="164" fontId="38" fillId="4" borderId="0" xfId="0" applyNumberFormat="1" applyFont="1" applyFill="1"/>
    <xf numFmtId="0" fontId="37" fillId="3" borderId="21" xfId="0" applyFont="1" applyFill="1" applyBorder="1" applyAlignment="1">
      <alignment horizontal="center" vertical="center" wrapText="1"/>
    </xf>
    <xf numFmtId="0" fontId="37" fillId="3" borderId="21" xfId="0" applyFont="1" applyFill="1" applyBorder="1" applyAlignment="1">
      <alignment horizontal="center" vertical="center"/>
    </xf>
    <xf numFmtId="164" fontId="37" fillId="3" borderId="21" xfId="6" applyNumberFormat="1" applyFont="1" applyFill="1" applyBorder="1" applyAlignment="1">
      <alignment horizontal="center" vertical="center" wrapText="1"/>
    </xf>
    <xf numFmtId="164" fontId="38" fillId="3" borderId="0" xfId="0" applyNumberFormat="1" applyFont="1" applyFill="1"/>
    <xf numFmtId="0" fontId="38" fillId="3" borderId="0" xfId="0" applyFont="1" applyFill="1"/>
    <xf numFmtId="3" fontId="3" fillId="0" borderId="0" xfId="0" applyNumberFormat="1" applyFont="1" applyAlignment="1">
      <alignment horizontal="left" vertical="center" wrapText="1"/>
    </xf>
    <xf numFmtId="3" fontId="1" fillId="0" borderId="0" xfId="0" applyNumberFormat="1" applyFont="1" applyAlignment="1">
      <alignment horizontal="right" vertical="center" wrapText="1"/>
    </xf>
    <xf numFmtId="0" fontId="4" fillId="0" borderId="3" xfId="0" applyFont="1" applyBorder="1" applyAlignment="1">
      <alignment horizontal="center" vertical="center" wrapText="1"/>
    </xf>
    <xf numFmtId="3" fontId="4" fillId="0" borderId="3" xfId="0" applyNumberFormat="1" applyFont="1" applyBorder="1" applyAlignment="1">
      <alignment horizontal="center" vertical="center" wrapText="1"/>
    </xf>
    <xf numFmtId="3" fontId="4" fillId="0" borderId="29" xfId="0" applyNumberFormat="1" applyFont="1" applyBorder="1" applyAlignment="1">
      <alignment horizontal="center" vertical="center" wrapText="1"/>
    </xf>
    <xf numFmtId="3" fontId="4" fillId="0" borderId="29" xfId="0" applyNumberFormat="1" applyFont="1" applyBorder="1" applyAlignment="1">
      <alignment vertical="center" wrapText="1"/>
    </xf>
    <xf numFmtId="3" fontId="2" fillId="0" borderId="29" xfId="0" applyNumberFormat="1" applyFont="1" applyBorder="1" applyAlignment="1">
      <alignment horizontal="center" vertical="center" wrapText="1"/>
    </xf>
    <xf numFmtId="3" fontId="2" fillId="0" borderId="29" xfId="0" applyNumberFormat="1" applyFont="1" applyBorder="1" applyAlignment="1">
      <alignment vertical="center" wrapText="1"/>
    </xf>
    <xf numFmtId="3" fontId="14" fillId="0" borderId="29" xfId="0" applyNumberFormat="1" applyFont="1" applyBorder="1" applyAlignment="1">
      <alignment vertical="center" wrapText="1"/>
    </xf>
    <xf numFmtId="3" fontId="4" fillId="0" borderId="30" xfId="0" applyNumberFormat="1" applyFont="1" applyBorder="1" applyAlignment="1">
      <alignment horizontal="center" vertical="center" wrapText="1"/>
    </xf>
    <xf numFmtId="3" fontId="4" fillId="0" borderId="30" xfId="0" applyNumberFormat="1" applyFont="1" applyBorder="1" applyAlignment="1">
      <alignment vertical="center" wrapText="1"/>
    </xf>
    <xf numFmtId="3" fontId="2" fillId="0" borderId="30" xfId="0" applyNumberFormat="1" applyFont="1" applyBorder="1" applyAlignment="1">
      <alignment vertical="center" wrapText="1"/>
    </xf>
    <xf numFmtId="3" fontId="4" fillId="0" borderId="31" xfId="0" applyNumberFormat="1" applyFont="1" applyBorder="1" applyAlignment="1">
      <alignment horizontal="center" vertical="center" wrapText="1"/>
    </xf>
    <xf numFmtId="3" fontId="4" fillId="0" borderId="31" xfId="0" applyNumberFormat="1" applyFont="1" applyBorder="1" applyAlignment="1">
      <alignment vertical="center" wrapText="1"/>
    </xf>
    <xf numFmtId="3" fontId="13" fillId="0" borderId="3" xfId="0" applyNumberFormat="1" applyFont="1" applyBorder="1" applyAlignment="1">
      <alignment horizontal="center" vertical="center" wrapText="1"/>
    </xf>
    <xf numFmtId="3" fontId="14" fillId="0" borderId="29" xfId="0" applyNumberFormat="1" applyFont="1" applyBorder="1" applyAlignment="1">
      <alignment horizontal="center" vertical="center" wrapText="1"/>
    </xf>
    <xf numFmtId="4" fontId="4" fillId="0" borderId="29" xfId="0" applyNumberFormat="1" applyFont="1" applyBorder="1" applyAlignment="1">
      <alignment horizontal="right" vertical="center" wrapText="1"/>
    </xf>
    <xf numFmtId="4" fontId="2" fillId="0" borderId="29" xfId="0" applyNumberFormat="1" applyFont="1" applyBorder="1" applyAlignment="1">
      <alignment horizontal="right" vertical="center" wrapText="1"/>
    </xf>
    <xf numFmtId="4" fontId="4" fillId="0" borderId="31" xfId="0" applyNumberFormat="1" applyFont="1" applyBorder="1" applyAlignment="1">
      <alignment horizontal="right" vertical="center" wrapText="1"/>
    </xf>
    <xf numFmtId="3" fontId="2" fillId="0" borderId="30" xfId="0" applyNumberFormat="1" applyFont="1" applyBorder="1" applyAlignment="1">
      <alignment horizontal="center" vertical="center" wrapText="1"/>
    </xf>
    <xf numFmtId="4" fontId="2" fillId="0" borderId="30" xfId="0" applyNumberFormat="1" applyFont="1" applyBorder="1" applyAlignment="1">
      <alignment horizontal="right" vertical="center" wrapText="1"/>
    </xf>
    <xf numFmtId="4" fontId="14" fillId="0" borderId="29" xfId="0" applyNumberFormat="1" applyFont="1" applyBorder="1" applyAlignment="1">
      <alignment horizontal="right" vertical="center" wrapText="1"/>
    </xf>
    <xf numFmtId="3" fontId="19" fillId="0" borderId="29" xfId="0" applyNumberFormat="1" applyFont="1" applyFill="1" applyBorder="1" applyAlignment="1">
      <alignment horizontal="center"/>
    </xf>
    <xf numFmtId="3" fontId="19" fillId="0" borderId="29" xfId="0" applyNumberFormat="1" applyFont="1" applyFill="1" applyBorder="1" applyAlignment="1">
      <alignment horizontal="left" vertical="center" wrapText="1"/>
    </xf>
    <xf numFmtId="3" fontId="23" fillId="0" borderId="29" xfId="0" applyNumberFormat="1" applyFont="1" applyFill="1" applyBorder="1" applyAlignment="1">
      <alignment vertical="center" wrapText="1"/>
    </xf>
    <xf numFmtId="3" fontId="23" fillId="0" borderId="29" xfId="0" applyNumberFormat="1" applyFont="1" applyFill="1" applyBorder="1" applyAlignment="1">
      <alignment horizontal="left" vertical="center" wrapText="1"/>
    </xf>
    <xf numFmtId="3" fontId="24" fillId="0" borderId="29" xfId="0" applyNumberFormat="1" applyFont="1" applyFill="1" applyBorder="1" applyAlignment="1">
      <alignment vertical="center" wrapText="1"/>
    </xf>
    <xf numFmtId="3" fontId="25" fillId="0" borderId="29" xfId="0" applyNumberFormat="1" applyFont="1" applyFill="1" applyBorder="1" applyAlignment="1">
      <alignment vertical="center" wrapText="1"/>
    </xf>
    <xf numFmtId="3" fontId="25" fillId="0" borderId="29" xfId="0" applyNumberFormat="1" applyFont="1" applyFill="1" applyBorder="1" applyAlignment="1">
      <alignment horizontal="left" vertical="center" wrapText="1"/>
    </xf>
    <xf numFmtId="3" fontId="19" fillId="0" borderId="29" xfId="0" applyNumberFormat="1" applyFont="1" applyFill="1" applyBorder="1" applyAlignment="1">
      <alignment wrapText="1"/>
    </xf>
    <xf numFmtId="3" fontId="2" fillId="0" borderId="0" xfId="0" applyNumberFormat="1" applyFont="1" applyAlignment="1">
      <alignment vertical="center" wrapText="1"/>
    </xf>
    <xf numFmtId="3" fontId="19" fillId="0" borderId="29" xfId="0" applyNumberFormat="1" applyFont="1" applyFill="1" applyBorder="1" applyAlignment="1">
      <alignment horizontal="left" wrapText="1"/>
    </xf>
    <xf numFmtId="3" fontId="13" fillId="0" borderId="0" xfId="0" applyNumberFormat="1" applyFont="1"/>
    <xf numFmtId="3" fontId="2" fillId="0" borderId="12" xfId="0" applyNumberFormat="1" applyFont="1" applyBorder="1" applyAlignment="1">
      <alignment horizontal="center" vertical="center" wrapText="1"/>
    </xf>
    <xf numFmtId="3" fontId="2" fillId="0" borderId="12" xfId="0" applyNumberFormat="1" applyFont="1" applyBorder="1" applyAlignment="1">
      <alignment vertical="center" wrapText="1"/>
    </xf>
    <xf numFmtId="3" fontId="2" fillId="0" borderId="17" xfId="0" applyNumberFormat="1" applyFont="1" applyFill="1" applyBorder="1" applyAlignment="1">
      <alignment wrapText="1"/>
    </xf>
    <xf numFmtId="3" fontId="2" fillId="0" borderId="9" xfId="0" applyNumberFormat="1" applyFont="1" applyFill="1" applyBorder="1" applyAlignment="1">
      <alignment wrapText="1"/>
    </xf>
    <xf numFmtId="3" fontId="17" fillId="0" borderId="9" xfId="0" applyNumberFormat="1" applyFont="1" applyBorder="1" applyAlignment="1">
      <alignment vertical="center" wrapText="1"/>
    </xf>
    <xf numFmtId="3" fontId="17" fillId="0" borderId="32" xfId="0" applyNumberFormat="1" applyFont="1" applyBorder="1" applyAlignment="1">
      <alignment vertical="center" wrapText="1"/>
    </xf>
    <xf numFmtId="3" fontId="2" fillId="0" borderId="29" xfId="0" applyNumberFormat="1" applyFont="1" applyFill="1" applyBorder="1" applyAlignment="1">
      <alignment vertical="center" wrapText="1"/>
    </xf>
    <xf numFmtId="3" fontId="2" fillId="0" borderId="6" xfId="0" applyNumberFormat="1" applyFont="1" applyFill="1" applyBorder="1" applyAlignment="1">
      <alignment vertical="center" wrapText="1"/>
    </xf>
    <xf numFmtId="3" fontId="4" fillId="0" borderId="5" xfId="0" applyNumberFormat="1" applyFont="1" applyFill="1" applyBorder="1" applyAlignment="1">
      <alignment horizontal="center" vertical="center" wrapText="1"/>
    </xf>
    <xf numFmtId="3" fontId="4" fillId="0" borderId="5" xfId="0" applyNumberFormat="1" applyFont="1" applyFill="1" applyBorder="1" applyAlignment="1">
      <alignment vertical="center" wrapText="1"/>
    </xf>
    <xf numFmtId="3" fontId="2" fillId="0" borderId="5" xfId="0" applyNumberFormat="1" applyFont="1" applyFill="1" applyBorder="1" applyAlignment="1">
      <alignment vertical="center" wrapText="1"/>
    </xf>
    <xf numFmtId="3" fontId="4" fillId="0" borderId="5" xfId="0" applyNumberFormat="1" applyFont="1" applyFill="1" applyBorder="1" applyAlignment="1">
      <alignment horizontal="right" vertical="center" wrapText="1"/>
    </xf>
    <xf numFmtId="4" fontId="4" fillId="0" borderId="5" xfId="0" applyNumberFormat="1" applyFont="1" applyFill="1" applyBorder="1" applyAlignment="1">
      <alignment horizontal="right" vertical="center" wrapText="1"/>
    </xf>
    <xf numFmtId="3" fontId="2" fillId="0" borderId="0" xfId="0" applyNumberFormat="1" applyFont="1" applyFill="1" applyAlignment="1">
      <alignment vertical="center"/>
    </xf>
    <xf numFmtId="3" fontId="4" fillId="0" borderId="30" xfId="0" applyNumberFormat="1" applyFont="1" applyFill="1" applyBorder="1" applyAlignment="1">
      <alignment horizontal="right" vertical="center" wrapText="1"/>
    </xf>
    <xf numFmtId="3" fontId="2" fillId="0" borderId="0" xfId="0" applyNumberFormat="1" applyFont="1" applyFill="1" applyAlignment="1">
      <alignment vertical="center" wrapText="1"/>
    </xf>
    <xf numFmtId="3" fontId="16" fillId="0" borderId="0" xfId="0" applyNumberFormat="1" applyFont="1" applyFill="1" applyAlignment="1">
      <alignment horizontal="right" vertical="center" wrapText="1"/>
    </xf>
    <xf numFmtId="3" fontId="4" fillId="0" borderId="0" xfId="0" applyNumberFormat="1" applyFont="1" applyFill="1" applyAlignment="1">
      <alignment vertical="center"/>
    </xf>
    <xf numFmtId="3" fontId="69" fillId="0" borderId="3" xfId="0" applyNumberFormat="1" applyFont="1" applyFill="1" applyBorder="1" applyAlignment="1">
      <alignment horizontal="center" vertical="center" wrapText="1"/>
    </xf>
    <xf numFmtId="3" fontId="4" fillId="0" borderId="31" xfId="0" applyNumberFormat="1" applyFont="1" applyFill="1" applyBorder="1" applyAlignment="1">
      <alignment vertical="center" wrapText="1"/>
    </xf>
    <xf numFmtId="4" fontId="4" fillId="0" borderId="31" xfId="0" applyNumberFormat="1" applyFont="1" applyFill="1" applyBorder="1" applyAlignment="1">
      <alignment vertical="center" wrapText="1"/>
    </xf>
    <xf numFmtId="3" fontId="4" fillId="0" borderId="29" xfId="0" applyNumberFormat="1" applyFont="1" applyFill="1" applyBorder="1" applyAlignment="1">
      <alignment horizontal="center" vertical="center" wrapText="1"/>
    </xf>
    <xf numFmtId="3" fontId="4" fillId="0" borderId="29" xfId="0" applyNumberFormat="1" applyFont="1" applyFill="1" applyBorder="1" applyAlignment="1">
      <alignment vertical="center" wrapText="1"/>
    </xf>
    <xf numFmtId="4" fontId="4" fillId="0" borderId="29" xfId="0" applyNumberFormat="1" applyFont="1" applyFill="1" applyBorder="1" applyAlignment="1">
      <alignment vertical="center" wrapText="1"/>
    </xf>
    <xf numFmtId="3" fontId="17" fillId="0" borderId="29" xfId="0" applyNumberFormat="1" applyFont="1" applyFill="1" applyBorder="1" applyAlignment="1">
      <alignment vertical="center" wrapText="1"/>
    </xf>
    <xf numFmtId="4" fontId="2" fillId="0" borderId="29" xfId="0" applyNumberFormat="1" applyFont="1" applyFill="1" applyBorder="1" applyAlignment="1">
      <alignment vertical="center" wrapText="1"/>
    </xf>
    <xf numFmtId="3" fontId="20" fillId="0" borderId="29" xfId="0" applyNumberFormat="1" applyFont="1" applyFill="1" applyBorder="1" applyAlignment="1">
      <alignment vertical="center" wrapText="1"/>
    </xf>
    <xf numFmtId="3" fontId="20" fillId="0" borderId="0" xfId="0" applyNumberFormat="1" applyFont="1" applyFill="1" applyAlignment="1">
      <alignment vertical="center"/>
    </xf>
    <xf numFmtId="3" fontId="26" fillId="0" borderId="29" xfId="0" applyNumberFormat="1" applyFont="1" applyFill="1" applyBorder="1" applyAlignment="1">
      <alignment horizontal="center"/>
    </xf>
    <xf numFmtId="3" fontId="26" fillId="0" borderId="29" xfId="0" applyNumberFormat="1" applyFont="1" applyFill="1" applyBorder="1" applyAlignment="1">
      <alignment wrapText="1"/>
    </xf>
    <xf numFmtId="3" fontId="15" fillId="0" borderId="29" xfId="0" applyNumberFormat="1" applyFont="1" applyFill="1" applyBorder="1" applyAlignment="1">
      <alignment vertical="center" wrapText="1"/>
    </xf>
    <xf numFmtId="3" fontId="4" fillId="0" borderId="30" xfId="0" applyNumberFormat="1" applyFont="1" applyFill="1" applyBorder="1" applyAlignment="1">
      <alignment horizontal="center" vertical="center" wrapText="1"/>
    </xf>
    <xf numFmtId="3" fontId="4" fillId="0" borderId="30" xfId="0" applyNumberFormat="1" applyFont="1" applyFill="1" applyBorder="1" applyAlignment="1">
      <alignment vertical="center" wrapText="1"/>
    </xf>
    <xf numFmtId="3" fontId="2" fillId="0" borderId="30" xfId="0" applyNumberFormat="1" applyFont="1" applyFill="1" applyBorder="1" applyAlignment="1">
      <alignment vertical="center" wrapText="1"/>
    </xf>
    <xf numFmtId="3" fontId="15" fillId="0" borderId="30" xfId="0" applyNumberFormat="1" applyFont="1" applyFill="1" applyBorder="1" applyAlignment="1">
      <alignment vertical="center" wrapText="1"/>
    </xf>
    <xf numFmtId="4" fontId="4" fillId="0" borderId="30" xfId="0" applyNumberFormat="1" applyFont="1" applyFill="1" applyBorder="1" applyAlignment="1">
      <alignment vertical="center" wrapText="1"/>
    </xf>
    <xf numFmtId="3" fontId="17" fillId="0" borderId="0" xfId="0" applyNumberFormat="1" applyFont="1" applyFill="1" applyAlignment="1">
      <alignment horizontal="left" vertical="center" wrapText="1"/>
    </xf>
    <xf numFmtId="4" fontId="2" fillId="0" borderId="33" xfId="0" applyNumberFormat="1" applyFont="1" applyBorder="1" applyAlignment="1">
      <alignment vertical="center" wrapText="1"/>
    </xf>
    <xf numFmtId="3" fontId="2" fillId="0" borderId="6" xfId="0" applyNumberFormat="1" applyFont="1" applyBorder="1" applyAlignment="1">
      <alignment horizontal="center" vertical="center" wrapText="1"/>
    </xf>
    <xf numFmtId="4" fontId="4" fillId="0" borderId="31" xfId="0" applyNumberFormat="1" applyFont="1" applyBorder="1" applyAlignment="1">
      <alignment vertical="center" wrapText="1"/>
    </xf>
    <xf numFmtId="4" fontId="4" fillId="0" borderId="29" xfId="0" applyNumberFormat="1" applyFont="1" applyBorder="1" applyAlignment="1">
      <alignment vertical="center" wrapText="1"/>
    </xf>
    <xf numFmtId="4" fontId="2" fillId="0" borderId="29" xfId="0" applyNumberFormat="1" applyFont="1" applyBorder="1" applyAlignment="1">
      <alignment vertical="center" wrapText="1"/>
    </xf>
    <xf numFmtId="4" fontId="14" fillId="0" borderId="29" xfId="0" applyNumberFormat="1" applyFont="1" applyBorder="1" applyAlignment="1">
      <alignment vertical="center" wrapText="1"/>
    </xf>
    <xf numFmtId="4" fontId="2" fillId="0" borderId="30" xfId="0" applyNumberFormat="1" applyFont="1" applyBorder="1" applyAlignment="1">
      <alignment vertical="center" wrapText="1"/>
    </xf>
    <xf numFmtId="3" fontId="3" fillId="0" borderId="0" xfId="0" applyNumberFormat="1" applyFont="1" applyAlignment="1">
      <alignment horizontal="left" vertical="center" wrapText="1"/>
    </xf>
    <xf numFmtId="3" fontId="1" fillId="0" borderId="0" xfId="0" applyNumberFormat="1" applyFont="1" applyAlignment="1">
      <alignment vertical="center" wrapText="1"/>
    </xf>
    <xf numFmtId="3" fontId="3" fillId="0" borderId="0" xfId="0" applyNumberFormat="1" applyFont="1" applyFill="1" applyAlignment="1">
      <alignment horizontal="right" vertical="center" wrapText="1"/>
    </xf>
    <xf numFmtId="3" fontId="4" fillId="0" borderId="4" xfId="0" applyNumberFormat="1" applyFont="1" applyFill="1" applyBorder="1" applyAlignment="1">
      <alignment horizontal="center" vertical="center" wrapText="1"/>
    </xf>
    <xf numFmtId="3" fontId="4" fillId="0" borderId="4" xfId="0" applyNumberFormat="1" applyFont="1" applyFill="1" applyBorder="1" applyAlignment="1">
      <alignment vertical="center" wrapText="1"/>
    </xf>
    <xf numFmtId="3" fontId="4" fillId="0" borderId="4" xfId="0" applyNumberFormat="1" applyFont="1" applyFill="1" applyBorder="1" applyAlignment="1">
      <alignment horizontal="right" vertical="center" wrapText="1"/>
    </xf>
    <xf numFmtId="4" fontId="4" fillId="0" borderId="4" xfId="0" applyNumberFormat="1" applyFont="1" applyFill="1" applyBorder="1" applyAlignment="1">
      <alignment horizontal="right" vertical="center" wrapText="1"/>
    </xf>
    <xf numFmtId="3" fontId="2" fillId="0" borderId="4" xfId="0" applyNumberFormat="1" applyFont="1" applyFill="1" applyBorder="1" applyAlignment="1">
      <alignment horizontal="center" vertical="center" wrapText="1"/>
    </xf>
    <xf numFmtId="3" fontId="2" fillId="0" borderId="4" xfId="0" applyNumberFormat="1" applyFont="1" applyFill="1" applyBorder="1" applyAlignment="1">
      <alignment vertical="center" wrapText="1"/>
    </xf>
    <xf numFmtId="3" fontId="6" fillId="0" borderId="0" xfId="0" applyNumberFormat="1" applyFont="1" applyFill="1" applyAlignment="1">
      <alignment horizontal="left" vertical="center" wrapText="1"/>
    </xf>
    <xf numFmtId="3" fontId="2" fillId="0" borderId="0" xfId="0" applyNumberFormat="1" applyFont="1" applyFill="1" applyAlignment="1">
      <alignment horizontal="left" vertical="center" wrapText="1"/>
    </xf>
    <xf numFmtId="3" fontId="1" fillId="0" borderId="0" xfId="0" applyNumberFormat="1" applyFont="1" applyFill="1" applyAlignment="1">
      <alignment horizontal="left" vertical="center" wrapText="1"/>
    </xf>
    <xf numFmtId="3" fontId="4" fillId="0" borderId="6" xfId="0" applyNumberFormat="1" applyFont="1" applyFill="1" applyBorder="1" applyAlignment="1">
      <alignment horizontal="center" vertical="center" wrapText="1"/>
    </xf>
    <xf numFmtId="3" fontId="4" fillId="0" borderId="6" xfId="0" applyNumberFormat="1" applyFont="1" applyFill="1" applyBorder="1" applyAlignment="1">
      <alignment vertical="center" wrapText="1"/>
    </xf>
    <xf numFmtId="4" fontId="4" fillId="0" borderId="6" xfId="0" applyNumberFormat="1" applyFont="1" applyFill="1" applyBorder="1" applyAlignment="1">
      <alignment horizontal="right" vertical="center" wrapText="1"/>
    </xf>
    <xf numFmtId="3" fontId="13" fillId="0" borderId="3" xfId="0" applyNumberFormat="1" applyFont="1" applyFill="1" applyBorder="1" applyAlignment="1">
      <alignment horizontal="center" vertical="center" wrapText="1"/>
    </xf>
    <xf numFmtId="3" fontId="2" fillId="0" borderId="0" xfId="0" applyNumberFormat="1" applyFont="1" applyFill="1" applyAlignment="1">
      <alignment horizontal="right" vertical="center"/>
    </xf>
    <xf numFmtId="3" fontId="2" fillId="0" borderId="0" xfId="0" applyNumberFormat="1" applyFont="1" applyFill="1" applyAlignment="1">
      <alignment horizontal="center" vertical="center"/>
    </xf>
    <xf numFmtId="3" fontId="6" fillId="0" borderId="4" xfId="0" applyNumberFormat="1" applyFont="1" applyFill="1" applyBorder="1" applyAlignment="1">
      <alignment vertical="center" wrapText="1"/>
    </xf>
    <xf numFmtId="3" fontId="6" fillId="0" borderId="4" xfId="0" quotePrefix="1" applyNumberFormat="1" applyFont="1" applyFill="1" applyBorder="1" applyAlignment="1">
      <alignment vertical="center" wrapText="1"/>
    </xf>
    <xf numFmtId="3" fontId="14" fillId="0" borderId="4" xfId="0" applyNumberFormat="1" applyFont="1" applyFill="1" applyBorder="1" applyAlignment="1">
      <alignment vertical="center" wrapText="1"/>
    </xf>
    <xf numFmtId="3" fontId="1" fillId="0" borderId="4" xfId="0" applyNumberFormat="1" applyFont="1" applyFill="1" applyBorder="1" applyAlignment="1">
      <alignment horizontal="center" vertical="center" wrapText="1"/>
    </xf>
    <xf numFmtId="3" fontId="1" fillId="0" borderId="4" xfId="0" applyNumberFormat="1" applyFont="1" applyFill="1" applyBorder="1" applyAlignment="1">
      <alignment vertical="center" wrapText="1"/>
    </xf>
    <xf numFmtId="3" fontId="2" fillId="0" borderId="5" xfId="0" applyNumberFormat="1" applyFont="1" applyFill="1" applyBorder="1" applyAlignment="1">
      <alignment horizontal="right" vertical="center" wrapText="1"/>
    </xf>
    <xf numFmtId="3" fontId="2" fillId="2" borderId="0" xfId="0" applyNumberFormat="1" applyFont="1" applyFill="1" applyAlignment="1">
      <alignment vertical="center"/>
    </xf>
    <xf numFmtId="3" fontId="4" fillId="0" borderId="3" xfId="0" applyNumberFormat="1" applyFont="1" applyFill="1" applyBorder="1" applyAlignment="1">
      <alignment horizontal="center" vertical="center" wrapText="1"/>
    </xf>
    <xf numFmtId="3" fontId="2" fillId="0" borderId="4" xfId="0" applyNumberFormat="1" applyFont="1" applyFill="1" applyBorder="1" applyAlignment="1">
      <alignment horizontal="right" vertical="center" wrapText="1"/>
    </xf>
    <xf numFmtId="4" fontId="2" fillId="0" borderId="4" xfId="0" applyNumberFormat="1" applyFont="1" applyFill="1" applyBorder="1" applyAlignment="1">
      <alignment horizontal="right" vertical="center" wrapText="1"/>
    </xf>
    <xf numFmtId="3" fontId="4" fillId="0" borderId="3" xfId="0" applyNumberFormat="1" applyFont="1" applyBorder="1" applyAlignment="1">
      <alignment horizontal="center" vertical="center" wrapText="1"/>
    </xf>
    <xf numFmtId="3" fontId="15" fillId="0" borderId="3" xfId="0" applyNumberFormat="1" applyFont="1" applyFill="1" applyBorder="1" applyAlignment="1">
      <alignment horizontal="center" vertical="center" wrapText="1"/>
    </xf>
    <xf numFmtId="3" fontId="4" fillId="0" borderId="6" xfId="0" applyNumberFormat="1" applyFont="1" applyFill="1" applyBorder="1" applyAlignment="1">
      <alignment horizontal="right" vertical="center" wrapText="1"/>
    </xf>
    <xf numFmtId="3" fontId="4" fillId="0" borderId="31" xfId="0" applyNumberFormat="1" applyFont="1" applyFill="1" applyBorder="1" applyAlignment="1">
      <alignment horizontal="center" vertical="center" wrapText="1"/>
    </xf>
    <xf numFmtId="3" fontId="4" fillId="0" borderId="31" xfId="0" applyNumberFormat="1" applyFont="1" applyFill="1" applyBorder="1" applyAlignment="1">
      <alignment horizontal="right" vertical="center" wrapText="1"/>
    </xf>
    <xf numFmtId="4" fontId="4" fillId="0" borderId="31" xfId="0" applyNumberFormat="1" applyFont="1" applyFill="1" applyBorder="1" applyAlignment="1">
      <alignment horizontal="right" vertical="center" wrapText="1"/>
    </xf>
    <xf numFmtId="3" fontId="4" fillId="0" borderId="29" xfId="0" applyNumberFormat="1" applyFont="1" applyFill="1" applyBorder="1" applyAlignment="1">
      <alignment horizontal="right" vertical="center" wrapText="1"/>
    </xf>
    <xf numFmtId="4" fontId="4" fillId="0" borderId="29" xfId="0" applyNumberFormat="1" applyFont="1" applyFill="1" applyBorder="1" applyAlignment="1">
      <alignment horizontal="right" vertical="center" wrapText="1"/>
    </xf>
    <xf numFmtId="3" fontId="2" fillId="0" borderId="29" xfId="0" applyNumberFormat="1" applyFont="1" applyFill="1" applyBorder="1" applyAlignment="1">
      <alignment horizontal="center" vertical="center" wrapText="1"/>
    </xf>
    <xf numFmtId="3" fontId="2" fillId="0" borderId="29" xfId="0" applyNumberFormat="1" applyFont="1" applyFill="1" applyBorder="1" applyAlignment="1">
      <alignment horizontal="right" vertical="center" wrapText="1"/>
    </xf>
    <xf numFmtId="4" fontId="2" fillId="0" borderId="29" xfId="0" applyNumberFormat="1" applyFont="1" applyFill="1" applyBorder="1" applyAlignment="1">
      <alignment horizontal="right" vertical="center" wrapText="1"/>
    </xf>
    <xf numFmtId="4" fontId="4" fillId="0" borderId="30" xfId="0" applyNumberFormat="1" applyFont="1" applyFill="1" applyBorder="1" applyAlignment="1">
      <alignment horizontal="right" vertical="center" wrapText="1"/>
    </xf>
    <xf numFmtId="3" fontId="2" fillId="0" borderId="34" xfId="0" applyNumberFormat="1" applyFont="1" applyBorder="1" applyAlignment="1">
      <alignment vertical="center" wrapText="1"/>
    </xf>
    <xf numFmtId="3" fontId="2" fillId="0" borderId="35" xfId="0" applyNumberFormat="1" applyFont="1" applyBorder="1" applyAlignment="1">
      <alignment horizontal="center" vertical="center" wrapText="1"/>
    </xf>
    <xf numFmtId="3" fontId="5" fillId="0" borderId="1" xfId="0" applyNumberFormat="1" applyFont="1" applyFill="1" applyBorder="1" applyAlignment="1">
      <alignment horizontal="left" vertical="center" wrapText="1"/>
    </xf>
    <xf numFmtId="3" fontId="4" fillId="0" borderId="3" xfId="0" applyNumberFormat="1" applyFont="1" applyFill="1" applyBorder="1" applyAlignment="1">
      <alignment horizontal="center" vertical="center" wrapText="1"/>
    </xf>
    <xf numFmtId="3" fontId="1" fillId="0" borderId="0" xfId="0" applyNumberFormat="1" applyFont="1" applyFill="1" applyAlignment="1">
      <alignment horizontal="left" vertical="center" wrapText="1"/>
    </xf>
    <xf numFmtId="3" fontId="3" fillId="0" borderId="2" xfId="0" applyNumberFormat="1" applyFont="1" applyFill="1" applyBorder="1" applyAlignment="1">
      <alignment horizontal="center" vertical="center" wrapText="1"/>
    </xf>
    <xf numFmtId="3" fontId="1" fillId="0" borderId="0" xfId="0" applyNumberFormat="1" applyFont="1" applyFill="1" applyAlignment="1">
      <alignment horizontal="center" vertical="center" wrapText="1"/>
    </xf>
    <xf numFmtId="0" fontId="70" fillId="0" borderId="0" xfId="0" applyFont="1" applyFill="1" applyAlignment="1">
      <alignment horizontal="center" vertical="center" wrapText="1"/>
    </xf>
    <xf numFmtId="3" fontId="3" fillId="0" borderId="0" xfId="0" applyNumberFormat="1" applyFont="1" applyFill="1" applyAlignment="1">
      <alignment horizontal="left" vertical="center" wrapText="1"/>
    </xf>
    <xf numFmtId="3" fontId="2" fillId="0" borderId="4" xfId="0" applyNumberFormat="1" applyFont="1" applyFill="1" applyBorder="1" applyAlignment="1">
      <alignment horizontal="right" vertical="center" wrapText="1"/>
    </xf>
    <xf numFmtId="4" fontId="2" fillId="0" borderId="4" xfId="0" applyNumberFormat="1" applyFont="1" applyFill="1" applyBorder="1" applyAlignment="1">
      <alignment horizontal="right" vertical="center" wrapText="1"/>
    </xf>
    <xf numFmtId="3" fontId="3" fillId="0" borderId="0" xfId="0" applyNumberFormat="1" applyFont="1" applyFill="1" applyAlignment="1">
      <alignment horizontal="center" vertical="center" wrapText="1"/>
    </xf>
    <xf numFmtId="3" fontId="3" fillId="0" borderId="2" xfId="0" applyNumberFormat="1" applyFont="1" applyFill="1" applyBorder="1" applyAlignment="1">
      <alignment horizontal="right" vertical="center" wrapText="1"/>
    </xf>
    <xf numFmtId="3" fontId="1" fillId="0" borderId="0" xfId="0" applyNumberFormat="1" applyFont="1" applyAlignment="1">
      <alignment horizontal="center" vertical="center" wrapText="1"/>
    </xf>
    <xf numFmtId="3" fontId="3" fillId="0" borderId="2" xfId="0" applyNumberFormat="1" applyFont="1" applyBorder="1" applyAlignment="1">
      <alignment horizontal="center" vertical="center" wrapText="1"/>
    </xf>
    <xf numFmtId="3" fontId="5" fillId="0" borderId="1" xfId="0" applyNumberFormat="1" applyFont="1" applyBorder="1" applyAlignment="1">
      <alignment horizontal="left" vertical="center" wrapText="1"/>
    </xf>
    <xf numFmtId="3" fontId="1" fillId="0" borderId="0" xfId="0" applyNumberFormat="1" applyFont="1" applyAlignment="1">
      <alignment horizontal="left" vertical="center" wrapText="1"/>
    </xf>
    <xf numFmtId="3" fontId="3" fillId="0" borderId="0" xfId="0" applyNumberFormat="1" applyFont="1" applyAlignment="1">
      <alignment horizontal="center" vertical="center" wrapText="1"/>
    </xf>
    <xf numFmtId="3" fontId="4" fillId="0" borderId="3" xfId="0" applyNumberFormat="1" applyFont="1" applyBorder="1" applyAlignment="1">
      <alignment horizontal="center" vertical="center" wrapText="1"/>
    </xf>
    <xf numFmtId="3" fontId="3" fillId="0" borderId="0" xfId="0" applyNumberFormat="1" applyFont="1" applyAlignment="1">
      <alignment horizontal="left" vertical="center" wrapText="1"/>
    </xf>
    <xf numFmtId="3" fontId="15" fillId="0" borderId="3" xfId="0" applyNumberFormat="1" applyFont="1" applyFill="1" applyBorder="1" applyAlignment="1">
      <alignment horizontal="center" vertical="center" wrapText="1"/>
    </xf>
    <xf numFmtId="3" fontId="16" fillId="0" borderId="0" xfId="0" applyNumberFormat="1" applyFont="1" applyFill="1" applyAlignment="1">
      <alignment horizontal="left" vertical="center" wrapText="1"/>
    </xf>
    <xf numFmtId="3" fontId="15" fillId="0" borderId="0" xfId="0" applyNumberFormat="1" applyFont="1" applyFill="1" applyAlignment="1">
      <alignment horizontal="center" vertical="center" wrapText="1"/>
    </xf>
    <xf numFmtId="3" fontId="16" fillId="0" borderId="0" xfId="0" applyNumberFormat="1" applyFont="1" applyFill="1" applyAlignment="1">
      <alignment horizontal="center" vertical="center" wrapText="1"/>
    </xf>
    <xf numFmtId="3" fontId="16" fillId="0" borderId="2" xfId="0" applyNumberFormat="1" applyFont="1" applyFill="1" applyBorder="1" applyAlignment="1">
      <alignment horizontal="center" vertical="center" wrapText="1"/>
    </xf>
    <xf numFmtId="3" fontId="18" fillId="0" borderId="1" xfId="0" applyNumberFormat="1" applyFont="1" applyFill="1" applyBorder="1" applyAlignment="1">
      <alignment horizontal="left" vertical="center" wrapText="1"/>
    </xf>
    <xf numFmtId="3" fontId="15" fillId="0" borderId="15" xfId="0" applyNumberFormat="1" applyFont="1" applyFill="1" applyBorder="1" applyAlignment="1">
      <alignment horizontal="center" vertical="center" wrapText="1"/>
    </xf>
    <xf numFmtId="3" fontId="15" fillId="0" borderId="12" xfId="0" applyNumberFormat="1" applyFont="1" applyFill="1" applyBorder="1" applyAlignment="1">
      <alignment horizontal="center" vertical="center" wrapText="1"/>
    </xf>
    <xf numFmtId="0" fontId="4" fillId="0" borderId="3" xfId="0" applyFont="1" applyBorder="1" applyAlignment="1">
      <alignment horizontal="center" vertical="center" wrapText="1"/>
    </xf>
    <xf numFmtId="0" fontId="3" fillId="0" borderId="0" xfId="0" applyFont="1" applyAlignment="1">
      <alignment horizontal="left" vertical="center" wrapText="1"/>
    </xf>
    <xf numFmtId="0" fontId="1" fillId="0" borderId="0" xfId="0" applyFont="1" applyAlignment="1">
      <alignment horizontal="center" vertical="center"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2" xfId="0" applyFont="1" applyBorder="1" applyAlignment="1">
      <alignment horizontal="center" vertical="center" wrapText="1"/>
    </xf>
    <xf numFmtId="0" fontId="1" fillId="0" borderId="0" xfId="0" applyFont="1" applyAlignment="1">
      <alignment horizontal="left" vertical="center" wrapText="1"/>
    </xf>
    <xf numFmtId="0" fontId="5" fillId="0" borderId="1" xfId="0" applyFont="1" applyBorder="1" applyAlignment="1">
      <alignment horizontal="left" vertical="center" wrapText="1"/>
    </xf>
    <xf numFmtId="0" fontId="3" fillId="0" borderId="2" xfId="0" applyFont="1" applyBorder="1" applyAlignment="1">
      <alignment horizontal="center" vertical="center" wrapText="1"/>
    </xf>
    <xf numFmtId="3" fontId="3" fillId="0" borderId="0" xfId="0" applyNumberFormat="1" applyFont="1" applyAlignment="1">
      <alignment horizontal="center" wrapText="1"/>
    </xf>
    <xf numFmtId="3" fontId="4" fillId="0" borderId="15" xfId="0" applyNumberFormat="1" applyFont="1" applyBorder="1" applyAlignment="1">
      <alignment horizontal="center" vertical="center" wrapText="1"/>
    </xf>
    <xf numFmtId="3" fontId="4" fillId="0" borderId="16" xfId="0" applyNumberFormat="1" applyFont="1" applyBorder="1" applyAlignment="1">
      <alignment horizontal="center" vertical="center" wrapText="1"/>
    </xf>
    <xf numFmtId="3" fontId="4" fillId="0" borderId="12" xfId="0" applyNumberFormat="1" applyFont="1" applyBorder="1" applyAlignment="1">
      <alignment horizontal="center" vertical="center" wrapText="1"/>
    </xf>
    <xf numFmtId="3" fontId="4" fillId="0" borderId="13" xfId="0" applyNumberFormat="1" applyFont="1" applyBorder="1" applyAlignment="1">
      <alignment horizontal="center" vertical="center" wrapText="1"/>
    </xf>
    <xf numFmtId="3" fontId="4" fillId="0" borderId="18" xfId="0" applyNumberFormat="1" applyFont="1" applyBorder="1" applyAlignment="1">
      <alignment horizontal="center" vertical="center" wrapText="1"/>
    </xf>
    <xf numFmtId="3" fontId="4" fillId="0" borderId="14" xfId="0" applyNumberFormat="1" applyFont="1" applyBorder="1" applyAlignment="1">
      <alignment horizontal="center" vertical="center" wrapText="1"/>
    </xf>
    <xf numFmtId="3" fontId="3" fillId="0" borderId="2" xfId="0" applyNumberFormat="1" applyFont="1" applyBorder="1" applyAlignment="1">
      <alignment horizontal="center" wrapText="1"/>
    </xf>
    <xf numFmtId="3" fontId="1" fillId="0" borderId="0" xfId="0" applyNumberFormat="1" applyFont="1" applyAlignment="1">
      <alignment horizontal="center" wrapText="1"/>
    </xf>
    <xf numFmtId="3" fontId="1" fillId="0" borderId="0" xfId="0" applyNumberFormat="1" applyFont="1" applyAlignment="1">
      <alignment horizontal="left" wrapText="1"/>
    </xf>
    <xf numFmtId="3" fontId="5" fillId="0" borderId="1" xfId="0" applyNumberFormat="1" applyFont="1" applyBorder="1" applyAlignment="1">
      <alignment horizontal="left" wrapText="1"/>
    </xf>
    <xf numFmtId="3" fontId="3" fillId="0" borderId="2" xfId="0" applyNumberFormat="1" applyFont="1" applyBorder="1" applyAlignment="1">
      <alignment horizontal="right" vertical="center" wrapText="1"/>
    </xf>
    <xf numFmtId="3" fontId="5" fillId="0" borderId="0" xfId="0" applyNumberFormat="1" applyFont="1" applyBorder="1" applyAlignment="1">
      <alignment horizontal="center" vertical="center" wrapText="1"/>
    </xf>
    <xf numFmtId="3" fontId="5" fillId="0" borderId="1" xfId="0" applyNumberFormat="1" applyFont="1" applyBorder="1" applyAlignment="1">
      <alignment horizontal="center" vertical="center" wrapText="1"/>
    </xf>
    <xf numFmtId="0" fontId="7" fillId="0" borderId="0" xfId="0" applyFont="1" applyAlignment="1">
      <alignment horizontal="center" vertical="center" wrapText="1"/>
    </xf>
    <xf numFmtId="0" fontId="9" fillId="0" borderId="2" xfId="0" applyFont="1" applyBorder="1" applyAlignment="1">
      <alignment horizontal="center" vertical="center" wrapText="1"/>
    </xf>
    <xf numFmtId="0" fontId="9" fillId="0" borderId="0" xfId="0" applyFont="1" applyAlignment="1">
      <alignment horizontal="left" vertical="center" wrapText="1"/>
    </xf>
    <xf numFmtId="0" fontId="11" fillId="0" borderId="1" xfId="0" applyFont="1" applyBorder="1" applyAlignment="1">
      <alignment horizontal="left" vertical="center" wrapText="1"/>
    </xf>
    <xf numFmtId="0" fontId="15" fillId="0" borderId="0" xfId="0" applyFont="1" applyAlignment="1">
      <alignment horizontal="center" vertical="center" wrapText="1"/>
    </xf>
    <xf numFmtId="0" fontId="1" fillId="0" borderId="0" xfId="0" applyFont="1" applyAlignment="1">
      <alignment horizontal="center" wrapText="1"/>
    </xf>
    <xf numFmtId="0" fontId="3" fillId="0" borderId="0" xfId="0" applyFont="1" applyAlignment="1">
      <alignment horizontal="center" wrapText="1"/>
    </xf>
    <xf numFmtId="0" fontId="3" fillId="0" borderId="2" xfId="0" applyFont="1" applyBorder="1" applyAlignment="1">
      <alignment horizontal="center" wrapText="1"/>
    </xf>
    <xf numFmtId="3" fontId="15" fillId="0" borderId="9" xfId="0" applyNumberFormat="1" applyFont="1" applyFill="1" applyBorder="1" applyAlignment="1">
      <alignment horizontal="left"/>
    </xf>
    <xf numFmtId="3" fontId="15" fillId="0" borderId="9" xfId="0" applyNumberFormat="1" applyFont="1" applyFill="1" applyBorder="1" applyAlignment="1">
      <alignment horizontal="left" wrapText="1"/>
    </xf>
    <xf numFmtId="0" fontId="16" fillId="0" borderId="0" xfId="0" applyFont="1" applyAlignment="1">
      <alignment horizontal="center"/>
    </xf>
    <xf numFmtId="0" fontId="15" fillId="0" borderId="0" xfId="0" applyFont="1" applyAlignment="1">
      <alignment horizontal="center"/>
    </xf>
    <xf numFmtId="3" fontId="18" fillId="0" borderId="9" xfId="1" applyNumberFormat="1" applyFont="1" applyFill="1" applyBorder="1" applyAlignment="1">
      <alignment horizontal="center" vertical="center"/>
    </xf>
    <xf numFmtId="3" fontId="15" fillId="0" borderId="9" xfId="1" applyNumberFormat="1" applyFont="1" applyFill="1" applyBorder="1" applyAlignment="1">
      <alignment horizontal="left" vertical="center"/>
    </xf>
    <xf numFmtId="3" fontId="15" fillId="0" borderId="9" xfId="2" applyNumberFormat="1" applyFont="1" applyFill="1" applyBorder="1" applyAlignment="1">
      <alignment horizontal="left" vertical="center" wrapText="1"/>
    </xf>
    <xf numFmtId="3" fontId="15" fillId="0" borderId="9" xfId="2" applyNumberFormat="1" applyFont="1" applyFill="1" applyBorder="1" applyAlignment="1">
      <alignment horizontal="left"/>
    </xf>
    <xf numFmtId="0" fontId="31" fillId="4" borderId="20" xfId="0" applyFont="1" applyFill="1" applyBorder="1" applyAlignment="1">
      <alignment horizontal="center" vertical="center" wrapText="1"/>
    </xf>
    <xf numFmtId="0" fontId="31" fillId="4" borderId="25" xfId="0" applyFont="1" applyFill="1" applyBorder="1" applyAlignment="1">
      <alignment horizontal="center" vertical="center" wrapText="1"/>
    </xf>
    <xf numFmtId="0" fontId="31" fillId="4" borderId="28" xfId="0" applyFont="1" applyFill="1" applyBorder="1" applyAlignment="1">
      <alignment horizontal="center" vertical="center" wrapText="1"/>
    </xf>
    <xf numFmtId="0" fontId="31" fillId="4" borderId="20" xfId="0" applyFont="1" applyFill="1" applyBorder="1" applyAlignment="1">
      <alignment horizontal="center" vertical="center"/>
    </xf>
    <xf numFmtId="0" fontId="31" fillId="4" borderId="25" xfId="0" applyFont="1" applyFill="1" applyBorder="1" applyAlignment="1">
      <alignment horizontal="center" vertical="center"/>
    </xf>
    <xf numFmtId="0" fontId="31" fillId="4" borderId="28" xfId="0" applyFont="1" applyFill="1" applyBorder="1" applyAlignment="1">
      <alignment horizontal="center" vertical="center"/>
    </xf>
    <xf numFmtId="0" fontId="27" fillId="4" borderId="0" xfId="0" applyFont="1" applyFill="1" applyBorder="1" applyAlignment="1">
      <alignment horizontal="center" vertical="center"/>
    </xf>
    <xf numFmtId="0" fontId="29" fillId="4" borderId="0" xfId="0" applyFont="1" applyFill="1" applyBorder="1" applyAlignment="1">
      <alignment horizontal="center" vertical="center"/>
    </xf>
    <xf numFmtId="0" fontId="29" fillId="4" borderId="19" xfId="3" applyFont="1" applyFill="1" applyBorder="1" applyAlignment="1">
      <alignment horizontal="right" vertical="center"/>
    </xf>
    <xf numFmtId="0" fontId="31" fillId="4" borderId="21" xfId="4" applyFont="1" applyFill="1" applyBorder="1" applyAlignment="1">
      <alignment horizontal="center" vertical="center" wrapText="1"/>
    </xf>
    <xf numFmtId="0" fontId="31" fillId="4" borderId="21" xfId="3" applyFont="1" applyFill="1" applyBorder="1" applyAlignment="1">
      <alignment horizontal="center" vertical="center" wrapText="1"/>
    </xf>
    <xf numFmtId="0" fontId="31" fillId="4" borderId="22" xfId="0" applyFont="1" applyFill="1" applyBorder="1" applyAlignment="1">
      <alignment horizontal="center" vertical="center" wrapText="1"/>
    </xf>
    <xf numFmtId="0" fontId="31" fillId="4" borderId="23" xfId="0" applyFont="1" applyFill="1" applyBorder="1" applyAlignment="1">
      <alignment horizontal="center" vertical="center" wrapText="1"/>
    </xf>
    <xf numFmtId="0" fontId="31" fillId="4" borderId="24" xfId="0" applyFont="1" applyFill="1" applyBorder="1" applyAlignment="1">
      <alignment horizontal="center" vertical="center" wrapText="1"/>
    </xf>
    <xf numFmtId="0" fontId="31" fillId="4" borderId="26" xfId="0" applyFont="1" applyFill="1" applyBorder="1" applyAlignment="1">
      <alignment horizontal="center" vertical="center" wrapText="1"/>
    </xf>
    <xf numFmtId="0" fontId="31" fillId="4" borderId="19" xfId="0" applyFont="1" applyFill="1" applyBorder="1" applyAlignment="1">
      <alignment horizontal="center" vertical="center" wrapText="1"/>
    </xf>
    <xf numFmtId="0" fontId="31" fillId="4" borderId="27" xfId="0" applyFont="1" applyFill="1" applyBorder="1" applyAlignment="1">
      <alignment horizontal="center" vertical="center" wrapText="1"/>
    </xf>
    <xf numFmtId="0" fontId="31" fillId="4" borderId="21" xfId="5" applyFont="1" applyFill="1" applyBorder="1" applyAlignment="1">
      <alignment horizontal="center" vertical="center" wrapText="1"/>
    </xf>
    <xf numFmtId="0" fontId="31" fillId="4" borderId="21" xfId="0" applyFont="1" applyFill="1" applyBorder="1" applyAlignment="1">
      <alignment horizontal="center" vertical="center" wrapText="1"/>
    </xf>
  </cellXfs>
  <cellStyles count="9">
    <cellStyle name="Comma 2" xfId="6"/>
    <cellStyle name="Normal" xfId="0" builtinId="0"/>
    <cellStyle name="Normal 10" xfId="8"/>
    <cellStyle name="Normal 2 2" xfId="3"/>
    <cellStyle name="Normal 3 2" xfId="4"/>
    <cellStyle name="Normal_Bieu mau (CV )" xfId="7"/>
    <cellStyle name="Normal_MAU BIEU CHINH Sua bieu 06 va 01b va 02b.TT86(30.7.2014)" xfId="5"/>
    <cellStyle name="Normal_Sheet1" xfId="2"/>
    <cellStyle name="Normal_Thuyet minh bo sung doan kiem toan"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508</xdr:row>
      <xdr:rowOff>0</xdr:rowOff>
    </xdr:from>
    <xdr:to>
      <xdr:col>0</xdr:col>
      <xdr:colOff>304800</xdr:colOff>
      <xdr:row>509</xdr:row>
      <xdr:rowOff>104775</xdr:rowOff>
    </xdr:to>
    <xdr:sp macro="" textlink="">
      <xdr:nvSpPr>
        <xdr:cNvPr id="1025" name="AutoShape 1" descr="https://thuvienphapluat.vn/Images/new.gif"/>
        <xdr:cNvSpPr>
          <a:spLocks noChangeAspect="1" noChangeArrowheads="1"/>
        </xdr:cNvSpPr>
      </xdr:nvSpPr>
      <xdr:spPr bwMode="auto">
        <a:xfrm>
          <a:off x="0" y="365779050"/>
          <a:ext cx="304800" cy="304800"/>
        </a:xfrm>
        <a:prstGeom prst="rect">
          <a:avLst/>
        </a:prstGeom>
        <a:noFill/>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am2019/QUYET%20TOAN%202018/TO%20TRINH%20QUYET%20TOAN%202018/QUYET%20TOAN%20NS&#272;P.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48"/>
      <sheetName val="49"/>
      <sheetName val="50"/>
      <sheetName val="51"/>
      <sheetName val="52"/>
      <sheetName val="53"/>
      <sheetName val="54"/>
      <sheetName val="58"/>
      <sheetName val="59"/>
      <sheetName val="60"/>
      <sheetName val="61"/>
      <sheetName val="55(DT)"/>
      <sheetName val="56"/>
      <sheetName val="57"/>
      <sheetName val="62"/>
      <sheetName val="63"/>
      <sheetName val="64"/>
      <sheetName val="Sheet1"/>
      <sheetName val="Sheet2"/>
      <sheetName val="Sheet3"/>
    </sheetNames>
    <sheetDataSet>
      <sheetData sheetId="0"/>
      <sheetData sheetId="1"/>
      <sheetData sheetId="2">
        <row r="76">
          <cell r="E76">
            <v>3309</v>
          </cell>
        </row>
        <row r="77">
          <cell r="E77">
            <v>20315</v>
          </cell>
        </row>
        <row r="79">
          <cell r="E79">
            <v>1044369</v>
          </cell>
        </row>
        <row r="80">
          <cell r="E80">
            <v>1707622</v>
          </cell>
        </row>
      </sheetData>
      <sheetData sheetId="3">
        <row r="9">
          <cell r="C9">
            <v>3383958</v>
          </cell>
          <cell r="D9">
            <v>3228658</v>
          </cell>
        </row>
        <row r="19">
          <cell r="C19">
            <v>6397357</v>
          </cell>
          <cell r="D19">
            <v>6810688</v>
          </cell>
        </row>
        <row r="23">
          <cell r="C23">
            <v>0</v>
          </cell>
          <cell r="D23">
            <v>145</v>
          </cell>
        </row>
        <row r="24">
          <cell r="C24">
            <v>1000</v>
          </cell>
          <cell r="D24">
            <v>1000</v>
          </cell>
        </row>
        <row r="25">
          <cell r="C25">
            <v>179870</v>
          </cell>
        </row>
        <row r="26">
          <cell r="C26">
            <v>241534</v>
          </cell>
        </row>
        <row r="28">
          <cell r="C28">
            <v>0</v>
          </cell>
        </row>
        <row r="31">
          <cell r="C31">
            <v>0</v>
          </cell>
        </row>
        <row r="34">
          <cell r="D34">
            <v>2783761</v>
          </cell>
        </row>
        <row r="35">
          <cell r="D35">
            <v>15257</v>
          </cell>
        </row>
      </sheetData>
      <sheetData sheetId="4">
        <row r="12">
          <cell r="C12">
            <v>2901405</v>
          </cell>
          <cell r="D12">
            <v>2245913</v>
          </cell>
        </row>
        <row r="27">
          <cell r="C27">
            <v>2260</v>
          </cell>
          <cell r="D27">
            <v>128</v>
          </cell>
        </row>
        <row r="28">
          <cell r="C28">
            <v>1873892</v>
          </cell>
          <cell r="D28">
            <v>2076324</v>
          </cell>
        </row>
        <row r="29">
          <cell r="C29">
            <v>514268</v>
          </cell>
          <cell r="D29">
            <v>563092</v>
          </cell>
        </row>
        <row r="30">
          <cell r="C30">
            <v>30813</v>
          </cell>
          <cell r="D30">
            <v>15400</v>
          </cell>
        </row>
        <row r="43">
          <cell r="C43">
            <v>1000</v>
          </cell>
          <cell r="D43">
            <v>1000</v>
          </cell>
        </row>
        <row r="44">
          <cell r="C44">
            <v>85858</v>
          </cell>
        </row>
        <row r="45">
          <cell r="C45">
            <v>211631</v>
          </cell>
        </row>
        <row r="46">
          <cell r="C46">
            <v>91334</v>
          </cell>
        </row>
        <row r="47">
          <cell r="E47">
            <v>2304846</v>
          </cell>
        </row>
        <row r="48">
          <cell r="E48">
            <v>15257</v>
          </cell>
        </row>
      </sheetData>
      <sheetData sheetId="5"/>
      <sheetData sheetId="6"/>
      <sheetData sheetId="7"/>
      <sheetData sheetId="8">
        <row r="10">
          <cell r="K10">
            <v>4501420.523</v>
          </cell>
          <cell r="L10">
            <v>3121630</v>
          </cell>
        </row>
      </sheetData>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F508"/>
  <sheetViews>
    <sheetView topLeftCell="A25" workbookViewId="0">
      <selection activeCell="K6" sqref="K6:K8"/>
    </sheetView>
  </sheetViews>
  <sheetFormatPr defaultRowHeight="15.75"/>
  <cols>
    <col min="1" max="1" width="6.85546875" style="256" customWidth="1"/>
    <col min="2" max="2" width="40.42578125" style="256" customWidth="1"/>
    <col min="3" max="3" width="11.7109375" style="256" customWidth="1"/>
    <col min="4" max="4" width="12" style="256" bestFit="1" customWidth="1"/>
    <col min="5" max="5" width="12" style="311" hidden="1" customWidth="1"/>
    <col min="6" max="6" width="10.7109375" style="256" customWidth="1"/>
    <col min="7" max="16384" width="9.140625" style="256"/>
  </cols>
  <sheetData>
    <row r="1" spans="1:6" ht="21" customHeight="1">
      <c r="A1" s="331" t="s">
        <v>1406</v>
      </c>
      <c r="B1" s="331"/>
      <c r="C1" s="331"/>
      <c r="D1" s="333" t="s">
        <v>1407</v>
      </c>
      <c r="E1" s="333"/>
      <c r="F1" s="333"/>
    </row>
    <row r="2" spans="1:6" ht="25.5" customHeight="1">
      <c r="A2" s="333" t="s">
        <v>1418</v>
      </c>
      <c r="B2" s="333"/>
      <c r="C2" s="333"/>
      <c r="D2" s="333"/>
      <c r="E2" s="333"/>
      <c r="F2" s="333"/>
    </row>
    <row r="3" spans="1:6">
      <c r="A3" s="334" t="s">
        <v>1416</v>
      </c>
      <c r="B3" s="334"/>
      <c r="C3" s="334"/>
      <c r="D3" s="334"/>
      <c r="E3" s="334"/>
      <c r="F3" s="334"/>
    </row>
    <row r="4" spans="1:6" ht="15.75" customHeight="1">
      <c r="A4" s="289"/>
      <c r="D4" s="332" t="s">
        <v>1</v>
      </c>
      <c r="E4" s="332"/>
      <c r="F4" s="332"/>
    </row>
    <row r="5" spans="1:6">
      <c r="A5" s="330" t="s">
        <v>2</v>
      </c>
      <c r="B5" s="330" t="s">
        <v>1393</v>
      </c>
      <c r="C5" s="330" t="s">
        <v>3</v>
      </c>
      <c r="D5" s="330" t="s">
        <v>4</v>
      </c>
      <c r="E5" s="330" t="s">
        <v>5</v>
      </c>
      <c r="F5" s="330"/>
    </row>
    <row r="6" spans="1:6" ht="31.5" customHeight="1">
      <c r="A6" s="330"/>
      <c r="B6" s="330"/>
      <c r="C6" s="330"/>
      <c r="D6" s="330"/>
      <c r="E6" s="312" t="s">
        <v>6</v>
      </c>
      <c r="F6" s="312" t="s">
        <v>1414</v>
      </c>
    </row>
    <row r="7" spans="1:6">
      <c r="A7" s="302" t="s">
        <v>7</v>
      </c>
      <c r="B7" s="302" t="s">
        <v>8</v>
      </c>
      <c r="C7" s="302">
        <v>1</v>
      </c>
      <c r="D7" s="302">
        <v>2</v>
      </c>
      <c r="E7" s="302" t="s">
        <v>9</v>
      </c>
      <c r="F7" s="302" t="s">
        <v>128</v>
      </c>
    </row>
    <row r="8" spans="1:6" s="260" customFormat="1">
      <c r="A8" s="299" t="s">
        <v>7</v>
      </c>
      <c r="B8" s="300" t="s">
        <v>10</v>
      </c>
      <c r="C8" s="300">
        <f>C9+C12+C15+C16+C17</f>
        <v>10266719</v>
      </c>
      <c r="D8" s="300">
        <f>D9+D12+D15+D16+D17+D18+D19</f>
        <v>14040950</v>
      </c>
      <c r="E8" s="317">
        <f>D8-C8</f>
        <v>3774231</v>
      </c>
      <c r="F8" s="301">
        <f>D8/C8*100</f>
        <v>136.76180287003083</v>
      </c>
    </row>
    <row r="9" spans="1:6" s="260" customFormat="1">
      <c r="A9" s="290" t="s">
        <v>11</v>
      </c>
      <c r="B9" s="291" t="s">
        <v>12</v>
      </c>
      <c r="C9" s="291">
        <f>C10+C11</f>
        <v>7089400</v>
      </c>
      <c r="D9" s="291">
        <f>D10+D11</f>
        <v>7878999</v>
      </c>
      <c r="E9" s="292">
        <f t="shared" ref="E9:E41" si="0">D9-C9</f>
        <v>789599</v>
      </c>
      <c r="F9" s="293">
        <f t="shared" ref="F9:F40" si="1">D9/C9*100</f>
        <v>111.13774085254042</v>
      </c>
    </row>
    <row r="10" spans="1:6">
      <c r="A10" s="294" t="s">
        <v>13</v>
      </c>
      <c r="B10" s="295" t="s">
        <v>14</v>
      </c>
      <c r="C10" s="295">
        <v>2365700</v>
      </c>
      <c r="D10" s="295">
        <v>2734192</v>
      </c>
      <c r="E10" s="313">
        <f t="shared" si="0"/>
        <v>368492</v>
      </c>
      <c r="F10" s="314">
        <f t="shared" si="1"/>
        <v>115.57644671767342</v>
      </c>
    </row>
    <row r="11" spans="1:6" ht="31.5">
      <c r="A11" s="294" t="s">
        <v>13</v>
      </c>
      <c r="B11" s="295" t="s">
        <v>15</v>
      </c>
      <c r="C11" s="295">
        <v>4723700</v>
      </c>
      <c r="D11" s="295">
        <v>5144807</v>
      </c>
      <c r="E11" s="313">
        <f t="shared" si="0"/>
        <v>421107</v>
      </c>
      <c r="F11" s="314">
        <f t="shared" si="1"/>
        <v>108.91477020132523</v>
      </c>
    </row>
    <row r="12" spans="1:6" s="260" customFormat="1">
      <c r="A12" s="290" t="s">
        <v>16</v>
      </c>
      <c r="B12" s="291" t="s">
        <v>17</v>
      </c>
      <c r="C12" s="291">
        <f>C13+C14</f>
        <v>3177319</v>
      </c>
      <c r="D12" s="291">
        <f>D13+D14</f>
        <v>3386336</v>
      </c>
      <c r="E12" s="292">
        <f t="shared" si="0"/>
        <v>209017</v>
      </c>
      <c r="F12" s="293">
        <f t="shared" si="1"/>
        <v>106.57840777082816</v>
      </c>
    </row>
    <row r="13" spans="1:6">
      <c r="A13" s="294">
        <v>1</v>
      </c>
      <c r="B13" s="295" t="s">
        <v>18</v>
      </c>
      <c r="C13" s="295">
        <v>1904237</v>
      </c>
      <c r="D13" s="295">
        <f>C13</f>
        <v>1904237</v>
      </c>
      <c r="E13" s="313">
        <f t="shared" si="0"/>
        <v>0</v>
      </c>
      <c r="F13" s="314">
        <f t="shared" si="1"/>
        <v>100</v>
      </c>
    </row>
    <row r="14" spans="1:6">
      <c r="A14" s="294">
        <v>2</v>
      </c>
      <c r="B14" s="295" t="s">
        <v>19</v>
      </c>
      <c r="C14" s="295">
        <v>1273082</v>
      </c>
      <c r="D14" s="295">
        <f>1459102+22997</f>
        <v>1482099</v>
      </c>
      <c r="E14" s="313">
        <f t="shared" si="0"/>
        <v>209017</v>
      </c>
      <c r="F14" s="314">
        <f t="shared" si="1"/>
        <v>116.41818830208894</v>
      </c>
    </row>
    <row r="15" spans="1:6" s="260" customFormat="1">
      <c r="A15" s="290" t="s">
        <v>20</v>
      </c>
      <c r="B15" s="291" t="s">
        <v>21</v>
      </c>
      <c r="C15" s="291"/>
      <c r="D15" s="291"/>
      <c r="E15" s="292">
        <f t="shared" si="0"/>
        <v>0</v>
      </c>
      <c r="F15" s="293"/>
    </row>
    <row r="16" spans="1:6" s="260" customFormat="1">
      <c r="A16" s="290" t="s">
        <v>22</v>
      </c>
      <c r="B16" s="291" t="s">
        <v>23</v>
      </c>
      <c r="C16" s="291"/>
      <c r="D16" s="291">
        <f>'[1]50'!E79</f>
        <v>1044369</v>
      </c>
      <c r="E16" s="292">
        <f>D16-C16</f>
        <v>1044369</v>
      </c>
      <c r="F16" s="293"/>
    </row>
    <row r="17" spans="1:6" s="260" customFormat="1" ht="31.5">
      <c r="A17" s="290" t="s">
        <v>24</v>
      </c>
      <c r="B17" s="291" t="s">
        <v>25</v>
      </c>
      <c r="C17" s="291"/>
      <c r="D17" s="291">
        <f>'[1]50'!E80</f>
        <v>1707622</v>
      </c>
      <c r="E17" s="292">
        <f t="shared" si="0"/>
        <v>1707622</v>
      </c>
      <c r="F17" s="293"/>
    </row>
    <row r="18" spans="1:6" s="260" customFormat="1">
      <c r="A18" s="290" t="s">
        <v>141</v>
      </c>
      <c r="B18" s="291" t="s">
        <v>116</v>
      </c>
      <c r="C18" s="291"/>
      <c r="D18" s="291">
        <f>'[1]50'!E76</f>
        <v>3309</v>
      </c>
      <c r="E18" s="292">
        <f t="shared" si="0"/>
        <v>3309</v>
      </c>
      <c r="F18" s="293"/>
    </row>
    <row r="19" spans="1:6" s="260" customFormat="1">
      <c r="A19" s="290" t="s">
        <v>192</v>
      </c>
      <c r="B19" s="291" t="s">
        <v>354</v>
      </c>
      <c r="C19" s="291"/>
      <c r="D19" s="291">
        <f>'[1]50'!E77</f>
        <v>20315</v>
      </c>
      <c r="E19" s="292">
        <f t="shared" si="0"/>
        <v>20315</v>
      </c>
      <c r="F19" s="293"/>
    </row>
    <row r="20" spans="1:6" s="260" customFormat="1">
      <c r="A20" s="290" t="s">
        <v>8</v>
      </c>
      <c r="B20" s="291" t="s">
        <v>26</v>
      </c>
      <c r="C20" s="291">
        <f>C21+C28+C31</f>
        <v>10203719</v>
      </c>
      <c r="D20" s="291">
        <f>D21+D28+D31+D32</f>
        <v>12839509</v>
      </c>
      <c r="E20" s="292">
        <f t="shared" si="0"/>
        <v>2635790</v>
      </c>
      <c r="F20" s="293">
        <f t="shared" si="1"/>
        <v>125.83166000553328</v>
      </c>
    </row>
    <row r="21" spans="1:6" s="260" customFormat="1">
      <c r="A21" s="290" t="s">
        <v>11</v>
      </c>
      <c r="B21" s="291" t="s">
        <v>27</v>
      </c>
      <c r="C21" s="291">
        <f>SUM(C22:C27)</f>
        <v>10203719</v>
      </c>
      <c r="D21" s="291">
        <f>SUM(D22:D27)</f>
        <v>10040491</v>
      </c>
      <c r="E21" s="292">
        <f t="shared" si="0"/>
        <v>-163228</v>
      </c>
      <c r="F21" s="293">
        <f t="shared" si="1"/>
        <v>98.400308750172357</v>
      </c>
    </row>
    <row r="22" spans="1:6">
      <c r="A22" s="294">
        <v>1</v>
      </c>
      <c r="B22" s="295" t="s">
        <v>28</v>
      </c>
      <c r="C22" s="295">
        <f>'[1]51'!C9</f>
        <v>3383958</v>
      </c>
      <c r="D22" s="295">
        <f>'[1]51'!D9</f>
        <v>3228658</v>
      </c>
      <c r="E22" s="313">
        <f t="shared" si="0"/>
        <v>-155300</v>
      </c>
      <c r="F22" s="314">
        <f t="shared" si="1"/>
        <v>95.410699541779181</v>
      </c>
    </row>
    <row r="23" spans="1:6">
      <c r="A23" s="294">
        <v>2</v>
      </c>
      <c r="B23" s="295" t="s">
        <v>29</v>
      </c>
      <c r="C23" s="295">
        <f>'[1]51'!C19</f>
        <v>6397357</v>
      </c>
      <c r="D23" s="295">
        <f>'[1]51'!D19</f>
        <v>6810688</v>
      </c>
      <c r="E23" s="313">
        <f t="shared" si="0"/>
        <v>413331</v>
      </c>
      <c r="F23" s="314">
        <f t="shared" si="1"/>
        <v>106.46096505166118</v>
      </c>
    </row>
    <row r="24" spans="1:6" ht="31.5">
      <c r="A24" s="294">
        <v>3</v>
      </c>
      <c r="B24" s="295" t="s">
        <v>30</v>
      </c>
      <c r="C24" s="295">
        <f>'[1]51'!C23</f>
        <v>0</v>
      </c>
      <c r="D24" s="295">
        <f>'[1]51'!D23</f>
        <v>145</v>
      </c>
      <c r="E24" s="313">
        <f t="shared" si="0"/>
        <v>145</v>
      </c>
      <c r="F24" s="314"/>
    </row>
    <row r="25" spans="1:6">
      <c r="A25" s="294">
        <v>4</v>
      </c>
      <c r="B25" s="295" t="s">
        <v>31</v>
      </c>
      <c r="C25" s="295">
        <f>'[1]51'!C24</f>
        <v>1000</v>
      </c>
      <c r="D25" s="295">
        <f>'[1]51'!D24</f>
        <v>1000</v>
      </c>
      <c r="E25" s="313">
        <f t="shared" si="0"/>
        <v>0</v>
      </c>
      <c r="F25" s="314">
        <f t="shared" si="1"/>
        <v>100</v>
      </c>
    </row>
    <row r="26" spans="1:6">
      <c r="A26" s="294">
        <v>5</v>
      </c>
      <c r="B26" s="295" t="s">
        <v>32</v>
      </c>
      <c r="C26" s="295">
        <f>'[1]51'!C25</f>
        <v>179870</v>
      </c>
      <c r="D26" s="295"/>
      <c r="E26" s="313">
        <f t="shared" si="0"/>
        <v>-179870</v>
      </c>
      <c r="F26" s="314">
        <f t="shared" si="1"/>
        <v>0</v>
      </c>
    </row>
    <row r="27" spans="1:6">
      <c r="A27" s="294">
        <v>6</v>
      </c>
      <c r="B27" s="295" t="s">
        <v>33</v>
      </c>
      <c r="C27" s="295">
        <f>'[1]51'!C26</f>
        <v>241534</v>
      </c>
      <c r="D27" s="295"/>
      <c r="E27" s="313">
        <f t="shared" si="0"/>
        <v>-241534</v>
      </c>
      <c r="F27" s="314"/>
    </row>
    <row r="28" spans="1:6" s="260" customFormat="1">
      <c r="A28" s="290" t="s">
        <v>16</v>
      </c>
      <c r="B28" s="291" t="s">
        <v>34</v>
      </c>
      <c r="C28" s="291">
        <f>SUM(C29:C30)</f>
        <v>0</v>
      </c>
      <c r="D28" s="291">
        <f>SUM(D29:D30)</f>
        <v>0</v>
      </c>
      <c r="E28" s="292">
        <f t="shared" si="0"/>
        <v>0</v>
      </c>
      <c r="F28" s="293"/>
    </row>
    <row r="29" spans="1:6" hidden="1">
      <c r="A29" s="294">
        <v>1</v>
      </c>
      <c r="B29" s="295" t="s">
        <v>35</v>
      </c>
      <c r="C29" s="295">
        <f>'[1]51'!C28</f>
        <v>0</v>
      </c>
      <c r="D29" s="295"/>
      <c r="E29" s="313">
        <f t="shared" si="0"/>
        <v>0</v>
      </c>
      <c r="F29" s="314" t="e">
        <f t="shared" si="1"/>
        <v>#DIV/0!</v>
      </c>
    </row>
    <row r="30" spans="1:6" s="260" customFormat="1" hidden="1">
      <c r="A30" s="294">
        <v>2</v>
      </c>
      <c r="B30" s="295" t="s">
        <v>36</v>
      </c>
      <c r="C30" s="295">
        <f>'[1]51'!C31</f>
        <v>0</v>
      </c>
      <c r="D30" s="295"/>
      <c r="E30" s="313">
        <f t="shared" si="0"/>
        <v>0</v>
      </c>
      <c r="F30" s="314" t="e">
        <f t="shared" si="1"/>
        <v>#DIV/0!</v>
      </c>
    </row>
    <row r="31" spans="1:6" s="260" customFormat="1">
      <c r="A31" s="290" t="s">
        <v>20</v>
      </c>
      <c r="B31" s="291" t="s">
        <v>37</v>
      </c>
      <c r="C31" s="291"/>
      <c r="D31" s="291">
        <f>'[1]51'!D34</f>
        <v>2783761</v>
      </c>
      <c r="E31" s="292">
        <f t="shared" si="0"/>
        <v>2783761</v>
      </c>
      <c r="F31" s="293"/>
    </row>
    <row r="32" spans="1:6" s="260" customFormat="1">
      <c r="A32" s="290" t="s">
        <v>22</v>
      </c>
      <c r="B32" s="291" t="s">
        <v>353</v>
      </c>
      <c r="C32" s="291"/>
      <c r="D32" s="291">
        <f>'[1]51'!D35</f>
        <v>15257</v>
      </c>
      <c r="E32" s="292"/>
      <c r="F32" s="293"/>
    </row>
    <row r="33" spans="1:6" s="260" customFormat="1">
      <c r="A33" s="290" t="s">
        <v>38</v>
      </c>
      <c r="B33" s="291" t="s">
        <v>1415</v>
      </c>
      <c r="C33" s="291">
        <f>C8-C20</f>
        <v>63000</v>
      </c>
      <c r="D33" s="291">
        <f>D8-D20</f>
        <v>1201441</v>
      </c>
      <c r="E33" s="292">
        <f t="shared" si="0"/>
        <v>1138441</v>
      </c>
      <c r="F33" s="293">
        <f t="shared" si="1"/>
        <v>1907.0492063492065</v>
      </c>
    </row>
    <row r="34" spans="1:6" s="260" customFormat="1">
      <c r="A34" s="290" t="s">
        <v>39</v>
      </c>
      <c r="B34" s="291" t="s">
        <v>338</v>
      </c>
      <c r="C34" s="291"/>
      <c r="D34" s="291">
        <f>D8-D20-D37</f>
        <v>1133654</v>
      </c>
      <c r="E34" s="292">
        <f t="shared" si="0"/>
        <v>1133654</v>
      </c>
      <c r="F34" s="293"/>
    </row>
    <row r="35" spans="1:6">
      <c r="A35" s="290" t="s">
        <v>43</v>
      </c>
      <c r="B35" s="291" t="s">
        <v>40</v>
      </c>
      <c r="C35" s="291">
        <f>C36+C37</f>
        <v>65700</v>
      </c>
      <c r="D35" s="291">
        <f>D36+D37</f>
        <v>67787</v>
      </c>
      <c r="E35" s="292">
        <f>D35-C35</f>
        <v>2087</v>
      </c>
      <c r="F35" s="293"/>
    </row>
    <row r="36" spans="1:6">
      <c r="A36" s="290" t="s">
        <v>11</v>
      </c>
      <c r="B36" s="291" t="s">
        <v>41</v>
      </c>
      <c r="C36" s="291">
        <f>C40</f>
        <v>2700</v>
      </c>
      <c r="D36" s="291">
        <v>0</v>
      </c>
      <c r="E36" s="292">
        <f t="shared" si="0"/>
        <v>-2700</v>
      </c>
      <c r="F36" s="293"/>
    </row>
    <row r="37" spans="1:6" s="260" customFormat="1" ht="31.5">
      <c r="A37" s="290" t="s">
        <v>16</v>
      </c>
      <c r="B37" s="291" t="s">
        <v>42</v>
      </c>
      <c r="C37" s="291">
        <f>C33</f>
        <v>63000</v>
      </c>
      <c r="D37" s="291">
        <v>67787</v>
      </c>
      <c r="E37" s="292">
        <f t="shared" si="0"/>
        <v>4787</v>
      </c>
      <c r="F37" s="293"/>
    </row>
    <row r="38" spans="1:6" s="260" customFormat="1">
      <c r="A38" s="290" t="s">
        <v>47</v>
      </c>
      <c r="B38" s="291" t="s">
        <v>44</v>
      </c>
      <c r="C38" s="291">
        <f>C39+C40</f>
        <v>2700</v>
      </c>
      <c r="D38" s="291">
        <f>D39+D40</f>
        <v>0</v>
      </c>
      <c r="E38" s="292">
        <f t="shared" si="0"/>
        <v>-2700</v>
      </c>
      <c r="F38" s="293">
        <f t="shared" si="1"/>
        <v>0</v>
      </c>
    </row>
    <row r="39" spans="1:6">
      <c r="A39" s="290" t="s">
        <v>11</v>
      </c>
      <c r="B39" s="291" t="s">
        <v>45</v>
      </c>
      <c r="C39" s="291"/>
      <c r="D39" s="291">
        <v>0</v>
      </c>
      <c r="E39" s="292">
        <f t="shared" si="0"/>
        <v>0</v>
      </c>
      <c r="F39" s="293"/>
    </row>
    <row r="40" spans="1:6">
      <c r="A40" s="290" t="s">
        <v>16</v>
      </c>
      <c r="B40" s="291" t="s">
        <v>46</v>
      </c>
      <c r="C40" s="291">
        <v>2700</v>
      </c>
      <c r="D40" s="291">
        <v>0</v>
      </c>
      <c r="E40" s="292">
        <f t="shared" si="0"/>
        <v>-2700</v>
      </c>
      <c r="F40" s="293">
        <f t="shared" si="1"/>
        <v>0</v>
      </c>
    </row>
    <row r="41" spans="1:6" ht="31.5">
      <c r="A41" s="251" t="s">
        <v>339</v>
      </c>
      <c r="B41" s="252" t="s">
        <v>48</v>
      </c>
      <c r="C41" s="253"/>
      <c r="D41" s="253"/>
      <c r="E41" s="254">
        <f t="shared" si="0"/>
        <v>0</v>
      </c>
      <c r="F41" s="255"/>
    </row>
    <row r="42" spans="1:6" ht="66.75" hidden="1" customHeight="1">
      <c r="A42" s="329" t="s">
        <v>270</v>
      </c>
      <c r="B42" s="329"/>
      <c r="C42" s="329"/>
      <c r="D42" s="329"/>
      <c r="E42" s="329"/>
      <c r="F42" s="329"/>
    </row>
    <row r="43" spans="1:6">
      <c r="A43" s="296"/>
    </row>
    <row r="455" spans="1:1">
      <c r="A455" s="296"/>
    </row>
    <row r="456" spans="1:1">
      <c r="A456" s="297"/>
    </row>
    <row r="480" spans="1:1">
      <c r="A480" s="296"/>
    </row>
    <row r="508" spans="1:1">
      <c r="A508" s="298"/>
    </row>
  </sheetData>
  <mergeCells count="11">
    <mergeCell ref="A1:C1"/>
    <mergeCell ref="D4:F4"/>
    <mergeCell ref="D1:F1"/>
    <mergeCell ref="A2:F2"/>
    <mergeCell ref="A3:F3"/>
    <mergeCell ref="A42:F42"/>
    <mergeCell ref="A5:A6"/>
    <mergeCell ref="B5:B6"/>
    <mergeCell ref="C5:C6"/>
    <mergeCell ref="D5:D6"/>
    <mergeCell ref="E5:F5"/>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sheetPr>
    <tabColor rgb="FFC00000"/>
  </sheetPr>
  <dimension ref="A1:E41"/>
  <sheetViews>
    <sheetView workbookViewId="0">
      <selection activeCell="A40" sqref="A40:E40"/>
    </sheetView>
  </sheetViews>
  <sheetFormatPr defaultRowHeight="18.75"/>
  <cols>
    <col min="1" max="1" width="9.140625" style="18"/>
    <col min="2" max="2" width="43.7109375" style="18" customWidth="1"/>
    <col min="3" max="16384" width="9.140625" style="18"/>
  </cols>
  <sheetData>
    <row r="1" spans="1:5">
      <c r="A1" s="17"/>
      <c r="D1" s="357" t="s">
        <v>49</v>
      </c>
      <c r="E1" s="357"/>
    </row>
    <row r="2" spans="1:5">
      <c r="A2" s="378" t="s">
        <v>50</v>
      </c>
      <c r="B2" s="378"/>
      <c r="C2" s="378"/>
      <c r="D2" s="378"/>
      <c r="E2" s="378"/>
    </row>
    <row r="3" spans="1:5">
      <c r="A3" s="378" t="s">
        <v>51</v>
      </c>
      <c r="B3" s="378"/>
      <c r="C3" s="378"/>
      <c r="D3" s="378"/>
      <c r="E3" s="378"/>
    </row>
    <row r="4" spans="1:5">
      <c r="A4" s="19"/>
      <c r="D4" s="379" t="s">
        <v>1</v>
      </c>
      <c r="E4" s="379"/>
    </row>
    <row r="5" spans="1:5" ht="56.25">
      <c r="A5" s="20" t="s">
        <v>2</v>
      </c>
      <c r="B5" s="20" t="s">
        <v>52</v>
      </c>
      <c r="C5" s="20" t="s">
        <v>3</v>
      </c>
      <c r="D5" s="20" t="s">
        <v>4</v>
      </c>
      <c r="E5" s="20" t="s">
        <v>53</v>
      </c>
    </row>
    <row r="6" spans="1:5">
      <c r="A6" s="20" t="s">
        <v>7</v>
      </c>
      <c r="B6" s="20" t="s">
        <v>8</v>
      </c>
      <c r="C6" s="20">
        <v>1</v>
      </c>
      <c r="D6" s="20">
        <v>2</v>
      </c>
      <c r="E6" s="20">
        <v>3</v>
      </c>
    </row>
    <row r="7" spans="1:5" ht="37.5">
      <c r="A7" s="21" t="s">
        <v>7</v>
      </c>
      <c r="B7" s="22" t="s">
        <v>54</v>
      </c>
      <c r="C7" s="23"/>
      <c r="D7" s="23"/>
      <c r="E7" s="23"/>
    </row>
    <row r="8" spans="1:5">
      <c r="A8" s="24" t="s">
        <v>11</v>
      </c>
      <c r="B8" s="25" t="s">
        <v>55</v>
      </c>
      <c r="C8" s="26"/>
      <c r="D8" s="26"/>
      <c r="E8" s="26"/>
    </row>
    <row r="9" spans="1:5" ht="37.5">
      <c r="A9" s="26">
        <v>1</v>
      </c>
      <c r="B9" s="27" t="s">
        <v>56</v>
      </c>
      <c r="C9" s="26"/>
      <c r="D9" s="26"/>
      <c r="E9" s="26"/>
    </row>
    <row r="10" spans="1:5">
      <c r="A10" s="26">
        <v>2</v>
      </c>
      <c r="B10" s="27" t="s">
        <v>57</v>
      </c>
      <c r="C10" s="26"/>
      <c r="D10" s="26"/>
      <c r="E10" s="26"/>
    </row>
    <row r="11" spans="1:5">
      <c r="A11" s="26" t="s">
        <v>13</v>
      </c>
      <c r="B11" s="27" t="s">
        <v>58</v>
      </c>
      <c r="C11" s="26"/>
      <c r="D11" s="26"/>
      <c r="E11" s="26"/>
    </row>
    <row r="12" spans="1:5">
      <c r="A12" s="26" t="s">
        <v>13</v>
      </c>
      <c r="B12" s="27" t="s">
        <v>59</v>
      </c>
      <c r="C12" s="26"/>
      <c r="D12" s="26"/>
      <c r="E12" s="26"/>
    </row>
    <row r="13" spans="1:5">
      <c r="A13" s="26">
        <v>3</v>
      </c>
      <c r="B13" s="27" t="s">
        <v>60</v>
      </c>
      <c r="C13" s="26"/>
      <c r="D13" s="26"/>
      <c r="E13" s="26"/>
    </row>
    <row r="14" spans="1:5">
      <c r="A14" s="26">
        <v>4</v>
      </c>
      <c r="B14" s="27" t="s">
        <v>23</v>
      </c>
      <c r="C14" s="26"/>
      <c r="D14" s="26"/>
      <c r="E14" s="26"/>
    </row>
    <row r="15" spans="1:5" ht="37.5">
      <c r="A15" s="26">
        <v>5</v>
      </c>
      <c r="B15" s="27" t="s">
        <v>25</v>
      </c>
      <c r="C15" s="26"/>
      <c r="D15" s="26"/>
      <c r="E15" s="26"/>
    </row>
    <row r="16" spans="1:5">
      <c r="A16" s="24" t="s">
        <v>16</v>
      </c>
      <c r="B16" s="25" t="s">
        <v>61</v>
      </c>
      <c r="C16" s="26"/>
      <c r="D16" s="26"/>
      <c r="E16" s="26"/>
    </row>
    <row r="17" spans="1:5" ht="37.5">
      <c r="A17" s="26">
        <v>1</v>
      </c>
      <c r="B17" s="27" t="s">
        <v>62</v>
      </c>
      <c r="C17" s="26"/>
      <c r="D17" s="26"/>
      <c r="E17" s="26"/>
    </row>
    <row r="18" spans="1:5">
      <c r="A18" s="26">
        <v>2</v>
      </c>
      <c r="B18" s="27" t="s">
        <v>63</v>
      </c>
      <c r="C18" s="26"/>
      <c r="D18" s="26"/>
      <c r="E18" s="26"/>
    </row>
    <row r="19" spans="1:5">
      <c r="A19" s="26" t="s">
        <v>13</v>
      </c>
      <c r="B19" s="27" t="s">
        <v>64</v>
      </c>
      <c r="C19" s="26"/>
      <c r="D19" s="26"/>
      <c r="E19" s="26"/>
    </row>
    <row r="20" spans="1:5">
      <c r="A20" s="26" t="s">
        <v>13</v>
      </c>
      <c r="B20" s="27" t="s">
        <v>65</v>
      </c>
      <c r="C20" s="26"/>
      <c r="D20" s="26"/>
      <c r="E20" s="26"/>
    </row>
    <row r="21" spans="1:5">
      <c r="A21" s="26">
        <v>3</v>
      </c>
      <c r="B21" s="27" t="s">
        <v>37</v>
      </c>
      <c r="C21" s="26"/>
      <c r="D21" s="26"/>
      <c r="E21" s="26"/>
    </row>
    <row r="22" spans="1:5" ht="56.25">
      <c r="A22" s="24" t="s">
        <v>20</v>
      </c>
      <c r="B22" s="25" t="s">
        <v>66</v>
      </c>
      <c r="C22" s="26"/>
      <c r="D22" s="26"/>
      <c r="E22" s="26"/>
    </row>
    <row r="23" spans="1:5">
      <c r="A23" s="24" t="s">
        <v>22</v>
      </c>
      <c r="B23" s="25" t="s">
        <v>67</v>
      </c>
      <c r="C23" s="26"/>
      <c r="D23" s="26"/>
      <c r="E23" s="26"/>
    </row>
    <row r="24" spans="1:5">
      <c r="A24" s="24" t="s">
        <v>8</v>
      </c>
      <c r="B24" s="25" t="s">
        <v>68</v>
      </c>
      <c r="C24" s="26"/>
      <c r="D24" s="26"/>
      <c r="E24" s="26"/>
    </row>
    <row r="25" spans="1:5">
      <c r="A25" s="24" t="s">
        <v>11</v>
      </c>
      <c r="B25" s="25" t="s">
        <v>55</v>
      </c>
      <c r="C25" s="26"/>
      <c r="D25" s="26"/>
      <c r="E25" s="26"/>
    </row>
    <row r="26" spans="1:5" ht="37.5">
      <c r="A26" s="26">
        <v>1</v>
      </c>
      <c r="B26" s="27" t="s">
        <v>56</v>
      </c>
      <c r="C26" s="26"/>
      <c r="D26" s="26"/>
      <c r="E26" s="26"/>
    </row>
    <row r="27" spans="1:5">
      <c r="A27" s="26">
        <v>2</v>
      </c>
      <c r="B27" s="27" t="s">
        <v>57</v>
      </c>
      <c r="C27" s="26"/>
      <c r="D27" s="26"/>
      <c r="E27" s="26"/>
    </row>
    <row r="28" spans="1:5">
      <c r="A28" s="26" t="s">
        <v>13</v>
      </c>
      <c r="B28" s="27" t="s">
        <v>18</v>
      </c>
      <c r="C28" s="26"/>
      <c r="D28" s="26"/>
      <c r="E28" s="26"/>
    </row>
    <row r="29" spans="1:5">
      <c r="A29" s="26" t="s">
        <v>13</v>
      </c>
      <c r="B29" s="27" t="s">
        <v>19</v>
      </c>
      <c r="C29" s="26"/>
      <c r="D29" s="26"/>
      <c r="E29" s="26"/>
    </row>
    <row r="30" spans="1:5">
      <c r="A30" s="26">
        <v>3</v>
      </c>
      <c r="B30" s="27" t="s">
        <v>23</v>
      </c>
      <c r="C30" s="26"/>
      <c r="D30" s="26"/>
      <c r="E30" s="26"/>
    </row>
    <row r="31" spans="1:5" ht="37.5">
      <c r="A31" s="26">
        <v>4</v>
      </c>
      <c r="B31" s="27" t="s">
        <v>25</v>
      </c>
      <c r="C31" s="26"/>
      <c r="D31" s="26"/>
      <c r="E31" s="26"/>
    </row>
    <row r="32" spans="1:5">
      <c r="A32" s="24" t="s">
        <v>16</v>
      </c>
      <c r="B32" s="25" t="s">
        <v>69</v>
      </c>
      <c r="C32" s="26"/>
      <c r="D32" s="26"/>
      <c r="E32" s="26"/>
    </row>
    <row r="33" spans="1:5" ht="37.5">
      <c r="A33" s="26">
        <v>1</v>
      </c>
      <c r="B33" s="27" t="s">
        <v>70</v>
      </c>
      <c r="C33" s="26"/>
      <c r="D33" s="26"/>
      <c r="E33" s="26"/>
    </row>
    <row r="34" spans="1:5" ht="37.5">
      <c r="A34" s="26">
        <v>2</v>
      </c>
      <c r="B34" s="27" t="s">
        <v>71</v>
      </c>
      <c r="C34" s="26"/>
      <c r="D34" s="26"/>
      <c r="E34" s="26"/>
    </row>
    <row r="35" spans="1:5">
      <c r="A35" s="26" t="s">
        <v>13</v>
      </c>
      <c r="B35" s="27" t="s">
        <v>64</v>
      </c>
      <c r="C35" s="26"/>
      <c r="D35" s="26"/>
      <c r="E35" s="26"/>
    </row>
    <row r="36" spans="1:5">
      <c r="A36" s="26" t="s">
        <v>13</v>
      </c>
      <c r="B36" s="27" t="s">
        <v>65</v>
      </c>
      <c r="C36" s="26"/>
      <c r="D36" s="26"/>
      <c r="E36" s="26"/>
    </row>
    <row r="37" spans="1:5">
      <c r="A37" s="26">
        <v>3</v>
      </c>
      <c r="B37" s="27" t="s">
        <v>37</v>
      </c>
      <c r="C37" s="26"/>
      <c r="D37" s="26"/>
      <c r="E37" s="26"/>
    </row>
    <row r="38" spans="1:5">
      <c r="A38" s="28" t="s">
        <v>20</v>
      </c>
      <c r="B38" s="29" t="s">
        <v>72</v>
      </c>
      <c r="C38" s="30"/>
      <c r="D38" s="30"/>
      <c r="E38" s="30"/>
    </row>
    <row r="39" spans="1:5" ht="41.25" customHeight="1">
      <c r="A39" s="381" t="s">
        <v>271</v>
      </c>
      <c r="B39" s="381"/>
      <c r="C39" s="381"/>
      <c r="D39" s="381"/>
      <c r="E39" s="381"/>
    </row>
    <row r="40" spans="1:5" ht="38.25" customHeight="1">
      <c r="A40" s="380" t="s">
        <v>73</v>
      </c>
      <c r="B40" s="380"/>
      <c r="C40" s="380"/>
      <c r="D40" s="380"/>
      <c r="E40" s="380"/>
    </row>
    <row r="41" spans="1:5">
      <c r="A41" s="31"/>
    </row>
  </sheetData>
  <mergeCells count="6">
    <mergeCell ref="A2:E2"/>
    <mergeCell ref="A3:E3"/>
    <mergeCell ref="D1:E1"/>
    <mergeCell ref="D4:E4"/>
    <mergeCell ref="A40:E40"/>
    <mergeCell ref="A39:E39"/>
  </mergeCells>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C00000"/>
  </sheetPr>
  <dimension ref="A1:T13"/>
  <sheetViews>
    <sheetView workbookViewId="0">
      <selection activeCell="D14" sqref="D14"/>
    </sheetView>
  </sheetViews>
  <sheetFormatPr defaultRowHeight="15.75"/>
  <cols>
    <col min="1" max="1" width="6.85546875" style="6" customWidth="1"/>
    <col min="2" max="2" width="31.42578125" style="6" customWidth="1"/>
    <col min="3" max="16384" width="9.140625" style="6"/>
  </cols>
  <sheetData>
    <row r="1" spans="1:20">
      <c r="A1" s="35"/>
      <c r="R1" s="382" t="s">
        <v>196</v>
      </c>
      <c r="S1" s="382"/>
      <c r="T1" s="382"/>
    </row>
    <row r="2" spans="1:20">
      <c r="A2" s="357" t="s">
        <v>197</v>
      </c>
      <c r="B2" s="357"/>
      <c r="C2" s="357"/>
      <c r="D2" s="357"/>
      <c r="E2" s="357"/>
      <c r="F2" s="357"/>
      <c r="G2" s="357"/>
      <c r="H2" s="357"/>
      <c r="I2" s="357"/>
      <c r="J2" s="357"/>
      <c r="K2" s="357"/>
      <c r="L2" s="357"/>
      <c r="M2" s="357"/>
      <c r="N2" s="357"/>
      <c r="O2" s="357"/>
      <c r="P2" s="357"/>
      <c r="Q2" s="357"/>
      <c r="R2" s="357"/>
      <c r="S2" s="357"/>
      <c r="T2" s="357"/>
    </row>
    <row r="3" spans="1:20">
      <c r="A3" s="357" t="s">
        <v>0</v>
      </c>
      <c r="B3" s="357"/>
      <c r="C3" s="357"/>
      <c r="D3" s="357"/>
      <c r="E3" s="357"/>
      <c r="F3" s="357"/>
      <c r="G3" s="357"/>
      <c r="H3" s="357"/>
      <c r="I3" s="357"/>
      <c r="J3" s="357"/>
      <c r="K3" s="357"/>
      <c r="L3" s="357"/>
      <c r="M3" s="357"/>
      <c r="N3" s="357"/>
      <c r="O3" s="357"/>
      <c r="P3" s="357"/>
      <c r="Q3" s="357"/>
      <c r="R3" s="357"/>
      <c r="S3" s="357"/>
      <c r="T3" s="357"/>
    </row>
    <row r="4" spans="1:20">
      <c r="A4" s="7"/>
      <c r="R4" s="363" t="s">
        <v>1</v>
      </c>
      <c r="S4" s="363"/>
      <c r="T4" s="363"/>
    </row>
    <row r="5" spans="1:20">
      <c r="A5" s="355" t="s">
        <v>2</v>
      </c>
      <c r="B5" s="355" t="s">
        <v>198</v>
      </c>
      <c r="C5" s="355" t="s">
        <v>199</v>
      </c>
      <c r="D5" s="355" t="s">
        <v>4</v>
      </c>
      <c r="E5" s="355" t="s">
        <v>133</v>
      </c>
      <c r="F5" s="355" t="s">
        <v>134</v>
      </c>
      <c r="G5" s="355" t="s">
        <v>148</v>
      </c>
      <c r="H5" s="355" t="s">
        <v>149</v>
      </c>
      <c r="I5" s="355" t="s">
        <v>150</v>
      </c>
      <c r="J5" s="355" t="s">
        <v>200</v>
      </c>
      <c r="K5" s="355" t="s">
        <v>152</v>
      </c>
      <c r="L5" s="355" t="s">
        <v>201</v>
      </c>
      <c r="M5" s="355" t="s">
        <v>154</v>
      </c>
      <c r="N5" s="355" t="s">
        <v>202</v>
      </c>
      <c r="O5" s="355" t="s">
        <v>203</v>
      </c>
      <c r="P5" s="355"/>
      <c r="Q5" s="355" t="s">
        <v>163</v>
      </c>
      <c r="R5" s="355" t="s">
        <v>204</v>
      </c>
      <c r="S5" s="355" t="s">
        <v>158</v>
      </c>
      <c r="T5" s="355" t="s">
        <v>53</v>
      </c>
    </row>
    <row r="6" spans="1:20" ht="110.25">
      <c r="A6" s="355"/>
      <c r="B6" s="355"/>
      <c r="C6" s="355"/>
      <c r="D6" s="355"/>
      <c r="E6" s="355"/>
      <c r="F6" s="355"/>
      <c r="G6" s="355"/>
      <c r="H6" s="355"/>
      <c r="I6" s="355"/>
      <c r="J6" s="355"/>
      <c r="K6" s="355"/>
      <c r="L6" s="355"/>
      <c r="M6" s="355"/>
      <c r="N6" s="355"/>
      <c r="O6" s="34" t="s">
        <v>205</v>
      </c>
      <c r="P6" s="34" t="s">
        <v>206</v>
      </c>
      <c r="Q6" s="355"/>
      <c r="R6" s="355"/>
      <c r="S6" s="355"/>
      <c r="T6" s="355"/>
    </row>
    <row r="7" spans="1:20">
      <c r="A7" s="34" t="s">
        <v>7</v>
      </c>
      <c r="B7" s="34" t="s">
        <v>8</v>
      </c>
      <c r="C7" s="34">
        <v>1</v>
      </c>
      <c r="D7" s="34">
        <v>2</v>
      </c>
      <c r="E7" s="34">
        <v>3</v>
      </c>
      <c r="F7" s="34">
        <v>4</v>
      </c>
      <c r="G7" s="34">
        <v>5</v>
      </c>
      <c r="H7" s="34">
        <v>6</v>
      </c>
      <c r="I7" s="34">
        <v>7</v>
      </c>
      <c r="J7" s="34">
        <v>8</v>
      </c>
      <c r="K7" s="34">
        <v>9</v>
      </c>
      <c r="L7" s="34">
        <v>10</v>
      </c>
      <c r="M7" s="34">
        <v>11</v>
      </c>
      <c r="N7" s="34">
        <v>12</v>
      </c>
      <c r="O7" s="34">
        <v>13</v>
      </c>
      <c r="P7" s="34">
        <v>14</v>
      </c>
      <c r="Q7" s="34">
        <v>15</v>
      </c>
      <c r="R7" s="34">
        <v>16</v>
      </c>
      <c r="S7" s="34">
        <v>17</v>
      </c>
      <c r="T7" s="34" t="s">
        <v>207</v>
      </c>
    </row>
    <row r="8" spans="1:20">
      <c r="A8" s="32"/>
      <c r="B8" s="33" t="s">
        <v>208</v>
      </c>
      <c r="C8" s="32"/>
      <c r="D8" s="32"/>
      <c r="E8" s="32"/>
      <c r="F8" s="32"/>
      <c r="G8" s="32"/>
      <c r="H8" s="32"/>
      <c r="I8" s="32"/>
      <c r="J8" s="32"/>
      <c r="K8" s="32"/>
      <c r="L8" s="32"/>
      <c r="M8" s="32"/>
      <c r="N8" s="32"/>
      <c r="O8" s="32"/>
      <c r="P8" s="32"/>
      <c r="Q8" s="32"/>
      <c r="R8" s="32"/>
      <c r="S8" s="32"/>
      <c r="T8" s="32"/>
    </row>
    <row r="9" spans="1:20">
      <c r="A9" s="9">
        <v>1</v>
      </c>
      <c r="B9" s="10" t="s">
        <v>209</v>
      </c>
      <c r="C9" s="11"/>
      <c r="D9" s="11"/>
      <c r="E9" s="11"/>
      <c r="F9" s="11"/>
      <c r="G9" s="11"/>
      <c r="H9" s="11"/>
      <c r="I9" s="11"/>
      <c r="J9" s="11"/>
      <c r="K9" s="11"/>
      <c r="L9" s="11"/>
      <c r="M9" s="11"/>
      <c r="N9" s="11"/>
      <c r="O9" s="11"/>
      <c r="P9" s="11"/>
      <c r="Q9" s="11"/>
      <c r="R9" s="11"/>
      <c r="S9" s="11"/>
      <c r="T9" s="11"/>
    </row>
    <row r="10" spans="1:20">
      <c r="A10" s="9">
        <v>2</v>
      </c>
      <c r="B10" s="10" t="s">
        <v>186</v>
      </c>
      <c r="C10" s="11"/>
      <c r="D10" s="11"/>
      <c r="E10" s="11"/>
      <c r="F10" s="11"/>
      <c r="G10" s="11"/>
      <c r="H10" s="11"/>
      <c r="I10" s="11"/>
      <c r="J10" s="11"/>
      <c r="K10" s="11"/>
      <c r="L10" s="11"/>
      <c r="M10" s="11"/>
      <c r="N10" s="11"/>
      <c r="O10" s="11"/>
      <c r="P10" s="11"/>
      <c r="Q10" s="11"/>
      <c r="R10" s="11"/>
      <c r="S10" s="11"/>
      <c r="T10" s="11"/>
    </row>
    <row r="11" spans="1:20">
      <c r="A11" s="9">
        <v>3</v>
      </c>
      <c r="B11" s="10" t="s">
        <v>210</v>
      </c>
      <c r="C11" s="11"/>
      <c r="D11" s="11"/>
      <c r="E11" s="11"/>
      <c r="F11" s="11"/>
      <c r="G11" s="11"/>
      <c r="H11" s="11"/>
      <c r="I11" s="11"/>
      <c r="J11" s="11"/>
      <c r="K11" s="11"/>
      <c r="L11" s="11"/>
      <c r="M11" s="11"/>
      <c r="N11" s="11"/>
      <c r="O11" s="11"/>
      <c r="P11" s="11"/>
      <c r="Q11" s="11"/>
      <c r="R11" s="11"/>
      <c r="S11" s="11"/>
      <c r="T11" s="11"/>
    </row>
    <row r="12" spans="1:20">
      <c r="A12" s="13">
        <v>4</v>
      </c>
      <c r="B12" s="14" t="s">
        <v>211</v>
      </c>
      <c r="C12" s="15"/>
      <c r="D12" s="15"/>
      <c r="E12" s="15"/>
      <c r="F12" s="15"/>
      <c r="G12" s="15"/>
      <c r="H12" s="15"/>
      <c r="I12" s="15"/>
      <c r="J12" s="15"/>
      <c r="K12" s="15"/>
      <c r="L12" s="15"/>
      <c r="M12" s="15"/>
      <c r="N12" s="15"/>
      <c r="O12" s="15"/>
      <c r="P12" s="15"/>
      <c r="Q12" s="15"/>
      <c r="R12" s="15"/>
      <c r="S12" s="15"/>
      <c r="T12" s="15"/>
    </row>
    <row r="13" spans="1:20">
      <c r="A13" s="8"/>
    </row>
  </sheetData>
  <mergeCells count="23">
    <mergeCell ref="S5:S6"/>
    <mergeCell ref="T5:T6"/>
    <mergeCell ref="A2:T2"/>
    <mergeCell ref="A3:T3"/>
    <mergeCell ref="R1:T1"/>
    <mergeCell ref="R4:T4"/>
    <mergeCell ref="M5:M6"/>
    <mergeCell ref="N5:N6"/>
    <mergeCell ref="O5:P5"/>
    <mergeCell ref="Q5:Q6"/>
    <mergeCell ref="R5:R6"/>
    <mergeCell ref="H5:H6"/>
    <mergeCell ref="I5:I6"/>
    <mergeCell ref="J5:J6"/>
    <mergeCell ref="K5:K6"/>
    <mergeCell ref="L5:L6"/>
    <mergeCell ref="G5:G6"/>
    <mergeCell ref="A5:A6"/>
    <mergeCell ref="B5:B6"/>
    <mergeCell ref="C5:C6"/>
    <mergeCell ref="D5:D6"/>
    <mergeCell ref="E5:E6"/>
    <mergeCell ref="F5:F6"/>
  </mergeCells>
  <pageMargins left="0.7" right="0.7" top="0.75" bottom="0.75" header="0.3" footer="0.3"/>
</worksheet>
</file>

<file path=xl/worksheets/sheet12.xml><?xml version="1.0" encoding="utf-8"?>
<worksheet xmlns="http://schemas.openxmlformats.org/spreadsheetml/2006/main" xmlns:r="http://schemas.openxmlformats.org/officeDocument/2006/relationships">
  <sheetPr>
    <tabColor rgb="FFC00000"/>
  </sheetPr>
  <dimension ref="A1:T13"/>
  <sheetViews>
    <sheetView workbookViewId="0">
      <selection activeCell="N5" sqref="N5:N6"/>
    </sheetView>
  </sheetViews>
  <sheetFormatPr defaultRowHeight="15.75"/>
  <cols>
    <col min="1" max="1" width="6.5703125" style="6" customWidth="1"/>
    <col min="2" max="2" width="38.140625" style="6" customWidth="1"/>
    <col min="3" max="16384" width="9.140625" style="6"/>
  </cols>
  <sheetData>
    <row r="1" spans="1:20">
      <c r="A1" s="5"/>
      <c r="R1" s="357" t="s">
        <v>212</v>
      </c>
      <c r="S1" s="357"/>
      <c r="T1" s="357"/>
    </row>
    <row r="2" spans="1:20">
      <c r="A2" s="357" t="s">
        <v>213</v>
      </c>
      <c r="B2" s="357"/>
      <c r="C2" s="357"/>
      <c r="D2" s="357"/>
      <c r="E2" s="357"/>
      <c r="F2" s="357"/>
      <c r="G2" s="357"/>
      <c r="H2" s="357"/>
      <c r="I2" s="357"/>
      <c r="J2" s="357"/>
      <c r="K2" s="357"/>
      <c r="L2" s="357"/>
      <c r="M2" s="357"/>
      <c r="N2" s="357"/>
      <c r="O2" s="357"/>
      <c r="P2" s="357"/>
      <c r="Q2" s="357"/>
      <c r="R2" s="357"/>
      <c r="S2" s="357"/>
      <c r="T2" s="357"/>
    </row>
    <row r="3" spans="1:20">
      <c r="A3" s="357" t="s">
        <v>0</v>
      </c>
      <c r="B3" s="357"/>
      <c r="C3" s="357"/>
      <c r="D3" s="357"/>
      <c r="E3" s="357"/>
      <c r="F3" s="357"/>
      <c r="G3" s="357"/>
      <c r="H3" s="357"/>
      <c r="I3" s="357"/>
      <c r="J3" s="357"/>
      <c r="K3" s="357"/>
      <c r="L3" s="357"/>
      <c r="M3" s="357"/>
      <c r="N3" s="357"/>
      <c r="O3" s="357"/>
      <c r="P3" s="357"/>
      <c r="Q3" s="357"/>
      <c r="R3" s="357"/>
      <c r="S3" s="357"/>
      <c r="T3" s="357"/>
    </row>
    <row r="4" spans="1:20">
      <c r="A4" s="7"/>
      <c r="R4" s="363" t="s">
        <v>1</v>
      </c>
      <c r="S4" s="363"/>
      <c r="T4" s="363"/>
    </row>
    <row r="5" spans="1:20">
      <c r="A5" s="355" t="s">
        <v>2</v>
      </c>
      <c r="B5" s="355" t="s">
        <v>198</v>
      </c>
      <c r="C5" s="355" t="s">
        <v>199</v>
      </c>
      <c r="D5" s="355" t="s">
        <v>4</v>
      </c>
      <c r="E5" s="355" t="s">
        <v>133</v>
      </c>
      <c r="F5" s="355" t="s">
        <v>134</v>
      </c>
      <c r="G5" s="355" t="s">
        <v>148</v>
      </c>
      <c r="H5" s="355" t="s">
        <v>149</v>
      </c>
      <c r="I5" s="355" t="s">
        <v>150</v>
      </c>
      <c r="J5" s="355" t="s">
        <v>200</v>
      </c>
      <c r="K5" s="355" t="s">
        <v>152</v>
      </c>
      <c r="L5" s="355" t="s">
        <v>201</v>
      </c>
      <c r="M5" s="355" t="s">
        <v>154</v>
      </c>
      <c r="N5" s="355" t="s">
        <v>202</v>
      </c>
      <c r="O5" s="355" t="s">
        <v>203</v>
      </c>
      <c r="P5" s="355"/>
      <c r="Q5" s="355" t="s">
        <v>163</v>
      </c>
      <c r="R5" s="355" t="s">
        <v>204</v>
      </c>
      <c r="S5" s="355" t="s">
        <v>158</v>
      </c>
      <c r="T5" s="355" t="s">
        <v>53</v>
      </c>
    </row>
    <row r="6" spans="1:20" ht="110.25">
      <c r="A6" s="355"/>
      <c r="B6" s="355"/>
      <c r="C6" s="355"/>
      <c r="D6" s="355"/>
      <c r="E6" s="355"/>
      <c r="F6" s="355"/>
      <c r="G6" s="355"/>
      <c r="H6" s="355"/>
      <c r="I6" s="355"/>
      <c r="J6" s="355"/>
      <c r="K6" s="355"/>
      <c r="L6" s="355"/>
      <c r="M6" s="355"/>
      <c r="N6" s="355"/>
      <c r="O6" s="34" t="s">
        <v>205</v>
      </c>
      <c r="P6" s="34" t="s">
        <v>206</v>
      </c>
      <c r="Q6" s="355"/>
      <c r="R6" s="355"/>
      <c r="S6" s="355"/>
      <c r="T6" s="355"/>
    </row>
    <row r="7" spans="1:20">
      <c r="A7" s="34" t="s">
        <v>7</v>
      </c>
      <c r="B7" s="34" t="s">
        <v>8</v>
      </c>
      <c r="C7" s="34">
        <v>1</v>
      </c>
      <c r="D7" s="34">
        <v>2</v>
      </c>
      <c r="E7" s="34">
        <v>3</v>
      </c>
      <c r="F7" s="34">
        <v>4</v>
      </c>
      <c r="G7" s="34">
        <v>5</v>
      </c>
      <c r="H7" s="34">
        <v>6</v>
      </c>
      <c r="I7" s="34">
        <v>7</v>
      </c>
      <c r="J7" s="34">
        <v>8</v>
      </c>
      <c r="K7" s="34">
        <v>9</v>
      </c>
      <c r="L7" s="34">
        <v>10</v>
      </c>
      <c r="M7" s="34">
        <v>11</v>
      </c>
      <c r="N7" s="34">
        <v>12</v>
      </c>
      <c r="O7" s="34">
        <v>13</v>
      </c>
      <c r="P7" s="34">
        <v>14</v>
      </c>
      <c r="Q7" s="34">
        <v>15</v>
      </c>
      <c r="R7" s="34">
        <v>16</v>
      </c>
      <c r="S7" s="34">
        <v>17</v>
      </c>
      <c r="T7" s="34" t="s">
        <v>214</v>
      </c>
    </row>
    <row r="8" spans="1:20">
      <c r="A8" s="32"/>
      <c r="B8" s="33" t="s">
        <v>208</v>
      </c>
      <c r="C8" s="32"/>
      <c r="D8" s="32"/>
      <c r="E8" s="32"/>
      <c r="F8" s="32"/>
      <c r="G8" s="32"/>
      <c r="H8" s="32"/>
      <c r="I8" s="32"/>
      <c r="J8" s="32"/>
      <c r="K8" s="32"/>
      <c r="L8" s="32"/>
      <c r="M8" s="32"/>
      <c r="N8" s="32"/>
      <c r="O8" s="32"/>
      <c r="P8" s="32"/>
      <c r="Q8" s="32"/>
      <c r="R8" s="32"/>
      <c r="S8" s="32"/>
      <c r="T8" s="32"/>
    </row>
    <row r="9" spans="1:20">
      <c r="A9" s="9">
        <v>1</v>
      </c>
      <c r="B9" s="10" t="s">
        <v>209</v>
      </c>
      <c r="C9" s="11"/>
      <c r="D9" s="11"/>
      <c r="E9" s="11"/>
      <c r="F9" s="11"/>
      <c r="G9" s="11"/>
      <c r="H9" s="11"/>
      <c r="I9" s="11"/>
      <c r="J9" s="11"/>
      <c r="K9" s="11"/>
      <c r="L9" s="11"/>
      <c r="M9" s="11"/>
      <c r="N9" s="11"/>
      <c r="O9" s="11"/>
      <c r="P9" s="11"/>
      <c r="Q9" s="11"/>
      <c r="R9" s="11"/>
      <c r="S9" s="11"/>
      <c r="T9" s="11"/>
    </row>
    <row r="10" spans="1:20">
      <c r="A10" s="9">
        <v>2</v>
      </c>
      <c r="B10" s="10" t="s">
        <v>186</v>
      </c>
      <c r="C10" s="11"/>
      <c r="D10" s="11"/>
      <c r="E10" s="11"/>
      <c r="F10" s="11"/>
      <c r="G10" s="11"/>
      <c r="H10" s="11"/>
      <c r="I10" s="11"/>
      <c r="J10" s="11"/>
      <c r="K10" s="11"/>
      <c r="L10" s="11"/>
      <c r="M10" s="11"/>
      <c r="N10" s="11"/>
      <c r="O10" s="11"/>
      <c r="P10" s="11"/>
      <c r="Q10" s="11"/>
      <c r="R10" s="11"/>
      <c r="S10" s="11"/>
      <c r="T10" s="11"/>
    </row>
    <row r="11" spans="1:20">
      <c r="A11" s="9">
        <v>3</v>
      </c>
      <c r="B11" s="10" t="s">
        <v>210</v>
      </c>
      <c r="C11" s="11"/>
      <c r="D11" s="11"/>
      <c r="E11" s="11"/>
      <c r="F11" s="11"/>
      <c r="G11" s="11"/>
      <c r="H11" s="11"/>
      <c r="I11" s="11"/>
      <c r="J11" s="11"/>
      <c r="K11" s="11"/>
      <c r="L11" s="11"/>
      <c r="M11" s="11"/>
      <c r="N11" s="11"/>
      <c r="O11" s="11"/>
      <c r="P11" s="11"/>
      <c r="Q11" s="11"/>
      <c r="R11" s="11"/>
      <c r="S11" s="11"/>
      <c r="T11" s="11"/>
    </row>
    <row r="12" spans="1:20">
      <c r="A12" s="13">
        <v>4</v>
      </c>
      <c r="B12" s="14" t="s">
        <v>211</v>
      </c>
      <c r="C12" s="15"/>
      <c r="D12" s="15"/>
      <c r="E12" s="15"/>
      <c r="F12" s="15"/>
      <c r="G12" s="15"/>
      <c r="H12" s="15"/>
      <c r="I12" s="15"/>
      <c r="J12" s="15"/>
      <c r="K12" s="15"/>
      <c r="L12" s="15"/>
      <c r="M12" s="15"/>
      <c r="N12" s="15"/>
      <c r="O12" s="15"/>
      <c r="P12" s="15"/>
      <c r="Q12" s="15"/>
      <c r="R12" s="15"/>
      <c r="S12" s="15"/>
      <c r="T12" s="15"/>
    </row>
    <row r="13" spans="1:20">
      <c r="A13" s="8"/>
    </row>
  </sheetData>
  <mergeCells count="23">
    <mergeCell ref="A2:T2"/>
    <mergeCell ref="A3:T3"/>
    <mergeCell ref="R1:T1"/>
    <mergeCell ref="R4:T4"/>
    <mergeCell ref="K5:K6"/>
    <mergeCell ref="L5:L6"/>
    <mergeCell ref="T5:T6"/>
    <mergeCell ref="M5:M6"/>
    <mergeCell ref="N5:N6"/>
    <mergeCell ref="O5:P5"/>
    <mergeCell ref="Q5:Q6"/>
    <mergeCell ref="R5:R6"/>
    <mergeCell ref="S5:S6"/>
    <mergeCell ref="F5:F6"/>
    <mergeCell ref="G5:G6"/>
    <mergeCell ref="H5:H6"/>
    <mergeCell ref="I5:I6"/>
    <mergeCell ref="J5:J6"/>
    <mergeCell ref="A5:A6"/>
    <mergeCell ref="B5:B6"/>
    <mergeCell ref="C5:C6"/>
    <mergeCell ref="D5:D6"/>
    <mergeCell ref="E5:E6"/>
  </mergeCells>
  <pageMargins left="0.7" right="0.7" top="0.75" bottom="0.75" header="0.3" footer="0.3"/>
</worksheet>
</file>

<file path=xl/worksheets/sheet13.xml><?xml version="1.0" encoding="utf-8"?>
<worksheet xmlns="http://schemas.openxmlformats.org/spreadsheetml/2006/main" xmlns:r="http://schemas.openxmlformats.org/officeDocument/2006/relationships">
  <sheetPr>
    <tabColor rgb="FFC00000"/>
  </sheetPr>
  <dimension ref="A1:J13"/>
  <sheetViews>
    <sheetView workbookViewId="0">
      <selection activeCell="L15" sqref="L15"/>
    </sheetView>
  </sheetViews>
  <sheetFormatPr defaultRowHeight="15.75"/>
  <cols>
    <col min="1" max="1" width="9.140625" style="2"/>
    <col min="2" max="2" width="16.140625" style="2" customWidth="1"/>
    <col min="3" max="16384" width="9.140625" style="2"/>
  </cols>
  <sheetData>
    <row r="1" spans="1:10">
      <c r="A1" s="1"/>
      <c r="H1" s="383" t="s">
        <v>215</v>
      </c>
      <c r="I1" s="383"/>
      <c r="J1" s="383"/>
    </row>
    <row r="2" spans="1:10">
      <c r="A2" s="383" t="s">
        <v>216</v>
      </c>
      <c r="B2" s="383"/>
      <c r="C2" s="383"/>
      <c r="D2" s="383"/>
      <c r="E2" s="383"/>
      <c r="F2" s="383"/>
      <c r="G2" s="383"/>
      <c r="H2" s="383"/>
      <c r="I2" s="383"/>
      <c r="J2" s="383"/>
    </row>
    <row r="3" spans="1:10">
      <c r="A3" s="384" t="s">
        <v>0</v>
      </c>
      <c r="B3" s="384"/>
      <c r="C3" s="384"/>
      <c r="D3" s="384"/>
      <c r="E3" s="384"/>
      <c r="F3" s="384"/>
      <c r="G3" s="384"/>
      <c r="H3" s="384"/>
      <c r="I3" s="384"/>
      <c r="J3" s="384"/>
    </row>
    <row r="4" spans="1:10">
      <c r="A4" s="3"/>
      <c r="H4" s="385" t="s">
        <v>1</v>
      </c>
      <c r="I4" s="385"/>
      <c r="J4" s="385"/>
    </row>
    <row r="5" spans="1:10">
      <c r="A5" s="355" t="s">
        <v>2</v>
      </c>
      <c r="B5" s="355" t="s">
        <v>198</v>
      </c>
      <c r="C5" s="355" t="s">
        <v>217</v>
      </c>
      <c r="D5" s="355" t="s">
        <v>170</v>
      </c>
      <c r="E5" s="355"/>
      <c r="F5" s="355"/>
      <c r="G5" s="355" t="s">
        <v>218</v>
      </c>
      <c r="H5" s="355" t="s">
        <v>219</v>
      </c>
      <c r="I5" s="355" t="s">
        <v>203</v>
      </c>
      <c r="J5" s="355"/>
    </row>
    <row r="6" spans="1:10" ht="78.75">
      <c r="A6" s="355"/>
      <c r="B6" s="355"/>
      <c r="C6" s="355"/>
      <c r="D6" s="34" t="s">
        <v>220</v>
      </c>
      <c r="E6" s="34" t="s">
        <v>274</v>
      </c>
      <c r="F6" s="34" t="s">
        <v>275</v>
      </c>
      <c r="G6" s="355"/>
      <c r="H6" s="355"/>
      <c r="I6" s="34" t="s">
        <v>221</v>
      </c>
      <c r="J6" s="34" t="s">
        <v>222</v>
      </c>
    </row>
    <row r="7" spans="1:10">
      <c r="A7" s="36" t="s">
        <v>7</v>
      </c>
      <c r="B7" s="36" t="s">
        <v>8</v>
      </c>
      <c r="C7" s="36" t="s">
        <v>223</v>
      </c>
      <c r="D7" s="36">
        <v>2</v>
      </c>
      <c r="E7" s="36">
        <v>3</v>
      </c>
      <c r="F7" s="36">
        <v>4</v>
      </c>
      <c r="G7" s="36">
        <v>5</v>
      </c>
      <c r="H7" s="36" t="s">
        <v>224</v>
      </c>
      <c r="I7" s="36">
        <v>7</v>
      </c>
      <c r="J7" s="36">
        <v>8</v>
      </c>
    </row>
    <row r="8" spans="1:10">
      <c r="A8" s="32"/>
      <c r="B8" s="33" t="s">
        <v>208</v>
      </c>
      <c r="C8" s="32"/>
      <c r="D8" s="32"/>
      <c r="E8" s="32"/>
      <c r="F8" s="32"/>
      <c r="G8" s="32"/>
      <c r="H8" s="32"/>
      <c r="I8" s="32"/>
      <c r="J8" s="32"/>
    </row>
    <row r="9" spans="1:10">
      <c r="A9" s="9">
        <v>1</v>
      </c>
      <c r="B9" s="10" t="s">
        <v>225</v>
      </c>
      <c r="C9" s="11"/>
      <c r="D9" s="11"/>
      <c r="E9" s="11"/>
      <c r="F9" s="11"/>
      <c r="G9" s="11"/>
      <c r="H9" s="11"/>
      <c r="I9" s="11"/>
      <c r="J9" s="11"/>
    </row>
    <row r="10" spans="1:10">
      <c r="A10" s="9">
        <v>2</v>
      </c>
      <c r="B10" s="10" t="s">
        <v>186</v>
      </c>
      <c r="C10" s="11"/>
      <c r="D10" s="11"/>
      <c r="E10" s="11"/>
      <c r="F10" s="11"/>
      <c r="G10" s="11"/>
      <c r="H10" s="11"/>
      <c r="I10" s="11"/>
      <c r="J10" s="11"/>
    </row>
    <row r="11" spans="1:10">
      <c r="A11" s="9">
        <v>3</v>
      </c>
      <c r="B11" s="10" t="s">
        <v>226</v>
      </c>
      <c r="C11" s="11"/>
      <c r="D11" s="11"/>
      <c r="E11" s="11"/>
      <c r="F11" s="11"/>
      <c r="G11" s="11"/>
      <c r="H11" s="11"/>
      <c r="I11" s="11"/>
      <c r="J11" s="11"/>
    </row>
    <row r="12" spans="1:10">
      <c r="A12" s="13"/>
      <c r="B12" s="14"/>
      <c r="C12" s="15"/>
      <c r="D12" s="15"/>
      <c r="E12" s="15"/>
      <c r="F12" s="15"/>
      <c r="G12" s="15"/>
      <c r="H12" s="15"/>
      <c r="I12" s="15"/>
      <c r="J12" s="15"/>
    </row>
    <row r="13" spans="1:10">
      <c r="A13" s="4"/>
    </row>
  </sheetData>
  <mergeCells count="11">
    <mergeCell ref="A2:J2"/>
    <mergeCell ref="A3:J3"/>
    <mergeCell ref="H1:J1"/>
    <mergeCell ref="H4:J4"/>
    <mergeCell ref="I5:J5"/>
    <mergeCell ref="A5:A6"/>
    <mergeCell ref="B5:B6"/>
    <mergeCell ref="C5:C6"/>
    <mergeCell ref="D5:F5"/>
    <mergeCell ref="G5:G6"/>
    <mergeCell ref="H5:H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sheetPr>
    <tabColor rgb="FFC00000"/>
  </sheetPr>
  <dimension ref="A1:H24"/>
  <sheetViews>
    <sheetView topLeftCell="A10" workbookViewId="0">
      <selection activeCell="H8" sqref="H8"/>
    </sheetView>
  </sheetViews>
  <sheetFormatPr defaultRowHeight="15.75"/>
  <cols>
    <col min="1" max="1" width="9.140625" style="6"/>
    <col min="2" max="2" width="25.7109375" style="6" customWidth="1"/>
    <col min="3" max="16384" width="9.140625" style="6"/>
  </cols>
  <sheetData>
    <row r="1" spans="1:8">
      <c r="A1" s="5"/>
      <c r="F1" s="357" t="s">
        <v>257</v>
      </c>
      <c r="G1" s="357"/>
      <c r="H1" s="357"/>
    </row>
    <row r="2" spans="1:8">
      <c r="A2" s="357" t="s">
        <v>258</v>
      </c>
      <c r="B2" s="357"/>
      <c r="C2" s="357"/>
      <c r="D2" s="357"/>
      <c r="E2" s="357"/>
      <c r="F2" s="357"/>
      <c r="G2" s="357"/>
      <c r="H2" s="357"/>
    </row>
    <row r="3" spans="1:8">
      <c r="A3" s="357" t="s">
        <v>51</v>
      </c>
      <c r="B3" s="357"/>
      <c r="C3" s="357"/>
      <c r="D3" s="357"/>
      <c r="E3" s="357"/>
      <c r="F3" s="357"/>
      <c r="G3" s="357"/>
      <c r="H3" s="357"/>
    </row>
    <row r="4" spans="1:8">
      <c r="A4" s="7"/>
      <c r="F4" s="363" t="s">
        <v>1</v>
      </c>
      <c r="G4" s="363"/>
      <c r="H4" s="363"/>
    </row>
    <row r="5" spans="1:8">
      <c r="A5" s="355" t="s">
        <v>2</v>
      </c>
      <c r="B5" s="355" t="s">
        <v>179</v>
      </c>
      <c r="C5" s="355" t="s">
        <v>259</v>
      </c>
      <c r="D5" s="355" t="s">
        <v>203</v>
      </c>
      <c r="E5" s="355"/>
      <c r="F5" s="355"/>
      <c r="G5" s="355"/>
      <c r="H5" s="355"/>
    </row>
    <row r="6" spans="1:8" ht="110.25">
      <c r="A6" s="355"/>
      <c r="B6" s="355"/>
      <c r="C6" s="355"/>
      <c r="D6" s="34" t="s">
        <v>260</v>
      </c>
      <c r="E6" s="34" t="s">
        <v>261</v>
      </c>
      <c r="F6" s="34" t="s">
        <v>262</v>
      </c>
      <c r="G6" s="34" t="s">
        <v>25</v>
      </c>
      <c r="H6" s="34" t="s">
        <v>263</v>
      </c>
    </row>
    <row r="7" spans="1:8">
      <c r="A7" s="34" t="s">
        <v>7</v>
      </c>
      <c r="B7" s="34" t="s">
        <v>8</v>
      </c>
      <c r="C7" s="34">
        <v>1</v>
      </c>
      <c r="D7" s="34">
        <v>2</v>
      </c>
      <c r="E7" s="34">
        <v>3</v>
      </c>
      <c r="F7" s="34">
        <v>4</v>
      </c>
      <c r="G7" s="34">
        <v>5</v>
      </c>
      <c r="H7" s="34">
        <v>6</v>
      </c>
    </row>
    <row r="8" spans="1:8">
      <c r="A8" s="32"/>
      <c r="B8" s="33" t="s">
        <v>184</v>
      </c>
      <c r="C8" s="32"/>
      <c r="D8" s="32"/>
      <c r="E8" s="32"/>
      <c r="F8" s="32"/>
      <c r="G8" s="32"/>
      <c r="H8" s="32"/>
    </row>
    <row r="9" spans="1:8">
      <c r="A9" s="11">
        <v>1</v>
      </c>
      <c r="B9" s="12" t="s">
        <v>233</v>
      </c>
      <c r="C9" s="11"/>
      <c r="D9" s="11"/>
      <c r="E9" s="11"/>
      <c r="F9" s="11"/>
      <c r="G9" s="11"/>
      <c r="H9" s="11"/>
    </row>
    <row r="10" spans="1:8">
      <c r="A10" s="11">
        <v>2</v>
      </c>
      <c r="B10" s="12" t="s">
        <v>234</v>
      </c>
      <c r="C10" s="11"/>
      <c r="D10" s="11"/>
      <c r="E10" s="11"/>
      <c r="F10" s="11"/>
      <c r="G10" s="11"/>
      <c r="H10" s="11"/>
    </row>
    <row r="11" spans="1:8">
      <c r="A11" s="11">
        <v>3</v>
      </c>
      <c r="B11" s="12" t="s">
        <v>264</v>
      </c>
      <c r="C11" s="11"/>
      <c r="D11" s="11"/>
      <c r="E11" s="11"/>
      <c r="F11" s="11"/>
      <c r="G11" s="11"/>
      <c r="H11" s="11"/>
    </row>
    <row r="12" spans="1:8">
      <c r="A12" s="11">
        <v>4</v>
      </c>
      <c r="B12" s="12" t="s">
        <v>235</v>
      </c>
      <c r="C12" s="11"/>
      <c r="D12" s="11"/>
      <c r="E12" s="11"/>
      <c r="F12" s="11"/>
      <c r="G12" s="11"/>
      <c r="H12" s="11"/>
    </row>
    <row r="13" spans="1:8">
      <c r="A13" s="11">
        <v>5</v>
      </c>
      <c r="B13" s="12" t="s">
        <v>265</v>
      </c>
      <c r="C13" s="11"/>
      <c r="D13" s="11"/>
      <c r="E13" s="11"/>
      <c r="F13" s="11"/>
      <c r="G13" s="11"/>
      <c r="H13" s="11"/>
    </row>
    <row r="14" spans="1:8">
      <c r="A14" s="11">
        <v>6</v>
      </c>
      <c r="B14" s="12" t="s">
        <v>236</v>
      </c>
      <c r="C14" s="11"/>
      <c r="D14" s="11"/>
      <c r="E14" s="11"/>
      <c r="F14" s="11"/>
      <c r="G14" s="11"/>
      <c r="H14" s="11"/>
    </row>
    <row r="15" spans="1:8">
      <c r="A15" s="11">
        <v>7</v>
      </c>
      <c r="B15" s="12" t="s">
        <v>237</v>
      </c>
      <c r="C15" s="11"/>
      <c r="D15" s="11"/>
      <c r="E15" s="11"/>
      <c r="F15" s="11"/>
      <c r="G15" s="11"/>
      <c r="H15" s="11"/>
    </row>
    <row r="16" spans="1:8">
      <c r="A16" s="11">
        <v>8</v>
      </c>
      <c r="B16" s="12" t="s">
        <v>266</v>
      </c>
      <c r="C16" s="11"/>
      <c r="D16" s="11"/>
      <c r="E16" s="11"/>
      <c r="F16" s="11"/>
      <c r="G16" s="11"/>
      <c r="H16" s="11"/>
    </row>
    <row r="17" spans="1:8">
      <c r="A17" s="11">
        <v>9</v>
      </c>
      <c r="B17" s="12" t="s">
        <v>267</v>
      </c>
      <c r="C17" s="11"/>
      <c r="D17" s="11"/>
      <c r="E17" s="11"/>
      <c r="F17" s="11"/>
      <c r="G17" s="11"/>
      <c r="H17" s="11"/>
    </row>
    <row r="18" spans="1:8">
      <c r="A18" s="11">
        <v>10</v>
      </c>
      <c r="B18" s="12"/>
      <c r="C18" s="11"/>
      <c r="D18" s="11"/>
      <c r="E18" s="11"/>
      <c r="F18" s="11"/>
      <c r="G18" s="11"/>
      <c r="H18" s="11"/>
    </row>
    <row r="19" spans="1:8">
      <c r="A19" s="11">
        <v>11</v>
      </c>
      <c r="B19" s="12"/>
      <c r="C19" s="11"/>
      <c r="D19" s="11"/>
      <c r="E19" s="11"/>
      <c r="F19" s="11"/>
      <c r="G19" s="11"/>
      <c r="H19" s="11"/>
    </row>
    <row r="20" spans="1:8">
      <c r="A20" s="11">
        <v>12</v>
      </c>
      <c r="B20" s="12"/>
      <c r="C20" s="11"/>
      <c r="D20" s="11"/>
      <c r="E20" s="11"/>
      <c r="F20" s="11"/>
      <c r="G20" s="11"/>
      <c r="H20" s="11"/>
    </row>
    <row r="21" spans="1:8">
      <c r="A21" s="11">
        <v>13</v>
      </c>
      <c r="B21" s="12"/>
      <c r="C21" s="11"/>
      <c r="D21" s="11"/>
      <c r="E21" s="11"/>
      <c r="F21" s="11"/>
      <c r="G21" s="11"/>
      <c r="H21" s="11"/>
    </row>
    <row r="22" spans="1:8">
      <c r="A22" s="11">
        <v>14</v>
      </c>
      <c r="B22" s="12"/>
      <c r="C22" s="11"/>
      <c r="D22" s="11"/>
      <c r="E22" s="11"/>
      <c r="F22" s="11"/>
      <c r="G22" s="11"/>
      <c r="H22" s="11"/>
    </row>
    <row r="23" spans="1:8">
      <c r="A23" s="11">
        <v>15</v>
      </c>
      <c r="B23" s="12"/>
      <c r="C23" s="11"/>
      <c r="D23" s="11"/>
      <c r="E23" s="11"/>
      <c r="F23" s="11"/>
      <c r="G23" s="11"/>
      <c r="H23" s="11"/>
    </row>
    <row r="24" spans="1:8">
      <c r="A24" s="15">
        <v>16</v>
      </c>
      <c r="B24" s="16"/>
      <c r="C24" s="15"/>
      <c r="D24" s="15"/>
      <c r="E24" s="15"/>
      <c r="F24" s="15"/>
      <c r="G24" s="15"/>
      <c r="H24" s="15"/>
    </row>
  </sheetData>
  <mergeCells count="8">
    <mergeCell ref="A5:A6"/>
    <mergeCell ref="B5:B6"/>
    <mergeCell ref="C5:C6"/>
    <mergeCell ref="D5:H5"/>
    <mergeCell ref="F1:H1"/>
    <mergeCell ref="F4:H4"/>
    <mergeCell ref="A2:H2"/>
    <mergeCell ref="A3:H3"/>
  </mergeCell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I386"/>
  <sheetViews>
    <sheetView topLeftCell="A300" workbookViewId="0">
      <selection activeCell="F304" sqref="F304"/>
    </sheetView>
  </sheetViews>
  <sheetFormatPr defaultRowHeight="15.75"/>
  <cols>
    <col min="1" max="1" width="9.5703125" style="64" customWidth="1"/>
    <col min="2" max="4" width="12.140625" style="64" customWidth="1"/>
    <col min="5" max="5" width="17.42578125" style="64" bestFit="1" customWidth="1"/>
    <col min="6" max="6" width="17.42578125" style="73" bestFit="1" customWidth="1"/>
    <col min="7" max="16384" width="9.140625" style="64"/>
  </cols>
  <sheetData>
    <row r="1" spans="1:9">
      <c r="E1" s="65" t="s">
        <v>361</v>
      </c>
    </row>
    <row r="2" spans="1:9">
      <c r="A2" s="389" t="s">
        <v>362</v>
      </c>
      <c r="B2" s="389"/>
      <c r="C2" s="389"/>
      <c r="D2" s="389"/>
      <c r="E2" s="389"/>
    </row>
    <row r="4" spans="1:9" s="54" customFormat="1" ht="63">
      <c r="A4" s="66" t="s">
        <v>363</v>
      </c>
      <c r="B4" s="66" t="s">
        <v>364</v>
      </c>
      <c r="C4" s="66" t="s">
        <v>365</v>
      </c>
      <c r="D4" s="66" t="s">
        <v>366</v>
      </c>
      <c r="E4" s="66" t="s">
        <v>367</v>
      </c>
      <c r="F4" s="81"/>
    </row>
    <row r="5" spans="1:9" s="68" customFormat="1">
      <c r="A5" s="390" t="s">
        <v>368</v>
      </c>
      <c r="B5" s="390"/>
      <c r="C5" s="390"/>
      <c r="D5" s="390"/>
      <c r="E5" s="67">
        <f>E6+E264+E317+E371+E376+E379</f>
        <v>187247053801</v>
      </c>
      <c r="F5" s="82">
        <v>186888617136</v>
      </c>
    </row>
    <row r="6" spans="1:9">
      <c r="A6" s="391" t="s">
        <v>369</v>
      </c>
      <c r="B6" s="391"/>
      <c r="C6" s="391"/>
      <c r="D6" s="391"/>
      <c r="E6" s="69">
        <f>SUM(E7:E263)</f>
        <v>157093587357</v>
      </c>
    </row>
    <row r="7" spans="1:9">
      <c r="A7" s="70"/>
      <c r="B7" s="70">
        <v>412</v>
      </c>
      <c r="C7" s="71" t="s">
        <v>370</v>
      </c>
      <c r="D7" s="70">
        <v>6106</v>
      </c>
      <c r="E7" s="72">
        <v>13782768</v>
      </c>
    </row>
    <row r="8" spans="1:9">
      <c r="A8" s="70"/>
      <c r="B8" s="70">
        <v>412</v>
      </c>
      <c r="C8" s="71" t="s">
        <v>370</v>
      </c>
      <c r="D8" s="70">
        <v>6257</v>
      </c>
      <c r="E8" s="72">
        <v>1194120</v>
      </c>
    </row>
    <row r="9" spans="1:9">
      <c r="A9" s="70"/>
      <c r="B9" s="70">
        <v>412</v>
      </c>
      <c r="C9" s="71" t="s">
        <v>370</v>
      </c>
      <c r="D9" s="70">
        <v>6503</v>
      </c>
      <c r="E9" s="72">
        <v>485730</v>
      </c>
      <c r="I9" s="65"/>
    </row>
    <row r="10" spans="1:9">
      <c r="A10" s="70"/>
      <c r="B10" s="70">
        <v>412</v>
      </c>
      <c r="C10" s="71" t="s">
        <v>370</v>
      </c>
      <c r="D10" s="70">
        <v>6551</v>
      </c>
      <c r="E10" s="72">
        <v>21464000</v>
      </c>
    </row>
    <row r="11" spans="1:9">
      <c r="A11" s="70"/>
      <c r="B11" s="70">
        <v>412</v>
      </c>
      <c r="C11" s="71" t="s">
        <v>370</v>
      </c>
      <c r="D11" s="70">
        <v>6603</v>
      </c>
      <c r="E11" s="72">
        <v>1553368</v>
      </c>
    </row>
    <row r="12" spans="1:9">
      <c r="A12" s="70"/>
      <c r="B12" s="70">
        <v>412</v>
      </c>
      <c r="C12" s="71" t="s">
        <v>370</v>
      </c>
      <c r="D12" s="70">
        <v>6651</v>
      </c>
      <c r="E12" s="72">
        <v>2274250</v>
      </c>
    </row>
    <row r="13" spans="1:9">
      <c r="A13" s="70"/>
      <c r="B13" s="70">
        <v>412</v>
      </c>
      <c r="C13" s="71" t="s">
        <v>370</v>
      </c>
      <c r="D13" s="70">
        <v>6652</v>
      </c>
      <c r="E13" s="72">
        <v>3400000</v>
      </c>
    </row>
    <row r="14" spans="1:9">
      <c r="A14" s="70"/>
      <c r="B14" s="70">
        <v>412</v>
      </c>
      <c r="C14" s="71" t="s">
        <v>370</v>
      </c>
      <c r="D14" s="70">
        <v>6654</v>
      </c>
      <c r="E14" s="72">
        <v>30400000</v>
      </c>
    </row>
    <row r="15" spans="1:9">
      <c r="A15" s="70"/>
      <c r="B15" s="70">
        <v>412</v>
      </c>
      <c r="C15" s="71" t="s">
        <v>370</v>
      </c>
      <c r="D15" s="70">
        <v>6655</v>
      </c>
      <c r="E15" s="72">
        <v>33670039</v>
      </c>
    </row>
    <row r="16" spans="1:9">
      <c r="A16" s="70"/>
      <c r="B16" s="70">
        <v>412</v>
      </c>
      <c r="C16" s="71" t="s">
        <v>370</v>
      </c>
      <c r="D16" s="70">
        <v>6657</v>
      </c>
      <c r="E16" s="72">
        <v>4980066</v>
      </c>
    </row>
    <row r="17" spans="1:5">
      <c r="A17" s="70"/>
      <c r="B17" s="70">
        <v>412</v>
      </c>
      <c r="C17" s="71" t="s">
        <v>370</v>
      </c>
      <c r="D17" s="70">
        <v>6658</v>
      </c>
      <c r="E17" s="72">
        <v>43104895</v>
      </c>
    </row>
    <row r="18" spans="1:5">
      <c r="A18" s="70"/>
      <c r="B18" s="70">
        <v>412</v>
      </c>
      <c r="C18" s="71" t="s">
        <v>370</v>
      </c>
      <c r="D18" s="70">
        <v>6699</v>
      </c>
      <c r="E18" s="72">
        <v>9120000</v>
      </c>
    </row>
    <row r="19" spans="1:5">
      <c r="A19" s="70"/>
      <c r="B19" s="70">
        <v>412</v>
      </c>
      <c r="C19" s="71" t="s">
        <v>370</v>
      </c>
      <c r="D19" s="70">
        <v>6702</v>
      </c>
      <c r="E19" s="72">
        <v>22858750</v>
      </c>
    </row>
    <row r="20" spans="1:5">
      <c r="A20" s="70"/>
      <c r="B20" s="70">
        <v>412</v>
      </c>
      <c r="C20" s="71" t="s">
        <v>370</v>
      </c>
      <c r="D20" s="70">
        <v>6703</v>
      </c>
      <c r="E20" s="72">
        <v>3600000</v>
      </c>
    </row>
    <row r="21" spans="1:5">
      <c r="A21" s="70"/>
      <c r="B21" s="70">
        <v>412</v>
      </c>
      <c r="C21" s="71" t="s">
        <v>370</v>
      </c>
      <c r="D21" s="70">
        <v>6912</v>
      </c>
      <c r="E21" s="72">
        <v>30000</v>
      </c>
    </row>
    <row r="22" spans="1:5">
      <c r="A22" s="70"/>
      <c r="B22" s="70">
        <v>412</v>
      </c>
      <c r="C22" s="71" t="s">
        <v>370</v>
      </c>
      <c r="D22" s="70">
        <v>7003</v>
      </c>
      <c r="E22" s="72">
        <v>19525876</v>
      </c>
    </row>
    <row r="23" spans="1:5">
      <c r="A23" s="70"/>
      <c r="B23" s="70">
        <v>412</v>
      </c>
      <c r="C23" s="71" t="s">
        <v>370</v>
      </c>
      <c r="D23" s="70">
        <v>7012</v>
      </c>
      <c r="E23" s="72">
        <v>1291213365</v>
      </c>
    </row>
    <row r="24" spans="1:5">
      <c r="A24" s="70"/>
      <c r="B24" s="70">
        <v>412</v>
      </c>
      <c r="C24" s="71" t="s">
        <v>370</v>
      </c>
      <c r="D24" s="70">
        <v>7049</v>
      </c>
      <c r="E24" s="72">
        <v>81104831</v>
      </c>
    </row>
    <row r="25" spans="1:5">
      <c r="A25" s="70"/>
      <c r="B25" s="70">
        <v>412</v>
      </c>
      <c r="C25" s="71" t="s">
        <v>370</v>
      </c>
      <c r="D25" s="70">
        <v>7049</v>
      </c>
      <c r="E25" s="72">
        <v>283264977</v>
      </c>
    </row>
    <row r="26" spans="1:5">
      <c r="A26" s="70"/>
      <c r="B26" s="70">
        <v>412</v>
      </c>
      <c r="C26" s="71" t="s">
        <v>370</v>
      </c>
      <c r="D26" s="70">
        <v>9062</v>
      </c>
      <c r="E26" s="72">
        <v>12650000</v>
      </c>
    </row>
    <row r="27" spans="1:5">
      <c r="A27" s="70"/>
      <c r="B27" s="70">
        <v>412</v>
      </c>
      <c r="C27" s="70">
        <v>498</v>
      </c>
      <c r="D27" s="70">
        <v>7012</v>
      </c>
      <c r="E27" s="72">
        <v>751945628</v>
      </c>
    </row>
    <row r="28" spans="1:5">
      <c r="A28" s="70"/>
      <c r="B28" s="70">
        <v>422</v>
      </c>
      <c r="C28" s="70">
        <v>491</v>
      </c>
      <c r="D28" s="70">
        <v>9099</v>
      </c>
      <c r="E28" s="72">
        <v>11433878000</v>
      </c>
    </row>
    <row r="29" spans="1:5">
      <c r="A29" s="70"/>
      <c r="B29" s="70">
        <v>422</v>
      </c>
      <c r="C29" s="70">
        <v>492</v>
      </c>
      <c r="D29" s="70">
        <v>9099</v>
      </c>
      <c r="E29" s="72">
        <v>213000000</v>
      </c>
    </row>
    <row r="30" spans="1:5">
      <c r="A30" s="70"/>
      <c r="B30" s="70">
        <v>422</v>
      </c>
      <c r="C30" s="70">
        <v>493</v>
      </c>
      <c r="D30" s="70">
        <v>9099</v>
      </c>
      <c r="E30" s="72">
        <v>766800000</v>
      </c>
    </row>
    <row r="31" spans="1:5">
      <c r="A31" s="70"/>
      <c r="B31" s="70">
        <v>424</v>
      </c>
      <c r="C31" s="70">
        <v>498</v>
      </c>
      <c r="D31" s="70">
        <v>6551</v>
      </c>
      <c r="E31" s="72">
        <v>6970000</v>
      </c>
    </row>
    <row r="32" spans="1:5">
      <c r="A32" s="70"/>
      <c r="B32" s="70">
        <v>424</v>
      </c>
      <c r="C32" s="70">
        <v>498</v>
      </c>
      <c r="D32" s="70">
        <v>6702</v>
      </c>
      <c r="E32" s="72">
        <v>2040000</v>
      </c>
    </row>
    <row r="33" spans="1:5">
      <c r="A33" s="70"/>
      <c r="B33" s="70">
        <v>424</v>
      </c>
      <c r="C33" s="70">
        <v>498</v>
      </c>
      <c r="D33" s="70">
        <v>6751</v>
      </c>
      <c r="E33" s="72">
        <v>8750000</v>
      </c>
    </row>
    <row r="34" spans="1:5">
      <c r="A34" s="70"/>
      <c r="B34" s="70">
        <v>424</v>
      </c>
      <c r="C34" s="70">
        <v>498</v>
      </c>
      <c r="D34" s="70">
        <v>7003</v>
      </c>
      <c r="E34" s="72">
        <v>38726700</v>
      </c>
    </row>
    <row r="35" spans="1:5">
      <c r="A35" s="70"/>
      <c r="B35" s="70">
        <v>424</v>
      </c>
      <c r="C35" s="70">
        <v>498</v>
      </c>
      <c r="D35" s="70">
        <v>7012</v>
      </c>
      <c r="E35" s="72">
        <v>242149250</v>
      </c>
    </row>
    <row r="36" spans="1:5">
      <c r="A36" s="70"/>
      <c r="B36" s="70">
        <v>424</v>
      </c>
      <c r="C36" s="70">
        <v>498</v>
      </c>
      <c r="D36" s="70">
        <v>8008</v>
      </c>
      <c r="E36" s="72">
        <v>417552013</v>
      </c>
    </row>
    <row r="37" spans="1:5">
      <c r="A37" s="70"/>
      <c r="B37" s="70">
        <v>425</v>
      </c>
      <c r="C37" s="70">
        <v>554</v>
      </c>
      <c r="D37" s="70">
        <v>7001</v>
      </c>
      <c r="E37" s="72">
        <v>57330000</v>
      </c>
    </row>
    <row r="38" spans="1:5">
      <c r="A38" s="70"/>
      <c r="B38" s="70">
        <v>425</v>
      </c>
      <c r="C38" s="70">
        <v>554</v>
      </c>
      <c r="D38" s="70">
        <v>9099</v>
      </c>
      <c r="E38" s="72">
        <v>442040000</v>
      </c>
    </row>
    <row r="39" spans="1:5">
      <c r="A39" s="70"/>
      <c r="B39" s="70">
        <v>427</v>
      </c>
      <c r="C39" s="70">
        <v>279</v>
      </c>
      <c r="D39" s="70">
        <v>7012</v>
      </c>
      <c r="E39" s="72">
        <v>2000000</v>
      </c>
    </row>
    <row r="40" spans="1:5">
      <c r="A40" s="70"/>
      <c r="B40" s="70">
        <v>427</v>
      </c>
      <c r="C40" s="70">
        <v>279</v>
      </c>
      <c r="D40" s="70">
        <v>9055</v>
      </c>
      <c r="E40" s="72">
        <v>451775500</v>
      </c>
    </row>
    <row r="41" spans="1:5">
      <c r="A41" s="70"/>
      <c r="B41" s="70">
        <v>435</v>
      </c>
      <c r="C41" s="70">
        <v>498</v>
      </c>
      <c r="D41" s="70">
        <v>6758</v>
      </c>
      <c r="E41" s="72">
        <v>456750000</v>
      </c>
    </row>
    <row r="42" spans="1:5">
      <c r="A42" s="70"/>
      <c r="B42" s="70">
        <v>435</v>
      </c>
      <c r="C42" s="70">
        <v>502</v>
      </c>
      <c r="D42" s="70">
        <v>6758</v>
      </c>
      <c r="E42" s="72">
        <v>52400000</v>
      </c>
    </row>
    <row r="43" spans="1:5">
      <c r="A43" s="70"/>
      <c r="B43" s="70">
        <v>448</v>
      </c>
      <c r="C43" s="70">
        <v>472</v>
      </c>
      <c r="D43" s="70">
        <v>6651</v>
      </c>
      <c r="E43" s="72">
        <v>8104823</v>
      </c>
    </row>
    <row r="44" spans="1:5">
      <c r="A44" s="70"/>
      <c r="B44" s="70">
        <v>448</v>
      </c>
      <c r="C44" s="70">
        <v>472</v>
      </c>
      <c r="D44" s="70">
        <v>6652</v>
      </c>
      <c r="E44" s="72">
        <v>22400000</v>
      </c>
    </row>
    <row r="45" spans="1:5">
      <c r="A45" s="70"/>
      <c r="B45" s="70">
        <v>448</v>
      </c>
      <c r="C45" s="70">
        <v>472</v>
      </c>
      <c r="D45" s="70">
        <v>6655</v>
      </c>
      <c r="E45" s="72">
        <v>20780000</v>
      </c>
    </row>
    <row r="46" spans="1:5">
      <c r="A46" s="70"/>
      <c r="B46" s="70">
        <v>448</v>
      </c>
      <c r="C46" s="70">
        <v>472</v>
      </c>
      <c r="D46" s="70">
        <v>6657</v>
      </c>
      <c r="E46" s="72">
        <v>799955</v>
      </c>
    </row>
    <row r="47" spans="1:5">
      <c r="A47" s="70"/>
      <c r="B47" s="70">
        <v>448</v>
      </c>
      <c r="C47" s="70">
        <v>472</v>
      </c>
      <c r="D47" s="70">
        <v>6658</v>
      </c>
      <c r="E47" s="72">
        <v>825000</v>
      </c>
    </row>
    <row r="48" spans="1:5">
      <c r="A48" s="70"/>
      <c r="B48" s="70">
        <v>448</v>
      </c>
      <c r="C48" s="70">
        <v>472</v>
      </c>
      <c r="D48" s="70">
        <v>6699</v>
      </c>
      <c r="E48" s="72">
        <v>29460045</v>
      </c>
    </row>
    <row r="49" spans="1:5">
      <c r="A49" s="70"/>
      <c r="B49" s="70">
        <v>448</v>
      </c>
      <c r="C49" s="70">
        <v>472</v>
      </c>
      <c r="D49" s="70">
        <v>6702</v>
      </c>
      <c r="E49" s="72">
        <v>330000</v>
      </c>
    </row>
    <row r="50" spans="1:5">
      <c r="A50" s="70"/>
      <c r="B50" s="70">
        <v>612</v>
      </c>
      <c r="C50" s="71" t="s">
        <v>371</v>
      </c>
      <c r="D50" s="70">
        <v>6106</v>
      </c>
      <c r="E50" s="72">
        <v>1216000</v>
      </c>
    </row>
    <row r="51" spans="1:5">
      <c r="A51" s="70"/>
      <c r="B51" s="70">
        <v>612</v>
      </c>
      <c r="C51" s="71" t="s">
        <v>371</v>
      </c>
      <c r="D51" s="70">
        <v>6652</v>
      </c>
      <c r="E51" s="72">
        <v>600000</v>
      </c>
    </row>
    <row r="52" spans="1:5">
      <c r="A52" s="70"/>
      <c r="B52" s="70">
        <v>612</v>
      </c>
      <c r="C52" s="71" t="s">
        <v>371</v>
      </c>
      <c r="D52" s="70">
        <v>6657</v>
      </c>
      <c r="E52" s="72">
        <v>300000</v>
      </c>
    </row>
    <row r="53" spans="1:5">
      <c r="A53" s="70"/>
      <c r="B53" s="70">
        <v>612</v>
      </c>
      <c r="C53" s="71" t="s">
        <v>371</v>
      </c>
      <c r="D53" s="70">
        <v>6658</v>
      </c>
      <c r="E53" s="72">
        <v>3375000</v>
      </c>
    </row>
    <row r="54" spans="1:5">
      <c r="A54" s="70"/>
      <c r="B54" s="70">
        <v>612</v>
      </c>
      <c r="C54" s="71" t="s">
        <v>371</v>
      </c>
      <c r="D54" s="70">
        <v>6699</v>
      </c>
      <c r="E54" s="72">
        <v>570000</v>
      </c>
    </row>
    <row r="55" spans="1:5">
      <c r="A55" s="70"/>
      <c r="B55" s="70">
        <v>612</v>
      </c>
      <c r="C55" s="71" t="s">
        <v>371</v>
      </c>
      <c r="D55" s="70">
        <v>6702</v>
      </c>
      <c r="E55" s="72">
        <v>5775000</v>
      </c>
    </row>
    <row r="56" spans="1:5">
      <c r="A56" s="70"/>
      <c r="B56" s="70">
        <v>612</v>
      </c>
      <c r="C56" s="71" t="s">
        <v>371</v>
      </c>
      <c r="D56" s="70">
        <v>6751</v>
      </c>
      <c r="E56" s="72">
        <v>5500000</v>
      </c>
    </row>
    <row r="57" spans="1:5">
      <c r="A57" s="70"/>
      <c r="B57" s="70">
        <v>612</v>
      </c>
      <c r="C57" s="71" t="s">
        <v>371</v>
      </c>
      <c r="D57" s="70">
        <v>7001</v>
      </c>
      <c r="E57" s="72">
        <v>302160000</v>
      </c>
    </row>
    <row r="58" spans="1:5">
      <c r="A58" s="70"/>
      <c r="B58" s="70">
        <v>612</v>
      </c>
      <c r="C58" s="71" t="s">
        <v>371</v>
      </c>
      <c r="D58" s="70">
        <v>7049</v>
      </c>
      <c r="E58" s="72">
        <v>6750000</v>
      </c>
    </row>
    <row r="59" spans="1:5">
      <c r="A59" s="70"/>
      <c r="B59" s="70">
        <v>612</v>
      </c>
      <c r="C59" s="71" t="s">
        <v>372</v>
      </c>
      <c r="D59" s="70">
        <v>6606</v>
      </c>
      <c r="E59" s="72">
        <v>99000000</v>
      </c>
    </row>
    <row r="60" spans="1:5">
      <c r="A60" s="70"/>
      <c r="B60" s="70">
        <v>612</v>
      </c>
      <c r="C60" s="71" t="s">
        <v>372</v>
      </c>
      <c r="D60" s="70">
        <v>6651</v>
      </c>
      <c r="E60" s="72">
        <v>50332000</v>
      </c>
    </row>
    <row r="61" spans="1:5">
      <c r="A61" s="70"/>
      <c r="B61" s="70">
        <v>612</v>
      </c>
      <c r="C61" s="71" t="s">
        <v>372</v>
      </c>
      <c r="D61" s="70">
        <v>6652</v>
      </c>
      <c r="E61" s="72">
        <v>18000000</v>
      </c>
    </row>
    <row r="62" spans="1:5">
      <c r="A62" s="70"/>
      <c r="B62" s="70">
        <v>612</v>
      </c>
      <c r="C62" s="71" t="s">
        <v>372</v>
      </c>
      <c r="D62" s="70">
        <v>6655</v>
      </c>
      <c r="E62" s="72">
        <v>19300000</v>
      </c>
    </row>
    <row r="63" spans="1:5">
      <c r="A63" s="70"/>
      <c r="B63" s="70">
        <v>612</v>
      </c>
      <c r="C63" s="71" t="s">
        <v>372</v>
      </c>
      <c r="D63" s="70">
        <v>6699</v>
      </c>
      <c r="E63" s="72">
        <v>123573000</v>
      </c>
    </row>
    <row r="64" spans="1:5">
      <c r="A64" s="70"/>
      <c r="B64" s="70">
        <v>612</v>
      </c>
      <c r="C64" s="71" t="s">
        <v>372</v>
      </c>
      <c r="D64" s="70">
        <v>6751</v>
      </c>
      <c r="E64" s="72">
        <v>10000000</v>
      </c>
    </row>
    <row r="65" spans="1:5">
      <c r="A65" s="70"/>
      <c r="B65" s="70">
        <v>612</v>
      </c>
      <c r="C65" s="71" t="s">
        <v>372</v>
      </c>
      <c r="D65" s="70">
        <v>7012</v>
      </c>
      <c r="E65" s="72">
        <v>70987245</v>
      </c>
    </row>
    <row r="66" spans="1:5">
      <c r="A66" s="70"/>
      <c r="B66" s="70">
        <v>612</v>
      </c>
      <c r="C66" s="71" t="s">
        <v>372</v>
      </c>
      <c r="D66" s="70">
        <v>7049</v>
      </c>
      <c r="E66" s="72">
        <v>18190000</v>
      </c>
    </row>
    <row r="67" spans="1:5">
      <c r="A67" s="70"/>
      <c r="B67" s="70">
        <v>612</v>
      </c>
      <c r="C67" s="71" t="s">
        <v>373</v>
      </c>
      <c r="D67" s="70">
        <v>6655</v>
      </c>
      <c r="E67" s="72">
        <v>1000000</v>
      </c>
    </row>
    <row r="68" spans="1:5">
      <c r="A68" s="70"/>
      <c r="B68" s="70">
        <v>612</v>
      </c>
      <c r="C68" s="71" t="s">
        <v>373</v>
      </c>
      <c r="D68" s="70">
        <v>6657</v>
      </c>
      <c r="E68" s="72">
        <v>300000</v>
      </c>
    </row>
    <row r="69" spans="1:5">
      <c r="A69" s="70"/>
      <c r="B69" s="70">
        <v>612</v>
      </c>
      <c r="C69" s="71" t="s">
        <v>373</v>
      </c>
      <c r="D69" s="70">
        <v>6699</v>
      </c>
      <c r="E69" s="72">
        <v>12900000</v>
      </c>
    </row>
    <row r="70" spans="1:5">
      <c r="A70" s="70"/>
      <c r="B70" s="70">
        <v>612</v>
      </c>
      <c r="C70" s="71" t="s">
        <v>373</v>
      </c>
      <c r="D70" s="70">
        <v>6751</v>
      </c>
      <c r="E70" s="72">
        <v>10600000</v>
      </c>
    </row>
    <row r="71" spans="1:5">
      <c r="A71" s="70"/>
      <c r="B71" s="70">
        <v>612</v>
      </c>
      <c r="C71" s="71" t="s">
        <v>373</v>
      </c>
      <c r="D71" s="70">
        <v>7049</v>
      </c>
      <c r="E71" s="72">
        <v>100000000</v>
      </c>
    </row>
    <row r="72" spans="1:5">
      <c r="A72" s="70"/>
      <c r="B72" s="70">
        <v>612</v>
      </c>
      <c r="C72" s="71" t="s">
        <v>373</v>
      </c>
      <c r="D72" s="70">
        <v>7049</v>
      </c>
      <c r="E72" s="72">
        <v>318298705</v>
      </c>
    </row>
    <row r="73" spans="1:5">
      <c r="A73" s="70"/>
      <c r="B73" s="70">
        <v>612</v>
      </c>
      <c r="C73" s="70">
        <v>463</v>
      </c>
      <c r="D73" s="70">
        <v>6106</v>
      </c>
      <c r="E73" s="72">
        <v>4996474</v>
      </c>
    </row>
    <row r="74" spans="1:5">
      <c r="A74" s="70"/>
      <c r="B74" s="70">
        <v>612</v>
      </c>
      <c r="C74" s="70">
        <v>463</v>
      </c>
      <c r="D74" s="70">
        <v>6551</v>
      </c>
      <c r="E74" s="72">
        <v>2965816</v>
      </c>
    </row>
    <row r="75" spans="1:5">
      <c r="A75" s="70"/>
      <c r="B75" s="70">
        <v>612</v>
      </c>
      <c r="C75" s="70">
        <v>463</v>
      </c>
      <c r="D75" s="70">
        <v>6651</v>
      </c>
      <c r="E75" s="72">
        <v>870000</v>
      </c>
    </row>
    <row r="76" spans="1:5">
      <c r="A76" s="70"/>
      <c r="B76" s="70">
        <v>612</v>
      </c>
      <c r="C76" s="70">
        <v>463</v>
      </c>
      <c r="D76" s="70">
        <v>6652</v>
      </c>
      <c r="E76" s="72">
        <v>400000</v>
      </c>
    </row>
    <row r="77" spans="1:5">
      <c r="A77" s="70"/>
      <c r="B77" s="70">
        <v>612</v>
      </c>
      <c r="C77" s="70">
        <v>463</v>
      </c>
      <c r="D77" s="70">
        <v>6657</v>
      </c>
      <c r="E77" s="72">
        <v>300000</v>
      </c>
    </row>
    <row r="78" spans="1:5">
      <c r="A78" s="70"/>
      <c r="B78" s="70">
        <v>612</v>
      </c>
      <c r="C78" s="70">
        <v>463</v>
      </c>
      <c r="D78" s="70">
        <v>6658</v>
      </c>
      <c r="E78" s="72">
        <v>135850000</v>
      </c>
    </row>
    <row r="79" spans="1:5">
      <c r="A79" s="70"/>
      <c r="B79" s="70">
        <v>612</v>
      </c>
      <c r="C79" s="70">
        <v>463</v>
      </c>
      <c r="D79" s="70">
        <v>6699</v>
      </c>
      <c r="E79" s="72">
        <v>12100000</v>
      </c>
    </row>
    <row r="80" spans="1:5">
      <c r="A80" s="70"/>
      <c r="B80" s="70">
        <v>612</v>
      </c>
      <c r="C80" s="70">
        <v>463</v>
      </c>
      <c r="D80" s="70">
        <v>6701</v>
      </c>
      <c r="E80" s="72">
        <v>1368000</v>
      </c>
    </row>
    <row r="81" spans="1:5">
      <c r="A81" s="70"/>
      <c r="B81" s="70">
        <v>612</v>
      </c>
      <c r="C81" s="70">
        <v>463</v>
      </c>
      <c r="D81" s="70">
        <v>6702</v>
      </c>
      <c r="E81" s="72">
        <v>15280000</v>
      </c>
    </row>
    <row r="82" spans="1:5">
      <c r="A82" s="70"/>
      <c r="B82" s="70">
        <v>612</v>
      </c>
      <c r="C82" s="70">
        <v>463</v>
      </c>
      <c r="D82" s="70">
        <v>6751</v>
      </c>
      <c r="E82" s="72">
        <v>5000000</v>
      </c>
    </row>
    <row r="83" spans="1:5">
      <c r="A83" s="70"/>
      <c r="B83" s="70">
        <v>612</v>
      </c>
      <c r="C83" s="70">
        <v>463</v>
      </c>
      <c r="D83" s="70">
        <v>7001</v>
      </c>
      <c r="E83" s="72">
        <v>216968450</v>
      </c>
    </row>
    <row r="84" spans="1:5">
      <c r="A84" s="70"/>
      <c r="B84" s="70">
        <v>612</v>
      </c>
      <c r="C84" s="70">
        <v>463</v>
      </c>
      <c r="D84" s="70">
        <v>7003</v>
      </c>
      <c r="E84" s="72">
        <v>138044800</v>
      </c>
    </row>
    <row r="85" spans="1:5">
      <c r="A85" s="70"/>
      <c r="B85" s="70">
        <v>612</v>
      </c>
      <c r="C85" s="70">
        <v>463</v>
      </c>
      <c r="D85" s="70">
        <v>7012</v>
      </c>
      <c r="E85" s="72">
        <v>209460516</v>
      </c>
    </row>
    <row r="86" spans="1:5">
      <c r="A86" s="70"/>
      <c r="B86" s="70">
        <v>612</v>
      </c>
      <c r="C86" s="70">
        <v>463</v>
      </c>
      <c r="D86" s="70">
        <v>7049</v>
      </c>
      <c r="E86" s="72">
        <v>842520951</v>
      </c>
    </row>
    <row r="87" spans="1:5">
      <c r="A87" s="70"/>
      <c r="B87" s="70">
        <v>612</v>
      </c>
      <c r="C87" s="70">
        <v>463</v>
      </c>
      <c r="D87" s="70">
        <v>8008</v>
      </c>
      <c r="E87" s="72">
        <v>317075880</v>
      </c>
    </row>
    <row r="88" spans="1:5">
      <c r="A88" s="70"/>
      <c r="B88" s="70">
        <v>612</v>
      </c>
      <c r="C88" s="70">
        <v>464</v>
      </c>
      <c r="D88" s="70">
        <v>7799</v>
      </c>
      <c r="E88" s="72">
        <v>4000000</v>
      </c>
    </row>
    <row r="89" spans="1:5">
      <c r="A89" s="70"/>
      <c r="B89" s="70">
        <v>612</v>
      </c>
      <c r="C89" s="70">
        <v>498</v>
      </c>
      <c r="D89" s="70">
        <v>6106</v>
      </c>
      <c r="E89" s="72">
        <v>1988852</v>
      </c>
    </row>
    <row r="90" spans="1:5">
      <c r="A90" s="70"/>
      <c r="B90" s="70">
        <v>612</v>
      </c>
      <c r="C90" s="70">
        <v>498</v>
      </c>
      <c r="D90" s="70">
        <v>6551</v>
      </c>
      <c r="E90" s="72">
        <v>300000</v>
      </c>
    </row>
    <row r="91" spans="1:5">
      <c r="A91" s="70"/>
      <c r="B91" s="70">
        <v>612</v>
      </c>
      <c r="C91" s="70">
        <v>498</v>
      </c>
      <c r="D91" s="70">
        <v>6702</v>
      </c>
      <c r="E91" s="72">
        <v>2520000</v>
      </c>
    </row>
    <row r="92" spans="1:5">
      <c r="A92" s="70"/>
      <c r="B92" s="70">
        <v>612</v>
      </c>
      <c r="C92" s="70">
        <v>498</v>
      </c>
      <c r="D92" s="70">
        <v>8008</v>
      </c>
      <c r="E92" s="72">
        <v>438141965</v>
      </c>
    </row>
    <row r="93" spans="1:5">
      <c r="A93" s="70"/>
      <c r="B93" s="70">
        <v>612</v>
      </c>
      <c r="C93" s="70">
        <v>528</v>
      </c>
      <c r="D93" s="70">
        <v>7012</v>
      </c>
      <c r="E93" s="72">
        <v>394380240</v>
      </c>
    </row>
    <row r="94" spans="1:5">
      <c r="A94" s="70"/>
      <c r="B94" s="70">
        <v>612</v>
      </c>
      <c r="C94" s="70">
        <v>528</v>
      </c>
      <c r="D94" s="70">
        <v>8008</v>
      </c>
      <c r="E94" s="72">
        <v>254575033</v>
      </c>
    </row>
    <row r="95" spans="1:5">
      <c r="A95" s="70"/>
      <c r="B95" s="70">
        <v>620</v>
      </c>
      <c r="C95" s="71" t="s">
        <v>374</v>
      </c>
      <c r="D95" s="70">
        <v>6551</v>
      </c>
      <c r="E95" s="72">
        <v>6643000</v>
      </c>
    </row>
    <row r="96" spans="1:5">
      <c r="A96" s="70"/>
      <c r="B96" s="70">
        <v>620</v>
      </c>
      <c r="C96" s="71" t="s">
        <v>374</v>
      </c>
      <c r="D96" s="70">
        <v>6651</v>
      </c>
      <c r="E96" s="72">
        <v>252000</v>
      </c>
    </row>
    <row r="97" spans="1:5">
      <c r="A97" s="70"/>
      <c r="B97" s="70">
        <v>620</v>
      </c>
      <c r="C97" s="71" t="s">
        <v>374</v>
      </c>
      <c r="D97" s="70">
        <v>6699</v>
      </c>
      <c r="E97" s="72">
        <v>1695000</v>
      </c>
    </row>
    <row r="98" spans="1:5">
      <c r="A98" s="70"/>
      <c r="B98" s="70">
        <v>620</v>
      </c>
      <c r="C98" s="71" t="s">
        <v>374</v>
      </c>
      <c r="D98" s="70">
        <v>6749</v>
      </c>
      <c r="E98" s="72">
        <v>500000</v>
      </c>
    </row>
    <row r="99" spans="1:5">
      <c r="A99" s="70"/>
      <c r="B99" s="70">
        <v>620</v>
      </c>
      <c r="C99" s="71" t="s">
        <v>374</v>
      </c>
      <c r="D99" s="70">
        <v>6912</v>
      </c>
      <c r="E99" s="72">
        <v>6955000</v>
      </c>
    </row>
    <row r="100" spans="1:5">
      <c r="A100" s="70"/>
      <c r="B100" s="70">
        <v>620</v>
      </c>
      <c r="C100" s="71" t="s">
        <v>374</v>
      </c>
      <c r="D100" s="70">
        <v>7003</v>
      </c>
      <c r="E100" s="72">
        <v>4350000</v>
      </c>
    </row>
    <row r="101" spans="1:5">
      <c r="A101" s="70"/>
      <c r="B101" s="70">
        <v>620</v>
      </c>
      <c r="C101" s="71" t="s">
        <v>374</v>
      </c>
      <c r="D101" s="70">
        <v>7049</v>
      </c>
      <c r="E101" s="72">
        <v>141115000</v>
      </c>
    </row>
    <row r="102" spans="1:5">
      <c r="A102" s="70"/>
      <c r="B102" s="70">
        <v>620</v>
      </c>
      <c r="C102" s="71" t="s">
        <v>374</v>
      </c>
      <c r="D102" s="70">
        <v>7761</v>
      </c>
      <c r="E102" s="72">
        <v>4323000</v>
      </c>
    </row>
    <row r="103" spans="1:5">
      <c r="A103" s="70"/>
      <c r="B103" s="70">
        <v>620</v>
      </c>
      <c r="C103" s="71" t="s">
        <v>370</v>
      </c>
      <c r="D103" s="70">
        <v>6503</v>
      </c>
      <c r="E103" s="72">
        <v>5709120</v>
      </c>
    </row>
    <row r="104" spans="1:5">
      <c r="A104" s="70"/>
      <c r="B104" s="70">
        <v>620</v>
      </c>
      <c r="C104" s="71" t="s">
        <v>370</v>
      </c>
      <c r="D104" s="70">
        <v>6551</v>
      </c>
      <c r="E104" s="72">
        <v>2500000</v>
      </c>
    </row>
    <row r="105" spans="1:5">
      <c r="A105" s="70"/>
      <c r="B105" s="70">
        <v>620</v>
      </c>
      <c r="C105" s="71" t="s">
        <v>370</v>
      </c>
      <c r="D105" s="70">
        <v>6651</v>
      </c>
      <c r="E105" s="72">
        <v>700000</v>
      </c>
    </row>
    <row r="106" spans="1:5">
      <c r="A106" s="70"/>
      <c r="B106" s="70">
        <v>620</v>
      </c>
      <c r="C106" s="71" t="s">
        <v>370</v>
      </c>
      <c r="D106" s="70">
        <v>6699</v>
      </c>
      <c r="E106" s="72">
        <v>1050000</v>
      </c>
    </row>
    <row r="107" spans="1:5">
      <c r="A107" s="70"/>
      <c r="B107" s="70">
        <v>620</v>
      </c>
      <c r="C107" s="71" t="s">
        <v>370</v>
      </c>
      <c r="D107" s="70">
        <v>7049</v>
      </c>
      <c r="E107" s="72">
        <v>215299000</v>
      </c>
    </row>
    <row r="108" spans="1:5">
      <c r="A108" s="70"/>
      <c r="B108" s="70">
        <v>620</v>
      </c>
      <c r="C108" s="71" t="s">
        <v>370</v>
      </c>
      <c r="D108" s="70">
        <v>7799</v>
      </c>
      <c r="E108" s="72">
        <v>6228000</v>
      </c>
    </row>
    <row r="109" spans="1:5">
      <c r="A109" s="70"/>
      <c r="B109" s="70">
        <v>620</v>
      </c>
      <c r="C109" s="71" t="s">
        <v>370</v>
      </c>
      <c r="D109" s="70">
        <v>8008</v>
      </c>
      <c r="E109" s="72">
        <v>60492171</v>
      </c>
    </row>
    <row r="110" spans="1:5">
      <c r="A110" s="70"/>
      <c r="B110" s="70">
        <v>620</v>
      </c>
      <c r="C110" s="70">
        <v>463</v>
      </c>
      <c r="D110" s="70">
        <v>6606</v>
      </c>
      <c r="E110" s="72">
        <v>19800000</v>
      </c>
    </row>
    <row r="111" spans="1:5">
      <c r="A111" s="70"/>
      <c r="B111" s="70">
        <v>620</v>
      </c>
      <c r="C111" s="70">
        <v>463</v>
      </c>
      <c r="D111" s="70">
        <v>6651</v>
      </c>
      <c r="E111" s="72">
        <v>10757400</v>
      </c>
    </row>
    <row r="112" spans="1:5">
      <c r="A112" s="70"/>
      <c r="B112" s="70">
        <v>620</v>
      </c>
      <c r="C112" s="70">
        <v>463</v>
      </c>
      <c r="D112" s="70">
        <v>6652</v>
      </c>
      <c r="E112" s="72">
        <v>8400000</v>
      </c>
    </row>
    <row r="113" spans="1:5">
      <c r="A113" s="70"/>
      <c r="B113" s="70">
        <v>620</v>
      </c>
      <c r="C113" s="70">
        <v>463</v>
      </c>
      <c r="D113" s="70">
        <v>6699</v>
      </c>
      <c r="E113" s="72">
        <v>42960000</v>
      </c>
    </row>
    <row r="114" spans="1:5">
      <c r="A114" s="70"/>
      <c r="B114" s="70">
        <v>620</v>
      </c>
      <c r="C114" s="70">
        <v>463</v>
      </c>
      <c r="D114" s="70">
        <v>6702</v>
      </c>
      <c r="E114" s="72">
        <v>120000</v>
      </c>
    </row>
    <row r="115" spans="1:5">
      <c r="A115" s="70"/>
      <c r="B115" s="70">
        <v>620</v>
      </c>
      <c r="C115" s="70">
        <v>463</v>
      </c>
      <c r="D115" s="70">
        <v>6751</v>
      </c>
      <c r="E115" s="72">
        <v>800000</v>
      </c>
    </row>
    <row r="116" spans="1:5">
      <c r="A116" s="70"/>
      <c r="B116" s="70">
        <v>620</v>
      </c>
      <c r="C116" s="70">
        <v>463</v>
      </c>
      <c r="D116" s="70">
        <v>7003</v>
      </c>
      <c r="E116" s="72">
        <v>11258060</v>
      </c>
    </row>
    <row r="117" spans="1:5">
      <c r="A117" s="70"/>
      <c r="B117" s="70">
        <v>620</v>
      </c>
      <c r="C117" s="70">
        <v>498</v>
      </c>
      <c r="D117" s="70">
        <v>7012</v>
      </c>
      <c r="E117" s="72">
        <v>30237960</v>
      </c>
    </row>
    <row r="118" spans="1:5">
      <c r="A118" s="70"/>
      <c r="B118" s="70">
        <v>620</v>
      </c>
      <c r="C118" s="70">
        <v>528</v>
      </c>
      <c r="D118" s="70">
        <v>8008</v>
      </c>
      <c r="E118" s="72">
        <v>60221142</v>
      </c>
    </row>
    <row r="119" spans="1:5">
      <c r="A119" s="70"/>
      <c r="B119" s="70">
        <v>620</v>
      </c>
      <c r="C119" s="70">
        <v>528</v>
      </c>
      <c r="D119" s="70">
        <v>8049</v>
      </c>
      <c r="E119" s="72">
        <v>23760000</v>
      </c>
    </row>
    <row r="120" spans="1:5">
      <c r="A120" s="70"/>
      <c r="B120" s="70">
        <v>624</v>
      </c>
      <c r="C120" s="70">
        <v>463</v>
      </c>
      <c r="D120" s="70">
        <v>7012</v>
      </c>
      <c r="E120" s="72">
        <v>7126196</v>
      </c>
    </row>
    <row r="121" spans="1:5">
      <c r="A121" s="70"/>
      <c r="B121" s="70">
        <v>624</v>
      </c>
      <c r="C121" s="70">
        <v>464</v>
      </c>
      <c r="D121" s="70">
        <v>6503</v>
      </c>
      <c r="E121" s="72">
        <v>1783680</v>
      </c>
    </row>
    <row r="122" spans="1:5">
      <c r="A122" s="70"/>
      <c r="B122" s="70">
        <v>624</v>
      </c>
      <c r="C122" s="70">
        <v>464</v>
      </c>
      <c r="D122" s="70">
        <v>6551</v>
      </c>
      <c r="E122" s="72">
        <v>3115000</v>
      </c>
    </row>
    <row r="123" spans="1:5">
      <c r="A123" s="70"/>
      <c r="B123" s="70">
        <v>624</v>
      </c>
      <c r="C123" s="70">
        <v>464</v>
      </c>
      <c r="D123" s="70">
        <v>6699</v>
      </c>
      <c r="E123" s="72">
        <v>3105000</v>
      </c>
    </row>
    <row r="124" spans="1:5">
      <c r="A124" s="70"/>
      <c r="B124" s="70">
        <v>624</v>
      </c>
      <c r="C124" s="70">
        <v>464</v>
      </c>
      <c r="D124" s="70">
        <v>7012</v>
      </c>
      <c r="E124" s="72">
        <v>23772180</v>
      </c>
    </row>
    <row r="125" spans="1:5">
      <c r="A125" s="70"/>
      <c r="B125" s="70">
        <v>624</v>
      </c>
      <c r="C125" s="70">
        <v>464</v>
      </c>
      <c r="D125" s="70">
        <v>7049</v>
      </c>
      <c r="E125" s="72">
        <v>800000</v>
      </c>
    </row>
    <row r="126" spans="1:5">
      <c r="A126" s="70"/>
      <c r="B126" s="70">
        <v>624</v>
      </c>
      <c r="C126" s="70">
        <v>464</v>
      </c>
      <c r="D126" s="70">
        <v>7758</v>
      </c>
      <c r="E126" s="72">
        <v>9180000</v>
      </c>
    </row>
    <row r="127" spans="1:5">
      <c r="A127" s="70"/>
      <c r="B127" s="70">
        <v>624</v>
      </c>
      <c r="C127" s="70">
        <v>498</v>
      </c>
      <c r="D127" s="70">
        <v>6551</v>
      </c>
      <c r="E127" s="72">
        <v>1000000</v>
      </c>
    </row>
    <row r="128" spans="1:5">
      <c r="A128" s="70"/>
      <c r="B128" s="70">
        <v>624</v>
      </c>
      <c r="C128" s="70">
        <v>498</v>
      </c>
      <c r="D128" s="70">
        <v>6702</v>
      </c>
      <c r="E128" s="72">
        <v>1750000</v>
      </c>
    </row>
    <row r="129" spans="1:5">
      <c r="A129" s="70"/>
      <c r="B129" s="70">
        <v>624</v>
      </c>
      <c r="C129" s="70">
        <v>498</v>
      </c>
      <c r="D129" s="70">
        <v>7049</v>
      </c>
      <c r="E129" s="72">
        <v>8190000</v>
      </c>
    </row>
    <row r="130" spans="1:5">
      <c r="A130" s="70"/>
      <c r="B130" s="70">
        <v>624</v>
      </c>
      <c r="C130" s="70">
        <v>498</v>
      </c>
      <c r="D130" s="70">
        <v>8008</v>
      </c>
      <c r="E130" s="72">
        <v>488417845</v>
      </c>
    </row>
    <row r="131" spans="1:5">
      <c r="A131" s="70"/>
      <c r="B131" s="70">
        <v>624</v>
      </c>
      <c r="C131" s="70">
        <v>528</v>
      </c>
      <c r="D131" s="70">
        <v>7049</v>
      </c>
      <c r="E131" s="72">
        <v>111225075</v>
      </c>
    </row>
    <row r="132" spans="1:5">
      <c r="A132" s="70"/>
      <c r="B132" s="70">
        <v>624</v>
      </c>
      <c r="C132" s="70">
        <v>528</v>
      </c>
      <c r="D132" s="70">
        <v>8008</v>
      </c>
      <c r="E132" s="72">
        <v>447184560</v>
      </c>
    </row>
    <row r="133" spans="1:5">
      <c r="A133" s="70"/>
      <c r="B133" s="70">
        <v>625</v>
      </c>
      <c r="C133" s="70">
        <v>554</v>
      </c>
      <c r="D133" s="70">
        <v>9301</v>
      </c>
      <c r="E133" s="72">
        <v>1286347000</v>
      </c>
    </row>
    <row r="134" spans="1:5">
      <c r="A134" s="70"/>
      <c r="B134" s="70">
        <v>625</v>
      </c>
      <c r="C134" s="70">
        <v>554</v>
      </c>
      <c r="D134" s="70">
        <v>9449</v>
      </c>
      <c r="E134" s="72">
        <v>5653000</v>
      </c>
    </row>
    <row r="135" spans="1:5">
      <c r="A135" s="70"/>
      <c r="B135" s="70">
        <v>710</v>
      </c>
      <c r="C135" s="70">
        <v>462</v>
      </c>
      <c r="D135" s="70">
        <v>6552</v>
      </c>
      <c r="E135" s="72">
        <v>23099988</v>
      </c>
    </row>
    <row r="136" spans="1:5">
      <c r="A136" s="70"/>
      <c r="B136" s="70">
        <v>710</v>
      </c>
      <c r="C136" s="70">
        <v>462</v>
      </c>
      <c r="D136" s="70">
        <v>6599</v>
      </c>
      <c r="E136" s="72">
        <v>290000</v>
      </c>
    </row>
    <row r="137" spans="1:5">
      <c r="A137" s="70"/>
      <c r="B137" s="70">
        <v>710</v>
      </c>
      <c r="C137" s="70">
        <v>462</v>
      </c>
      <c r="D137" s="70">
        <v>6751</v>
      </c>
      <c r="E137" s="72">
        <v>2000000</v>
      </c>
    </row>
    <row r="138" spans="1:5">
      <c r="A138" s="70"/>
      <c r="B138" s="70">
        <v>710</v>
      </c>
      <c r="C138" s="70">
        <v>462</v>
      </c>
      <c r="D138" s="70">
        <v>7003</v>
      </c>
      <c r="E138" s="72">
        <v>3898700</v>
      </c>
    </row>
    <row r="139" spans="1:5">
      <c r="A139" s="70"/>
      <c r="B139" s="70">
        <v>710</v>
      </c>
      <c r="C139" s="70">
        <v>462</v>
      </c>
      <c r="D139" s="70">
        <v>7799</v>
      </c>
      <c r="E139" s="72">
        <v>154840000</v>
      </c>
    </row>
    <row r="140" spans="1:5">
      <c r="A140" s="70"/>
      <c r="B140" s="70">
        <v>799</v>
      </c>
      <c r="C140" s="70">
        <v>223</v>
      </c>
      <c r="D140" s="70">
        <v>9251</v>
      </c>
      <c r="E140" s="72">
        <v>44485000</v>
      </c>
    </row>
    <row r="141" spans="1:5">
      <c r="A141" s="70"/>
      <c r="B141" s="70">
        <v>799</v>
      </c>
      <c r="C141" s="70">
        <v>554</v>
      </c>
      <c r="D141" s="70">
        <v>9201</v>
      </c>
      <c r="E141" s="72">
        <v>5565000</v>
      </c>
    </row>
    <row r="142" spans="1:5">
      <c r="A142" s="70"/>
      <c r="B142" s="70">
        <v>799</v>
      </c>
      <c r="C142" s="70">
        <v>554</v>
      </c>
      <c r="D142" s="70">
        <v>9202</v>
      </c>
      <c r="E142" s="72">
        <v>67959000</v>
      </c>
    </row>
    <row r="143" spans="1:5">
      <c r="A143" s="70"/>
      <c r="B143" s="70">
        <v>799</v>
      </c>
      <c r="C143" s="70">
        <v>554</v>
      </c>
      <c r="D143" s="70">
        <v>9203</v>
      </c>
      <c r="E143" s="72">
        <v>438000</v>
      </c>
    </row>
    <row r="144" spans="1:5">
      <c r="A144" s="70"/>
      <c r="B144" s="70">
        <v>799</v>
      </c>
      <c r="C144" s="70">
        <v>554</v>
      </c>
      <c r="D144" s="70">
        <v>9301</v>
      </c>
      <c r="E144" s="72">
        <v>1267811000</v>
      </c>
    </row>
    <row r="145" spans="1:5">
      <c r="A145" s="70"/>
      <c r="B145" s="70">
        <v>799</v>
      </c>
      <c r="C145" s="70">
        <v>554</v>
      </c>
      <c r="D145" s="70">
        <v>9402</v>
      </c>
      <c r="E145" s="72">
        <v>7664000</v>
      </c>
    </row>
    <row r="146" spans="1:5">
      <c r="A146" s="70"/>
      <c r="B146" s="70">
        <v>800</v>
      </c>
      <c r="C146" s="71" t="s">
        <v>371</v>
      </c>
      <c r="D146" s="70">
        <v>7758</v>
      </c>
      <c r="E146" s="72">
        <v>29666000</v>
      </c>
    </row>
    <row r="147" spans="1:5">
      <c r="A147" s="70"/>
      <c r="B147" s="70">
        <v>800</v>
      </c>
      <c r="C147" s="71" t="s">
        <v>373</v>
      </c>
      <c r="D147" s="70">
        <v>6922</v>
      </c>
      <c r="E147" s="72">
        <v>16788000</v>
      </c>
    </row>
    <row r="148" spans="1:5">
      <c r="A148" s="70"/>
      <c r="B148" s="70">
        <v>800</v>
      </c>
      <c r="C148" s="71" t="s">
        <v>373</v>
      </c>
      <c r="D148" s="70">
        <v>6923</v>
      </c>
      <c r="E148" s="72">
        <v>33797000</v>
      </c>
    </row>
    <row r="149" spans="1:5">
      <c r="A149" s="70"/>
      <c r="B149" s="70">
        <v>800</v>
      </c>
      <c r="C149" s="71" t="s">
        <v>373</v>
      </c>
      <c r="D149" s="70">
        <v>9201</v>
      </c>
      <c r="E149" s="72">
        <v>31800000</v>
      </c>
    </row>
    <row r="150" spans="1:5">
      <c r="A150" s="70"/>
      <c r="B150" s="70">
        <v>800</v>
      </c>
      <c r="C150" s="71" t="s">
        <v>373</v>
      </c>
      <c r="D150" s="70">
        <v>9202</v>
      </c>
      <c r="E150" s="72">
        <v>64617000</v>
      </c>
    </row>
    <row r="151" spans="1:5">
      <c r="A151" s="70"/>
      <c r="B151" s="70">
        <v>800</v>
      </c>
      <c r="C151" s="71" t="s">
        <v>373</v>
      </c>
      <c r="D151" s="70">
        <v>9203</v>
      </c>
      <c r="E151" s="72">
        <v>161934</v>
      </c>
    </row>
    <row r="152" spans="1:5">
      <c r="A152" s="70"/>
      <c r="B152" s="70">
        <v>800</v>
      </c>
      <c r="C152" s="71" t="s">
        <v>373</v>
      </c>
      <c r="D152" s="70">
        <v>9301</v>
      </c>
      <c r="E152" s="72">
        <v>1917820000</v>
      </c>
    </row>
    <row r="153" spans="1:5">
      <c r="A153" s="70"/>
      <c r="B153" s="70">
        <v>800</v>
      </c>
      <c r="C153" s="71" t="s">
        <v>373</v>
      </c>
      <c r="D153" s="70">
        <v>9401</v>
      </c>
      <c r="E153" s="72">
        <v>34303414</v>
      </c>
    </row>
    <row r="154" spans="1:5">
      <c r="A154" s="70"/>
      <c r="B154" s="70">
        <v>800</v>
      </c>
      <c r="C154" s="71" t="s">
        <v>373</v>
      </c>
      <c r="D154" s="70">
        <v>9402</v>
      </c>
      <c r="E154" s="72">
        <v>64878000</v>
      </c>
    </row>
    <row r="155" spans="1:5">
      <c r="A155" s="70"/>
      <c r="B155" s="70">
        <v>800</v>
      </c>
      <c r="C155" s="71" t="s">
        <v>373</v>
      </c>
      <c r="D155" s="70">
        <v>9404</v>
      </c>
      <c r="E155" s="72">
        <v>14854586</v>
      </c>
    </row>
    <row r="156" spans="1:5">
      <c r="A156" s="70"/>
      <c r="B156" s="70">
        <v>800</v>
      </c>
      <c r="C156" s="70">
        <v>161</v>
      </c>
      <c r="D156" s="70">
        <v>9201</v>
      </c>
      <c r="E156" s="72">
        <v>500000</v>
      </c>
    </row>
    <row r="157" spans="1:5">
      <c r="A157" s="70"/>
      <c r="B157" s="70">
        <v>800</v>
      </c>
      <c r="C157" s="70">
        <v>161</v>
      </c>
      <c r="D157" s="70">
        <v>9202</v>
      </c>
      <c r="E157" s="72">
        <v>120839139</v>
      </c>
    </row>
    <row r="158" spans="1:5">
      <c r="A158" s="70"/>
      <c r="B158" s="70">
        <v>800</v>
      </c>
      <c r="C158" s="70">
        <v>161</v>
      </c>
      <c r="D158" s="70">
        <v>9251</v>
      </c>
      <c r="E158" s="72">
        <v>350110000</v>
      </c>
    </row>
    <row r="159" spans="1:5">
      <c r="A159" s="70"/>
      <c r="B159" s="70">
        <v>800</v>
      </c>
      <c r="C159" s="70">
        <v>161</v>
      </c>
      <c r="D159" s="70">
        <v>9253</v>
      </c>
      <c r="E159" s="72">
        <v>7000000</v>
      </c>
    </row>
    <row r="160" spans="1:5">
      <c r="A160" s="70"/>
      <c r="B160" s="70">
        <v>800</v>
      </c>
      <c r="C160" s="70">
        <v>161</v>
      </c>
      <c r="D160" s="70">
        <v>9301</v>
      </c>
      <c r="E160" s="72">
        <v>2733635062</v>
      </c>
    </row>
    <row r="161" spans="1:5">
      <c r="A161" s="70"/>
      <c r="B161" s="70">
        <v>800</v>
      </c>
      <c r="C161" s="70">
        <v>161</v>
      </c>
      <c r="D161" s="70">
        <v>9401</v>
      </c>
      <c r="E161" s="72">
        <v>62782000</v>
      </c>
    </row>
    <row r="162" spans="1:5">
      <c r="A162" s="70"/>
      <c r="B162" s="70">
        <v>800</v>
      </c>
      <c r="C162" s="70">
        <v>161</v>
      </c>
      <c r="D162" s="70">
        <v>9402</v>
      </c>
      <c r="E162" s="70">
        <v>94589448</v>
      </c>
    </row>
    <row r="163" spans="1:5">
      <c r="A163" s="70"/>
      <c r="B163" s="70">
        <v>800</v>
      </c>
      <c r="C163" s="70">
        <v>161</v>
      </c>
      <c r="D163" s="70">
        <v>9404</v>
      </c>
      <c r="E163" s="72">
        <v>13553000</v>
      </c>
    </row>
    <row r="164" spans="1:5">
      <c r="A164" s="70"/>
      <c r="B164" s="70">
        <v>800</v>
      </c>
      <c r="C164" s="70">
        <v>163</v>
      </c>
      <c r="D164" s="70">
        <v>6922</v>
      </c>
      <c r="E164" s="72">
        <v>187058000</v>
      </c>
    </row>
    <row r="165" spans="1:5">
      <c r="A165" s="70"/>
      <c r="B165" s="70">
        <v>800</v>
      </c>
      <c r="C165" s="70">
        <v>163</v>
      </c>
      <c r="D165" s="70">
        <v>6949</v>
      </c>
      <c r="E165" s="72">
        <v>67561000</v>
      </c>
    </row>
    <row r="166" spans="1:5">
      <c r="A166" s="70"/>
      <c r="B166" s="70">
        <v>800</v>
      </c>
      <c r="C166" s="70">
        <v>163</v>
      </c>
      <c r="D166" s="70">
        <v>9201</v>
      </c>
      <c r="E166" s="72">
        <v>122671620</v>
      </c>
    </row>
    <row r="167" spans="1:5">
      <c r="A167" s="70"/>
      <c r="B167" s="70">
        <v>800</v>
      </c>
      <c r="C167" s="70">
        <v>163</v>
      </c>
      <c r="D167" s="70">
        <v>9202</v>
      </c>
      <c r="E167" s="72">
        <v>403545949</v>
      </c>
    </row>
    <row r="168" spans="1:5">
      <c r="A168" s="70"/>
      <c r="B168" s="70">
        <v>800</v>
      </c>
      <c r="C168" s="70">
        <v>163</v>
      </c>
      <c r="D168" s="70">
        <v>9203</v>
      </c>
      <c r="E168" s="72">
        <v>115000</v>
      </c>
    </row>
    <row r="169" spans="1:5">
      <c r="A169" s="70"/>
      <c r="B169" s="70">
        <v>800</v>
      </c>
      <c r="C169" s="70">
        <v>163</v>
      </c>
      <c r="D169" s="70">
        <v>9301</v>
      </c>
      <c r="E169" s="72">
        <v>21893084385</v>
      </c>
    </row>
    <row r="170" spans="1:5">
      <c r="A170" s="70"/>
      <c r="B170" s="70">
        <v>800</v>
      </c>
      <c r="C170" s="70">
        <v>163</v>
      </c>
      <c r="D170" s="70">
        <v>9401</v>
      </c>
      <c r="E170" s="72">
        <v>240152052</v>
      </c>
    </row>
    <row r="171" spans="1:5">
      <c r="A171" s="70"/>
      <c r="B171" s="70">
        <v>800</v>
      </c>
      <c r="C171" s="70">
        <v>163</v>
      </c>
      <c r="D171" s="70">
        <v>9402</v>
      </c>
      <c r="E171" s="72">
        <v>432922283</v>
      </c>
    </row>
    <row r="172" spans="1:5">
      <c r="A172" s="70"/>
      <c r="B172" s="70">
        <v>800</v>
      </c>
      <c r="C172" s="70">
        <v>163</v>
      </c>
      <c r="D172" s="70">
        <v>9404</v>
      </c>
      <c r="E172" s="72">
        <v>84074029</v>
      </c>
    </row>
    <row r="173" spans="1:5">
      <c r="A173" s="70"/>
      <c r="B173" s="70">
        <v>800</v>
      </c>
      <c r="C173" s="70">
        <v>163</v>
      </c>
      <c r="D173" s="70">
        <v>9449</v>
      </c>
      <c r="E173" s="72">
        <v>11296000</v>
      </c>
    </row>
    <row r="174" spans="1:5">
      <c r="A174" s="70"/>
      <c r="B174" s="70">
        <v>800</v>
      </c>
      <c r="C174" s="70">
        <v>164</v>
      </c>
      <c r="D174" s="70">
        <v>9202</v>
      </c>
      <c r="E174" s="72">
        <v>5000000</v>
      </c>
    </row>
    <row r="175" spans="1:5">
      <c r="A175" s="70"/>
      <c r="B175" s="70">
        <v>800</v>
      </c>
      <c r="C175" s="70">
        <v>164</v>
      </c>
      <c r="D175" s="70">
        <v>9301</v>
      </c>
      <c r="E175" s="72">
        <v>355516000</v>
      </c>
    </row>
    <row r="176" spans="1:5">
      <c r="A176" s="70"/>
      <c r="B176" s="70">
        <v>800</v>
      </c>
      <c r="C176" s="70">
        <v>165</v>
      </c>
      <c r="D176" s="70">
        <v>9202</v>
      </c>
      <c r="E176" s="72">
        <v>184000000</v>
      </c>
    </row>
    <row r="177" spans="1:5">
      <c r="A177" s="70"/>
      <c r="B177" s="70">
        <v>800</v>
      </c>
      <c r="C177" s="70">
        <v>165</v>
      </c>
      <c r="D177" s="70">
        <v>9301</v>
      </c>
      <c r="E177" s="72">
        <v>4579437000</v>
      </c>
    </row>
    <row r="178" spans="1:5">
      <c r="A178" s="70"/>
      <c r="B178" s="70">
        <v>800</v>
      </c>
      <c r="C178" s="70">
        <v>165</v>
      </c>
      <c r="D178" s="70">
        <v>9351</v>
      </c>
      <c r="E178" s="72">
        <v>27121000</v>
      </c>
    </row>
    <row r="179" spans="1:5">
      <c r="A179" s="70"/>
      <c r="B179" s="70">
        <v>800</v>
      </c>
      <c r="C179" s="70">
        <v>165</v>
      </c>
      <c r="D179" s="70">
        <v>9401</v>
      </c>
      <c r="E179" s="72">
        <v>12100000</v>
      </c>
    </row>
    <row r="180" spans="1:5">
      <c r="A180" s="70"/>
      <c r="B180" s="70">
        <v>800</v>
      </c>
      <c r="C180" s="70">
        <v>165</v>
      </c>
      <c r="D180" s="70">
        <v>9402</v>
      </c>
      <c r="E180" s="72">
        <v>33136000</v>
      </c>
    </row>
    <row r="181" spans="1:5">
      <c r="A181" s="70"/>
      <c r="B181" s="70">
        <v>800</v>
      </c>
      <c r="C181" s="70">
        <v>165</v>
      </c>
      <c r="D181" s="70">
        <v>9404</v>
      </c>
      <c r="E181" s="72">
        <v>2290000</v>
      </c>
    </row>
    <row r="182" spans="1:5">
      <c r="A182" s="70"/>
      <c r="B182" s="70">
        <v>800</v>
      </c>
      <c r="C182" s="70">
        <v>167</v>
      </c>
      <c r="D182" s="70">
        <v>6699</v>
      </c>
      <c r="E182" s="72">
        <v>6810000</v>
      </c>
    </row>
    <row r="183" spans="1:5">
      <c r="A183" s="70"/>
      <c r="B183" s="70">
        <v>800</v>
      </c>
      <c r="C183" s="70">
        <v>167</v>
      </c>
      <c r="D183" s="70">
        <v>6799</v>
      </c>
      <c r="E183" s="72">
        <v>22800000</v>
      </c>
    </row>
    <row r="184" spans="1:5">
      <c r="A184" s="70"/>
      <c r="B184" s="70">
        <v>800</v>
      </c>
      <c r="C184" s="70">
        <v>167</v>
      </c>
      <c r="D184" s="70">
        <v>6907</v>
      </c>
      <c r="E184" s="72">
        <v>132400000</v>
      </c>
    </row>
    <row r="185" spans="1:5">
      <c r="A185" s="70"/>
      <c r="B185" s="70">
        <v>800</v>
      </c>
      <c r="C185" s="70">
        <v>167</v>
      </c>
      <c r="D185" s="70">
        <v>6922</v>
      </c>
      <c r="E185" s="72">
        <v>845085873</v>
      </c>
    </row>
    <row r="186" spans="1:5">
      <c r="A186" s="70"/>
      <c r="B186" s="70">
        <v>800</v>
      </c>
      <c r="C186" s="70">
        <v>167</v>
      </c>
      <c r="D186" s="70">
        <v>6923</v>
      </c>
      <c r="E186" s="72">
        <v>14000000</v>
      </c>
    </row>
    <row r="187" spans="1:5">
      <c r="A187" s="70"/>
      <c r="B187" s="70">
        <v>800</v>
      </c>
      <c r="C187" s="70">
        <v>167</v>
      </c>
      <c r="D187" s="70">
        <v>6949</v>
      </c>
      <c r="E187" s="72">
        <v>33026000</v>
      </c>
    </row>
    <row r="188" spans="1:5">
      <c r="A188" s="70"/>
      <c r="B188" s="70">
        <v>800</v>
      </c>
      <c r="C188" s="70">
        <v>167</v>
      </c>
      <c r="D188" s="70">
        <v>7003</v>
      </c>
      <c r="E188" s="72">
        <v>750000</v>
      </c>
    </row>
    <row r="189" spans="1:5">
      <c r="A189" s="70"/>
      <c r="B189" s="70">
        <v>800</v>
      </c>
      <c r="C189" s="70">
        <v>167</v>
      </c>
      <c r="D189" s="70">
        <v>7049</v>
      </c>
      <c r="E189" s="72">
        <v>30000000</v>
      </c>
    </row>
    <row r="190" spans="1:5">
      <c r="A190" s="70"/>
      <c r="B190" s="70">
        <v>800</v>
      </c>
      <c r="C190" s="70">
        <v>167</v>
      </c>
      <c r="D190" s="70">
        <v>7799</v>
      </c>
      <c r="E190" s="72">
        <v>61400000</v>
      </c>
    </row>
    <row r="191" spans="1:5">
      <c r="A191" s="70"/>
      <c r="B191" s="70">
        <v>800</v>
      </c>
      <c r="C191" s="70">
        <v>167</v>
      </c>
      <c r="D191" s="70">
        <v>8153</v>
      </c>
      <c r="E191" s="72">
        <v>362449000</v>
      </c>
    </row>
    <row r="192" spans="1:5">
      <c r="A192" s="70"/>
      <c r="B192" s="70">
        <v>800</v>
      </c>
      <c r="C192" s="70">
        <v>167</v>
      </c>
      <c r="D192" s="70">
        <v>9202</v>
      </c>
      <c r="E192" s="72">
        <v>18358000</v>
      </c>
    </row>
    <row r="193" spans="1:5">
      <c r="A193" s="70"/>
      <c r="B193" s="70">
        <v>800</v>
      </c>
      <c r="C193" s="70">
        <v>167</v>
      </c>
      <c r="D193" s="70">
        <v>9203</v>
      </c>
      <c r="E193" s="72">
        <v>66000</v>
      </c>
    </row>
    <row r="194" spans="1:5">
      <c r="A194" s="70"/>
      <c r="B194" s="70">
        <v>800</v>
      </c>
      <c r="C194" s="70">
        <v>167</v>
      </c>
      <c r="D194" s="70">
        <v>9301</v>
      </c>
      <c r="E194" s="72">
        <v>279552000</v>
      </c>
    </row>
    <row r="195" spans="1:5">
      <c r="A195" s="70"/>
      <c r="B195" s="70">
        <v>800</v>
      </c>
      <c r="C195" s="70">
        <v>167</v>
      </c>
      <c r="D195" s="70">
        <v>9401</v>
      </c>
      <c r="E195" s="72">
        <v>8426000</v>
      </c>
    </row>
    <row r="196" spans="1:5">
      <c r="A196" s="70"/>
      <c r="B196" s="70">
        <v>800</v>
      </c>
      <c r="C196" s="70">
        <v>167</v>
      </c>
      <c r="D196" s="70">
        <v>9402</v>
      </c>
      <c r="E196" s="72">
        <v>13277000</v>
      </c>
    </row>
    <row r="197" spans="1:5">
      <c r="A197" s="70"/>
      <c r="B197" s="70">
        <v>800</v>
      </c>
      <c r="C197" s="70">
        <v>167</v>
      </c>
      <c r="D197" s="70">
        <v>9404</v>
      </c>
      <c r="E197" s="72">
        <v>3321000</v>
      </c>
    </row>
    <row r="198" spans="1:5">
      <c r="A198" s="70"/>
      <c r="B198" s="70">
        <v>800</v>
      </c>
      <c r="C198" s="70">
        <v>168</v>
      </c>
      <c r="D198" s="70">
        <v>6922</v>
      </c>
      <c r="E198" s="72">
        <v>87876000</v>
      </c>
    </row>
    <row r="199" spans="1:5">
      <c r="A199" s="70"/>
      <c r="B199" s="70">
        <v>800</v>
      </c>
      <c r="C199" s="70">
        <v>172</v>
      </c>
      <c r="D199" s="70">
        <v>6599</v>
      </c>
      <c r="E199" s="72">
        <v>500000</v>
      </c>
    </row>
    <row r="200" spans="1:5">
      <c r="A200" s="70"/>
      <c r="B200" s="70">
        <v>800</v>
      </c>
      <c r="C200" s="70">
        <v>172</v>
      </c>
      <c r="D200" s="70">
        <v>6606</v>
      </c>
      <c r="E200" s="72">
        <v>86600000</v>
      </c>
    </row>
    <row r="201" spans="1:5">
      <c r="A201" s="70"/>
      <c r="B201" s="70">
        <v>800</v>
      </c>
      <c r="C201" s="70">
        <v>172</v>
      </c>
      <c r="D201" s="70">
        <v>6699</v>
      </c>
      <c r="E201" s="72">
        <v>5850000</v>
      </c>
    </row>
    <row r="202" spans="1:5">
      <c r="A202" s="70"/>
      <c r="B202" s="70">
        <v>800</v>
      </c>
      <c r="C202" s="70">
        <v>172</v>
      </c>
      <c r="D202" s="70">
        <v>6751</v>
      </c>
      <c r="E202" s="72">
        <v>5050000</v>
      </c>
    </row>
    <row r="203" spans="1:5">
      <c r="A203" s="70"/>
      <c r="B203" s="70">
        <v>800</v>
      </c>
      <c r="C203" s="70">
        <v>172</v>
      </c>
      <c r="D203" s="70">
        <v>6799</v>
      </c>
      <c r="E203" s="72">
        <v>20798000</v>
      </c>
    </row>
    <row r="204" spans="1:5">
      <c r="A204" s="70"/>
      <c r="B204" s="70">
        <v>800</v>
      </c>
      <c r="C204" s="70">
        <v>172</v>
      </c>
      <c r="D204" s="70">
        <v>6922</v>
      </c>
      <c r="E204" s="72">
        <v>105504000</v>
      </c>
    </row>
    <row r="205" spans="1:5">
      <c r="A205" s="70"/>
      <c r="B205" s="70">
        <v>800</v>
      </c>
      <c r="C205" s="70">
        <v>172</v>
      </c>
      <c r="D205" s="70">
        <v>6923</v>
      </c>
      <c r="E205" s="72">
        <v>125980000</v>
      </c>
    </row>
    <row r="206" spans="1:5">
      <c r="A206" s="70"/>
      <c r="B206" s="70">
        <v>800</v>
      </c>
      <c r="C206" s="70">
        <v>172</v>
      </c>
      <c r="D206" s="70">
        <v>6949</v>
      </c>
      <c r="E206" s="72">
        <v>9637500</v>
      </c>
    </row>
    <row r="207" spans="1:5">
      <c r="A207" s="70"/>
      <c r="B207" s="70">
        <v>800</v>
      </c>
      <c r="C207" s="70">
        <v>172</v>
      </c>
      <c r="D207" s="70">
        <v>7001</v>
      </c>
      <c r="E207" s="72">
        <v>10800000</v>
      </c>
    </row>
    <row r="208" spans="1:5">
      <c r="A208" s="70"/>
      <c r="B208" s="70">
        <v>800</v>
      </c>
      <c r="C208" s="70">
        <v>172</v>
      </c>
      <c r="D208" s="70">
        <v>7003</v>
      </c>
      <c r="E208" s="72">
        <v>6175000</v>
      </c>
    </row>
    <row r="209" spans="1:5">
      <c r="A209" s="70"/>
      <c r="B209" s="70">
        <v>800</v>
      </c>
      <c r="C209" s="70">
        <v>172</v>
      </c>
      <c r="D209" s="70">
        <v>7758</v>
      </c>
      <c r="E209" s="72">
        <v>5000000</v>
      </c>
    </row>
    <row r="210" spans="1:5">
      <c r="A210" s="70"/>
      <c r="B210" s="70">
        <v>800</v>
      </c>
      <c r="C210" s="70">
        <v>172</v>
      </c>
      <c r="D210" s="70">
        <v>7799</v>
      </c>
      <c r="E210" s="72">
        <v>65477000</v>
      </c>
    </row>
    <row r="211" spans="1:5">
      <c r="A211" s="70"/>
      <c r="B211" s="70">
        <v>800</v>
      </c>
      <c r="C211" s="70">
        <v>223</v>
      </c>
      <c r="D211" s="70">
        <v>6799</v>
      </c>
      <c r="E211" s="72">
        <v>33700000</v>
      </c>
    </row>
    <row r="212" spans="1:5">
      <c r="A212" s="70"/>
      <c r="B212" s="70">
        <v>800</v>
      </c>
      <c r="C212" s="70">
        <v>223</v>
      </c>
      <c r="D212" s="70">
        <v>6921</v>
      </c>
      <c r="E212" s="72">
        <v>15097500</v>
      </c>
    </row>
    <row r="213" spans="1:5">
      <c r="A213" s="70"/>
      <c r="B213" s="70">
        <v>800</v>
      </c>
      <c r="C213" s="70">
        <v>223</v>
      </c>
      <c r="D213" s="70">
        <v>6922</v>
      </c>
      <c r="E213" s="72">
        <v>2635195294</v>
      </c>
    </row>
    <row r="214" spans="1:5">
      <c r="A214" s="70"/>
      <c r="B214" s="70">
        <v>800</v>
      </c>
      <c r="C214" s="70">
        <v>223</v>
      </c>
      <c r="D214" s="70">
        <v>6923</v>
      </c>
      <c r="E214" s="72">
        <v>84446000</v>
      </c>
    </row>
    <row r="215" spans="1:5">
      <c r="A215" s="70"/>
      <c r="B215" s="70">
        <v>800</v>
      </c>
      <c r="C215" s="70">
        <v>223</v>
      </c>
      <c r="D215" s="70">
        <v>6949</v>
      </c>
      <c r="E215" s="72">
        <v>168984000</v>
      </c>
    </row>
    <row r="216" spans="1:5">
      <c r="A216" s="70"/>
      <c r="B216" s="70">
        <v>800</v>
      </c>
      <c r="C216" s="70">
        <v>223</v>
      </c>
      <c r="D216" s="70">
        <v>7001</v>
      </c>
      <c r="E216" s="72">
        <v>5000000</v>
      </c>
    </row>
    <row r="217" spans="1:5">
      <c r="A217" s="70"/>
      <c r="B217" s="70">
        <v>800</v>
      </c>
      <c r="C217" s="70">
        <v>223</v>
      </c>
      <c r="D217" s="70">
        <v>9201</v>
      </c>
      <c r="E217" s="72">
        <v>1174105827</v>
      </c>
    </row>
    <row r="218" spans="1:5">
      <c r="A218" s="70"/>
      <c r="B218" s="70">
        <v>800</v>
      </c>
      <c r="C218" s="70">
        <v>223</v>
      </c>
      <c r="D218" s="70">
        <v>9202</v>
      </c>
      <c r="E218" s="72">
        <v>1750254299</v>
      </c>
    </row>
    <row r="219" spans="1:5">
      <c r="A219" s="70"/>
      <c r="B219" s="70">
        <v>800</v>
      </c>
      <c r="C219" s="70">
        <v>223</v>
      </c>
      <c r="D219" s="70">
        <v>9203</v>
      </c>
      <c r="E219" s="72">
        <v>8828820</v>
      </c>
    </row>
    <row r="220" spans="1:5">
      <c r="A220" s="70"/>
      <c r="B220" s="70">
        <v>800</v>
      </c>
      <c r="C220" s="70">
        <v>223</v>
      </c>
      <c r="D220" s="70">
        <v>9301</v>
      </c>
      <c r="E220" s="72">
        <v>83121728536</v>
      </c>
    </row>
    <row r="221" spans="1:5">
      <c r="A221" s="70"/>
      <c r="B221" s="70">
        <v>800</v>
      </c>
      <c r="C221" s="70">
        <v>223</v>
      </c>
      <c r="D221" s="70">
        <v>9302</v>
      </c>
      <c r="E221" s="72">
        <v>146534</v>
      </c>
    </row>
    <row r="222" spans="1:5">
      <c r="A222" s="70"/>
      <c r="B222" s="70">
        <v>800</v>
      </c>
      <c r="C222" s="70">
        <v>223</v>
      </c>
      <c r="D222" s="70">
        <v>9305</v>
      </c>
      <c r="E222" s="72">
        <v>3544268</v>
      </c>
    </row>
    <row r="223" spans="1:5">
      <c r="A223" s="70"/>
      <c r="B223" s="70">
        <v>800</v>
      </c>
      <c r="C223" s="70">
        <v>223</v>
      </c>
      <c r="D223" s="70">
        <v>9401</v>
      </c>
      <c r="E223" s="72">
        <v>666762236</v>
      </c>
    </row>
    <row r="224" spans="1:5">
      <c r="A224" s="70"/>
      <c r="B224" s="70">
        <v>800</v>
      </c>
      <c r="C224" s="70">
        <v>223</v>
      </c>
      <c r="D224" s="70">
        <v>9402</v>
      </c>
      <c r="E224" s="72">
        <v>1140014367</v>
      </c>
    </row>
    <row r="225" spans="1:5">
      <c r="A225" s="70"/>
      <c r="B225" s="70">
        <v>800</v>
      </c>
      <c r="C225" s="70">
        <v>223</v>
      </c>
      <c r="D225" s="70">
        <v>9404</v>
      </c>
      <c r="E225" s="72">
        <v>133125752</v>
      </c>
    </row>
    <row r="226" spans="1:5">
      <c r="A226" s="70"/>
      <c r="B226" s="70">
        <v>800</v>
      </c>
      <c r="C226" s="70">
        <v>223</v>
      </c>
      <c r="D226" s="70">
        <v>9449</v>
      </c>
      <c r="E226" s="72">
        <v>114482000</v>
      </c>
    </row>
    <row r="227" spans="1:5">
      <c r="A227" s="70"/>
      <c r="B227" s="70">
        <v>800</v>
      </c>
      <c r="C227" s="70">
        <v>369</v>
      </c>
      <c r="D227" s="70">
        <v>6503</v>
      </c>
      <c r="E227" s="72">
        <v>589240</v>
      </c>
    </row>
    <row r="228" spans="1:5">
      <c r="A228" s="70"/>
      <c r="B228" s="70">
        <v>800</v>
      </c>
      <c r="C228" s="70">
        <v>369</v>
      </c>
      <c r="D228" s="70">
        <v>6606</v>
      </c>
      <c r="E228" s="72">
        <v>1500000</v>
      </c>
    </row>
    <row r="229" spans="1:5">
      <c r="A229" s="70"/>
      <c r="B229" s="70">
        <v>800</v>
      </c>
      <c r="C229" s="70">
        <v>369</v>
      </c>
      <c r="D229" s="70">
        <v>6651</v>
      </c>
      <c r="E229" s="72">
        <v>2018435</v>
      </c>
    </row>
    <row r="230" spans="1:5">
      <c r="A230" s="70"/>
      <c r="B230" s="70">
        <v>800</v>
      </c>
      <c r="C230" s="70">
        <v>369</v>
      </c>
      <c r="D230" s="70">
        <v>6652</v>
      </c>
      <c r="E230" s="72">
        <v>900000</v>
      </c>
    </row>
    <row r="231" spans="1:5">
      <c r="A231" s="70"/>
      <c r="B231" s="70">
        <v>800</v>
      </c>
      <c r="C231" s="70">
        <v>369</v>
      </c>
      <c r="D231" s="70">
        <v>6655</v>
      </c>
      <c r="E231" s="72">
        <v>1300000</v>
      </c>
    </row>
    <row r="232" spans="1:5">
      <c r="A232" s="70"/>
      <c r="B232" s="70">
        <v>800</v>
      </c>
      <c r="C232" s="70">
        <v>369</v>
      </c>
      <c r="D232" s="70">
        <v>6657</v>
      </c>
      <c r="E232" s="72">
        <v>2000000</v>
      </c>
    </row>
    <row r="233" spans="1:5">
      <c r="A233" s="70"/>
      <c r="B233" s="70">
        <v>800</v>
      </c>
      <c r="C233" s="70">
        <v>369</v>
      </c>
      <c r="D233" s="70">
        <v>6658</v>
      </c>
      <c r="E233" s="72">
        <v>15130000</v>
      </c>
    </row>
    <row r="234" spans="1:5">
      <c r="A234" s="70"/>
      <c r="B234" s="70">
        <v>800</v>
      </c>
      <c r="C234" s="70">
        <v>369</v>
      </c>
      <c r="D234" s="70">
        <v>6699</v>
      </c>
      <c r="E234" s="72">
        <v>13536000</v>
      </c>
    </row>
    <row r="235" spans="1:5">
      <c r="A235" s="70"/>
      <c r="B235" s="70">
        <v>800</v>
      </c>
      <c r="C235" s="70">
        <v>369</v>
      </c>
      <c r="D235" s="70">
        <v>6701</v>
      </c>
      <c r="E235" s="72">
        <v>2068000</v>
      </c>
    </row>
    <row r="236" spans="1:5">
      <c r="A236" s="70"/>
      <c r="B236" s="70">
        <v>800</v>
      </c>
      <c r="C236" s="70">
        <v>369</v>
      </c>
      <c r="D236" s="70">
        <v>6702</v>
      </c>
      <c r="E236" s="72">
        <v>2950000</v>
      </c>
    </row>
    <row r="237" spans="1:5">
      <c r="A237" s="70"/>
      <c r="B237" s="70">
        <v>800</v>
      </c>
      <c r="C237" s="70">
        <v>369</v>
      </c>
      <c r="D237" s="70">
        <v>6751</v>
      </c>
      <c r="E237" s="72">
        <v>2500000</v>
      </c>
    </row>
    <row r="238" spans="1:5">
      <c r="A238" s="70"/>
      <c r="B238" s="70">
        <v>800</v>
      </c>
      <c r="C238" s="70">
        <v>369</v>
      </c>
      <c r="D238" s="70">
        <v>6757</v>
      </c>
      <c r="E238" s="72">
        <v>27850604</v>
      </c>
    </row>
    <row r="239" spans="1:5">
      <c r="A239" s="70"/>
      <c r="B239" s="70">
        <v>800</v>
      </c>
      <c r="C239" s="70">
        <v>369</v>
      </c>
      <c r="D239" s="70">
        <v>7003</v>
      </c>
      <c r="E239" s="72">
        <v>1760000</v>
      </c>
    </row>
    <row r="240" spans="1:5">
      <c r="A240" s="70"/>
      <c r="B240" s="70">
        <v>800</v>
      </c>
      <c r="C240" s="70">
        <v>369</v>
      </c>
      <c r="D240" s="70">
        <v>7006</v>
      </c>
      <c r="E240" s="72">
        <v>300000</v>
      </c>
    </row>
    <row r="241" spans="1:5">
      <c r="A241" s="70"/>
      <c r="B241" s="70">
        <v>800</v>
      </c>
      <c r="C241" s="70">
        <v>369</v>
      </c>
      <c r="D241" s="70">
        <v>7049</v>
      </c>
      <c r="E241" s="72">
        <v>11159935</v>
      </c>
    </row>
    <row r="242" spans="1:5">
      <c r="A242" s="70"/>
      <c r="B242" s="70">
        <v>800</v>
      </c>
      <c r="C242" s="70">
        <v>369</v>
      </c>
      <c r="D242" s="70">
        <v>7758</v>
      </c>
      <c r="E242" s="72">
        <v>290000000</v>
      </c>
    </row>
    <row r="243" spans="1:5">
      <c r="A243" s="70"/>
      <c r="B243" s="70">
        <v>800</v>
      </c>
      <c r="C243" s="70">
        <v>432</v>
      </c>
      <c r="D243" s="70">
        <v>6599</v>
      </c>
      <c r="E243" s="72">
        <v>315000</v>
      </c>
    </row>
    <row r="244" spans="1:5">
      <c r="A244" s="70"/>
      <c r="B244" s="70">
        <v>800</v>
      </c>
      <c r="C244" s="70">
        <v>432</v>
      </c>
      <c r="D244" s="70">
        <v>6651</v>
      </c>
      <c r="E244" s="72">
        <v>3340000</v>
      </c>
    </row>
    <row r="245" spans="1:5">
      <c r="A245" s="70"/>
      <c r="B245" s="70">
        <v>800</v>
      </c>
      <c r="C245" s="70">
        <v>432</v>
      </c>
      <c r="D245" s="70">
        <v>6655</v>
      </c>
      <c r="E245" s="72">
        <v>10250000</v>
      </c>
    </row>
    <row r="246" spans="1:5">
      <c r="A246" s="70"/>
      <c r="B246" s="70">
        <v>800</v>
      </c>
      <c r="C246" s="70">
        <v>432</v>
      </c>
      <c r="D246" s="70">
        <v>6657</v>
      </c>
      <c r="E246" s="72">
        <v>83535000</v>
      </c>
    </row>
    <row r="247" spans="1:5">
      <c r="A247" s="70"/>
      <c r="B247" s="70">
        <v>800</v>
      </c>
      <c r="C247" s="70">
        <v>432</v>
      </c>
      <c r="D247" s="70">
        <v>6699</v>
      </c>
      <c r="E247" s="72">
        <v>102560000</v>
      </c>
    </row>
    <row r="248" spans="1:5">
      <c r="A248" s="70"/>
      <c r="B248" s="70">
        <v>800</v>
      </c>
      <c r="C248" s="70">
        <v>463</v>
      </c>
      <c r="D248" s="70">
        <v>7758</v>
      </c>
      <c r="E248" s="72">
        <v>6000000</v>
      </c>
    </row>
    <row r="249" spans="1:5">
      <c r="A249" s="70"/>
      <c r="B249" s="70">
        <v>800</v>
      </c>
      <c r="C249" s="70">
        <v>554</v>
      </c>
      <c r="D249" s="70">
        <v>9202</v>
      </c>
      <c r="E249" s="72">
        <v>17026000</v>
      </c>
    </row>
    <row r="250" spans="1:5">
      <c r="A250" s="70"/>
      <c r="B250" s="70">
        <v>800</v>
      </c>
      <c r="C250" s="70">
        <v>554</v>
      </c>
      <c r="D250" s="70">
        <v>9203</v>
      </c>
      <c r="E250" s="72">
        <v>93000</v>
      </c>
    </row>
    <row r="251" spans="1:5">
      <c r="A251" s="70"/>
      <c r="B251" s="70">
        <v>800</v>
      </c>
      <c r="C251" s="70">
        <v>554</v>
      </c>
      <c r="D251" s="70">
        <v>9301</v>
      </c>
      <c r="E251" s="72">
        <v>1254471075</v>
      </c>
    </row>
    <row r="252" spans="1:5">
      <c r="A252" s="70"/>
      <c r="B252" s="70">
        <v>800</v>
      </c>
      <c r="C252" s="70">
        <v>554</v>
      </c>
      <c r="D252" s="70">
        <v>9303</v>
      </c>
      <c r="E252" s="72">
        <v>49749000</v>
      </c>
    </row>
    <row r="253" spans="1:5">
      <c r="A253" s="70"/>
      <c r="B253" s="70">
        <v>800</v>
      </c>
      <c r="C253" s="70">
        <v>554</v>
      </c>
      <c r="D253" s="70">
        <v>9401</v>
      </c>
      <c r="E253" s="72">
        <v>10362971</v>
      </c>
    </row>
    <row r="254" spans="1:5">
      <c r="A254" s="70"/>
      <c r="B254" s="70">
        <v>800</v>
      </c>
      <c r="C254" s="70">
        <v>554</v>
      </c>
      <c r="D254" s="70">
        <v>9402</v>
      </c>
      <c r="E254" s="72">
        <v>18158000</v>
      </c>
    </row>
    <row r="255" spans="1:5">
      <c r="A255" s="70"/>
      <c r="B255" s="70">
        <v>800</v>
      </c>
      <c r="C255" s="70">
        <v>554</v>
      </c>
      <c r="D255" s="70">
        <v>9404</v>
      </c>
      <c r="E255" s="72">
        <v>5246029</v>
      </c>
    </row>
    <row r="256" spans="1:5">
      <c r="A256" s="70"/>
      <c r="B256" s="70">
        <v>800</v>
      </c>
      <c r="C256" s="70">
        <v>579</v>
      </c>
      <c r="D256" s="70">
        <v>9201</v>
      </c>
      <c r="E256" s="72">
        <v>4321980</v>
      </c>
    </row>
    <row r="257" spans="1:6">
      <c r="A257" s="70"/>
      <c r="B257" s="70">
        <v>800</v>
      </c>
      <c r="C257" s="70">
        <v>579</v>
      </c>
      <c r="D257" s="70">
        <v>9202</v>
      </c>
      <c r="E257" s="72">
        <v>18201783</v>
      </c>
    </row>
    <row r="258" spans="1:6">
      <c r="A258" s="70"/>
      <c r="B258" s="70">
        <v>800</v>
      </c>
      <c r="C258" s="70">
        <v>579</v>
      </c>
      <c r="D258" s="70">
        <v>9203</v>
      </c>
      <c r="E258" s="72">
        <v>1493832</v>
      </c>
    </row>
    <row r="259" spans="1:6">
      <c r="A259" s="70"/>
      <c r="B259" s="70">
        <v>800</v>
      </c>
      <c r="C259" s="70">
        <v>579</v>
      </c>
      <c r="D259" s="70">
        <v>9301</v>
      </c>
      <c r="E259" s="72">
        <v>506717000</v>
      </c>
    </row>
    <row r="260" spans="1:6">
      <c r="A260" s="70"/>
      <c r="B260" s="70">
        <v>800</v>
      </c>
      <c r="C260" s="70">
        <v>579</v>
      </c>
      <c r="D260" s="70">
        <v>9401</v>
      </c>
      <c r="E260" s="72">
        <v>13324617</v>
      </c>
    </row>
    <row r="261" spans="1:6">
      <c r="A261" s="70"/>
      <c r="B261" s="70">
        <v>800</v>
      </c>
      <c r="C261" s="70">
        <v>579</v>
      </c>
      <c r="D261" s="70">
        <v>9402</v>
      </c>
      <c r="E261" s="72">
        <v>6767100</v>
      </c>
    </row>
    <row r="262" spans="1:6">
      <c r="A262" s="70"/>
      <c r="B262" s="70">
        <v>800</v>
      </c>
      <c r="C262" s="70">
        <v>579</v>
      </c>
      <c r="D262" s="70">
        <v>9404</v>
      </c>
      <c r="E262" s="72">
        <v>2318247</v>
      </c>
    </row>
    <row r="263" spans="1:6">
      <c r="A263" s="70"/>
      <c r="B263" s="70">
        <v>818</v>
      </c>
      <c r="C263" s="70">
        <v>369</v>
      </c>
      <c r="D263" s="70">
        <v>7799</v>
      </c>
      <c r="E263" s="72">
        <v>821471849</v>
      </c>
    </row>
    <row r="264" spans="1:6">
      <c r="A264" s="391" t="s">
        <v>375</v>
      </c>
      <c r="B264" s="391"/>
      <c r="C264" s="391"/>
      <c r="D264" s="391"/>
      <c r="E264" s="69">
        <f>SUM(E265:E316)</f>
        <v>22650022536</v>
      </c>
      <c r="F264" s="73">
        <f>E264-21074054536</f>
        <v>1575968000</v>
      </c>
    </row>
    <row r="265" spans="1:6">
      <c r="A265" s="70"/>
      <c r="B265" s="70">
        <v>412</v>
      </c>
      <c r="C265" s="71" t="s">
        <v>373</v>
      </c>
      <c r="D265" s="70">
        <v>9301</v>
      </c>
      <c r="E265" s="72">
        <v>335500000</v>
      </c>
    </row>
    <row r="266" spans="1:6">
      <c r="A266" s="70"/>
      <c r="B266" s="70">
        <v>412</v>
      </c>
      <c r="C266" s="71" t="s">
        <v>373</v>
      </c>
      <c r="D266" s="70">
        <v>9401</v>
      </c>
      <c r="E266" s="72">
        <v>22273000</v>
      </c>
    </row>
    <row r="267" spans="1:6">
      <c r="A267" s="70"/>
      <c r="B267" s="70">
        <v>421</v>
      </c>
      <c r="C267" s="70">
        <v>223</v>
      </c>
      <c r="D267" s="70">
        <v>9203</v>
      </c>
      <c r="E267" s="72">
        <v>3250520</v>
      </c>
    </row>
    <row r="268" spans="1:6">
      <c r="A268" s="70"/>
      <c r="B268" s="70">
        <v>421</v>
      </c>
      <c r="C268" s="70">
        <v>223</v>
      </c>
      <c r="D268" s="70">
        <v>9299</v>
      </c>
      <c r="E268" s="72">
        <v>72683774</v>
      </c>
    </row>
    <row r="269" spans="1:6">
      <c r="A269" s="70"/>
      <c r="B269" s="70">
        <v>421</v>
      </c>
      <c r="C269" s="70">
        <v>223</v>
      </c>
      <c r="D269" s="70">
        <v>9301</v>
      </c>
      <c r="E269" s="72">
        <v>8041285872</v>
      </c>
    </row>
    <row r="270" spans="1:6">
      <c r="A270" s="70"/>
      <c r="B270" s="70">
        <v>421</v>
      </c>
      <c r="C270" s="70">
        <v>223</v>
      </c>
      <c r="D270" s="70">
        <v>9402</v>
      </c>
      <c r="E270" s="72">
        <v>310983300</v>
      </c>
    </row>
    <row r="271" spans="1:6">
      <c r="A271" s="70"/>
      <c r="B271" s="70">
        <v>421</v>
      </c>
      <c r="C271" s="70">
        <v>223</v>
      </c>
      <c r="D271" s="70">
        <v>9404</v>
      </c>
      <c r="E271" s="72">
        <v>148477000</v>
      </c>
    </row>
    <row r="272" spans="1:6">
      <c r="A272" s="70"/>
      <c r="B272" s="70">
        <v>422</v>
      </c>
      <c r="C272" s="70">
        <v>492</v>
      </c>
      <c r="D272" s="70">
        <v>9301</v>
      </c>
      <c r="E272" s="72">
        <v>1053722000</v>
      </c>
    </row>
    <row r="273" spans="1:5">
      <c r="A273" s="70"/>
      <c r="B273" s="70">
        <v>422</v>
      </c>
      <c r="C273" s="70">
        <v>492</v>
      </c>
      <c r="D273" s="70">
        <v>9351</v>
      </c>
      <c r="E273" s="72">
        <v>110520000</v>
      </c>
    </row>
    <row r="274" spans="1:5">
      <c r="A274" s="70"/>
      <c r="B274" s="70">
        <v>422</v>
      </c>
      <c r="C274" s="70">
        <v>492</v>
      </c>
      <c r="D274" s="70">
        <v>9401</v>
      </c>
      <c r="E274" s="72">
        <v>47535000</v>
      </c>
    </row>
    <row r="275" spans="1:5">
      <c r="A275" s="70"/>
      <c r="B275" s="70">
        <v>422</v>
      </c>
      <c r="C275" s="70">
        <v>492</v>
      </c>
      <c r="D275" s="70">
        <v>9402</v>
      </c>
      <c r="E275" s="72">
        <v>37036000</v>
      </c>
    </row>
    <row r="276" spans="1:5">
      <c r="A276" s="70"/>
      <c r="B276" s="70">
        <v>424</v>
      </c>
      <c r="C276" s="70">
        <v>528</v>
      </c>
      <c r="D276" s="70">
        <v>6503</v>
      </c>
      <c r="E276" s="72">
        <v>538166</v>
      </c>
    </row>
    <row r="277" spans="1:5">
      <c r="A277" s="70"/>
      <c r="B277" s="70">
        <v>424</v>
      </c>
      <c r="C277" s="70">
        <v>528</v>
      </c>
      <c r="D277" s="70">
        <v>6606</v>
      </c>
      <c r="E277" s="72">
        <v>32000000</v>
      </c>
    </row>
    <row r="278" spans="1:5">
      <c r="A278" s="70"/>
      <c r="B278" s="70">
        <v>424</v>
      </c>
      <c r="C278" s="70">
        <v>528</v>
      </c>
      <c r="D278" s="70">
        <v>6612</v>
      </c>
      <c r="E278" s="72">
        <v>20000000</v>
      </c>
    </row>
    <row r="279" spans="1:5">
      <c r="A279" s="70"/>
      <c r="B279" s="70">
        <v>424</v>
      </c>
      <c r="C279" s="70">
        <v>528</v>
      </c>
      <c r="D279" s="70">
        <v>6651</v>
      </c>
      <c r="E279" s="72">
        <v>11700480</v>
      </c>
    </row>
    <row r="280" spans="1:5">
      <c r="A280" s="70"/>
      <c r="B280" s="70">
        <v>424</v>
      </c>
      <c r="C280" s="70">
        <v>528</v>
      </c>
      <c r="D280" s="70">
        <v>6652</v>
      </c>
      <c r="E280" s="72">
        <v>11500000</v>
      </c>
    </row>
    <row r="281" spans="1:5">
      <c r="A281" s="70"/>
      <c r="B281" s="70">
        <v>424</v>
      </c>
      <c r="C281" s="70">
        <v>528</v>
      </c>
      <c r="D281" s="70">
        <v>6655</v>
      </c>
      <c r="E281" s="72">
        <v>9650000</v>
      </c>
    </row>
    <row r="282" spans="1:5">
      <c r="A282" s="70"/>
      <c r="B282" s="70">
        <v>424</v>
      </c>
      <c r="C282" s="70">
        <v>528</v>
      </c>
      <c r="D282" s="70">
        <v>6657</v>
      </c>
      <c r="E282" s="72">
        <v>6007000</v>
      </c>
    </row>
    <row r="283" spans="1:5">
      <c r="A283" s="70"/>
      <c r="B283" s="70">
        <v>424</v>
      </c>
      <c r="C283" s="70">
        <v>528</v>
      </c>
      <c r="D283" s="70">
        <v>6658</v>
      </c>
      <c r="E283" s="72">
        <v>108750000</v>
      </c>
    </row>
    <row r="284" spans="1:5">
      <c r="A284" s="70"/>
      <c r="B284" s="70">
        <v>424</v>
      </c>
      <c r="C284" s="70">
        <v>528</v>
      </c>
      <c r="D284" s="70">
        <v>6699</v>
      </c>
      <c r="E284" s="72">
        <v>66420000</v>
      </c>
    </row>
    <row r="285" spans="1:5">
      <c r="A285" s="70"/>
      <c r="B285" s="70">
        <v>424</v>
      </c>
      <c r="C285" s="70">
        <v>528</v>
      </c>
      <c r="D285" s="70">
        <v>6702</v>
      </c>
      <c r="E285" s="72">
        <v>45200000</v>
      </c>
    </row>
    <row r="286" spans="1:5">
      <c r="A286" s="70"/>
      <c r="B286" s="70">
        <v>424</v>
      </c>
      <c r="C286" s="70">
        <v>528</v>
      </c>
      <c r="D286" s="70">
        <v>6703</v>
      </c>
      <c r="E286" s="72">
        <v>41850000</v>
      </c>
    </row>
    <row r="287" spans="1:5">
      <c r="A287" s="70"/>
      <c r="B287" s="70">
        <v>424</v>
      </c>
      <c r="C287" s="70">
        <v>528</v>
      </c>
      <c r="D287" s="70">
        <v>6751</v>
      </c>
      <c r="E287" s="72">
        <v>53750000</v>
      </c>
    </row>
    <row r="288" spans="1:5">
      <c r="A288" s="70"/>
      <c r="B288" s="70">
        <v>424</v>
      </c>
      <c r="C288" s="70">
        <v>528</v>
      </c>
      <c r="D288" s="70">
        <v>7012</v>
      </c>
      <c r="E288" s="72">
        <v>1155285000</v>
      </c>
    </row>
    <row r="289" spans="1:6">
      <c r="A289" s="70"/>
      <c r="B289" s="70">
        <v>424</v>
      </c>
      <c r="C289" s="70">
        <v>528</v>
      </c>
      <c r="D289" s="70">
        <v>9062</v>
      </c>
      <c r="E289" s="72">
        <v>10800000</v>
      </c>
    </row>
    <row r="290" spans="1:6">
      <c r="A290" s="70"/>
      <c r="B290" s="70">
        <v>427</v>
      </c>
      <c r="C290" s="70">
        <v>528</v>
      </c>
      <c r="D290" s="70">
        <v>6106</v>
      </c>
      <c r="E290" s="72">
        <v>1061000</v>
      </c>
    </row>
    <row r="291" spans="1:6">
      <c r="A291" s="70"/>
      <c r="B291" s="70">
        <v>427</v>
      </c>
      <c r="C291" s="70">
        <v>528</v>
      </c>
      <c r="D291" s="70">
        <v>6505</v>
      </c>
      <c r="E291" s="72">
        <v>2940000</v>
      </c>
    </row>
    <row r="292" spans="1:6">
      <c r="A292" s="70"/>
      <c r="B292" s="70">
        <v>427</v>
      </c>
      <c r="C292" s="70">
        <v>528</v>
      </c>
      <c r="D292" s="70">
        <v>6551</v>
      </c>
      <c r="E292" s="72">
        <v>658000</v>
      </c>
    </row>
    <row r="293" spans="1:6">
      <c r="A293" s="70"/>
      <c r="B293" s="70">
        <v>427</v>
      </c>
      <c r="C293" s="70">
        <v>528</v>
      </c>
      <c r="D293" s="70">
        <v>6603</v>
      </c>
      <c r="E293" s="72">
        <v>355000</v>
      </c>
    </row>
    <row r="294" spans="1:6">
      <c r="A294" s="70"/>
      <c r="B294" s="70">
        <v>427</v>
      </c>
      <c r="C294" s="70">
        <v>528</v>
      </c>
      <c r="D294" s="70">
        <v>6651</v>
      </c>
      <c r="E294" s="72">
        <v>2876000</v>
      </c>
    </row>
    <row r="295" spans="1:6">
      <c r="A295" s="70"/>
      <c r="B295" s="70">
        <v>427</v>
      </c>
      <c r="C295" s="70">
        <v>528</v>
      </c>
      <c r="D295" s="70">
        <v>6652</v>
      </c>
      <c r="E295" s="72">
        <v>8800000</v>
      </c>
    </row>
    <row r="296" spans="1:6">
      <c r="A296" s="70"/>
      <c r="B296" s="70">
        <v>427</v>
      </c>
      <c r="C296" s="70">
        <v>528</v>
      </c>
      <c r="D296" s="70">
        <v>6654</v>
      </c>
      <c r="E296" s="72">
        <v>30000000</v>
      </c>
    </row>
    <row r="297" spans="1:6">
      <c r="A297" s="70"/>
      <c r="B297" s="70">
        <v>427</v>
      </c>
      <c r="C297" s="70">
        <v>528</v>
      </c>
      <c r="D297" s="70">
        <v>6655</v>
      </c>
      <c r="E297" s="72">
        <v>2500000</v>
      </c>
    </row>
    <row r="298" spans="1:6">
      <c r="A298" s="70"/>
      <c r="B298" s="70">
        <v>427</v>
      </c>
      <c r="C298" s="70">
        <v>528</v>
      </c>
      <c r="D298" s="70">
        <v>6657</v>
      </c>
      <c r="E298" s="72">
        <v>600000</v>
      </c>
    </row>
    <row r="299" spans="1:6">
      <c r="A299" s="70"/>
      <c r="B299" s="70">
        <v>427</v>
      </c>
      <c r="C299" s="70">
        <v>528</v>
      </c>
      <c r="D299" s="70">
        <v>6658</v>
      </c>
      <c r="E299" s="72">
        <v>18000000</v>
      </c>
    </row>
    <row r="300" spans="1:6">
      <c r="A300" s="70"/>
      <c r="B300" s="70">
        <v>427</v>
      </c>
      <c r="C300" s="70">
        <v>528</v>
      </c>
      <c r="D300" s="70">
        <v>6699</v>
      </c>
      <c r="E300" s="72">
        <v>6287000</v>
      </c>
    </row>
    <row r="301" spans="1:6">
      <c r="A301" s="70"/>
      <c r="B301" s="70">
        <v>427</v>
      </c>
      <c r="C301" s="70">
        <v>528</v>
      </c>
      <c r="D301" s="70">
        <v>6702</v>
      </c>
      <c r="E301" s="72">
        <v>29400000</v>
      </c>
    </row>
    <row r="302" spans="1:6">
      <c r="A302" s="70"/>
      <c r="B302" s="70">
        <v>427</v>
      </c>
      <c r="C302" s="70">
        <v>528</v>
      </c>
      <c r="D302" s="70">
        <v>6703</v>
      </c>
      <c r="E302" s="72">
        <v>49000000</v>
      </c>
    </row>
    <row r="303" spans="1:6">
      <c r="A303" s="70"/>
      <c r="B303" s="70">
        <v>427</v>
      </c>
      <c r="C303" s="70">
        <v>528</v>
      </c>
      <c r="D303" s="70">
        <v>6751</v>
      </c>
      <c r="E303" s="72">
        <v>9000000</v>
      </c>
      <c r="F303" s="73">
        <v>2971036424</v>
      </c>
    </row>
    <row r="304" spans="1:6">
      <c r="A304" s="70"/>
      <c r="B304" s="70">
        <v>427</v>
      </c>
      <c r="C304" s="70">
        <v>528</v>
      </c>
      <c r="D304" s="70">
        <v>7003</v>
      </c>
      <c r="E304" s="72">
        <v>4300000</v>
      </c>
      <c r="F304" s="73">
        <f>F303-F313</f>
        <v>1075968000</v>
      </c>
    </row>
    <row r="305" spans="1:6">
      <c r="A305" s="70"/>
      <c r="B305" s="70">
        <v>427</v>
      </c>
      <c r="C305" s="70">
        <v>528</v>
      </c>
      <c r="D305" s="70">
        <v>7012</v>
      </c>
      <c r="E305" s="72">
        <v>95489200</v>
      </c>
    </row>
    <row r="306" spans="1:6">
      <c r="A306" s="70"/>
      <c r="B306" s="70">
        <v>427</v>
      </c>
      <c r="C306" s="70">
        <v>528</v>
      </c>
      <c r="D306" s="70">
        <v>7049</v>
      </c>
      <c r="E306" s="72">
        <v>9150000</v>
      </c>
    </row>
    <row r="307" spans="1:6">
      <c r="A307" s="70"/>
      <c r="B307" s="70">
        <v>427</v>
      </c>
      <c r="C307" s="70">
        <v>528</v>
      </c>
      <c r="D307" s="70">
        <v>9055</v>
      </c>
      <c r="E307" s="72">
        <v>304974000</v>
      </c>
    </row>
    <row r="308" spans="1:6">
      <c r="A308" s="70"/>
      <c r="B308" s="70">
        <v>800</v>
      </c>
      <c r="C308" s="70">
        <v>167</v>
      </c>
      <c r="D308" s="70">
        <v>6907</v>
      </c>
      <c r="E308" s="72">
        <v>63000000</v>
      </c>
    </row>
    <row r="309" spans="1:6">
      <c r="A309" s="70"/>
      <c r="B309" s="70">
        <v>800</v>
      </c>
      <c r="C309" s="70">
        <v>167</v>
      </c>
      <c r="D309" s="70">
        <v>6922</v>
      </c>
      <c r="E309" s="72">
        <v>63000000</v>
      </c>
    </row>
    <row r="310" spans="1:6">
      <c r="A310" s="70"/>
      <c r="B310" s="70">
        <v>800</v>
      </c>
      <c r="C310" s="70">
        <v>167</v>
      </c>
      <c r="D310" s="70">
        <v>6949</v>
      </c>
      <c r="E310" s="72">
        <v>49968000</v>
      </c>
    </row>
    <row r="311" spans="1:6">
      <c r="A311" s="70"/>
      <c r="B311" s="70">
        <v>800</v>
      </c>
      <c r="C311" s="70">
        <v>223</v>
      </c>
      <c r="D311" s="70">
        <v>9201</v>
      </c>
      <c r="E311" s="72">
        <v>89320233</v>
      </c>
    </row>
    <row r="312" spans="1:6">
      <c r="A312" s="70"/>
      <c r="B312" s="70">
        <v>800</v>
      </c>
      <c r="C312" s="70">
        <v>223</v>
      </c>
      <c r="D312" s="70">
        <v>9202</v>
      </c>
      <c r="E312" s="72">
        <v>228259191</v>
      </c>
    </row>
    <row r="313" spans="1:6">
      <c r="A313" s="70"/>
      <c r="B313" s="70">
        <v>800</v>
      </c>
      <c r="C313" s="70">
        <v>223</v>
      </c>
      <c r="D313" s="70">
        <v>9301</v>
      </c>
      <c r="E313" s="72">
        <v>8263430800</v>
      </c>
      <c r="F313" s="73">
        <f>1895068424</f>
        <v>1895068424</v>
      </c>
    </row>
    <row r="314" spans="1:6">
      <c r="A314" s="70"/>
      <c r="B314" s="70">
        <v>800</v>
      </c>
      <c r="C314" s="70">
        <v>223</v>
      </c>
      <c r="D314" s="70">
        <v>9401</v>
      </c>
      <c r="E314" s="72">
        <v>549590000</v>
      </c>
      <c r="F314" s="73">
        <v>5722767000</v>
      </c>
    </row>
    <row r="315" spans="1:6">
      <c r="A315" s="70"/>
      <c r="B315" s="70">
        <v>800</v>
      </c>
      <c r="C315" s="70">
        <v>223</v>
      </c>
      <c r="D315" s="70">
        <v>9402</v>
      </c>
      <c r="E315" s="72">
        <v>111347000</v>
      </c>
      <c r="F315" s="73">
        <v>1173917800</v>
      </c>
    </row>
    <row r="316" spans="1:6">
      <c r="A316" s="70"/>
      <c r="B316" s="70">
        <v>800</v>
      </c>
      <c r="C316" s="70">
        <v>369</v>
      </c>
      <c r="D316" s="70">
        <v>7758</v>
      </c>
      <c r="E316" s="72">
        <v>900000000</v>
      </c>
      <c r="F316" s="73">
        <f>SUM(F313:F315)</f>
        <v>8791753224</v>
      </c>
    </row>
    <row r="317" spans="1:6">
      <c r="A317" s="392" t="s">
        <v>376</v>
      </c>
      <c r="B317" s="392"/>
      <c r="C317" s="392"/>
      <c r="D317" s="392"/>
      <c r="E317" s="69">
        <f>SUM(E318:E370)</f>
        <v>1888431000</v>
      </c>
      <c r="F317" s="73">
        <f>SUM(E308:E316)</f>
        <v>10317915224</v>
      </c>
    </row>
    <row r="318" spans="1:6">
      <c r="A318" s="70"/>
      <c r="B318" s="70">
        <v>423</v>
      </c>
      <c r="C318" s="70">
        <v>521</v>
      </c>
      <c r="D318" s="70">
        <v>6701</v>
      </c>
      <c r="E318" s="72">
        <v>8726000</v>
      </c>
      <c r="F318" s="73">
        <f>F317-F316</f>
        <v>1526162000</v>
      </c>
    </row>
    <row r="319" spans="1:6">
      <c r="A319" s="70"/>
      <c r="B319" s="70">
        <v>423</v>
      </c>
      <c r="C319" s="70">
        <v>521</v>
      </c>
      <c r="D319" s="70">
        <v>6702</v>
      </c>
      <c r="E319" s="72">
        <v>3120000</v>
      </c>
    </row>
    <row r="320" spans="1:6">
      <c r="A320" s="70"/>
      <c r="B320" s="70">
        <v>423</v>
      </c>
      <c r="C320" s="70">
        <v>521</v>
      </c>
      <c r="D320" s="70">
        <v>7049</v>
      </c>
      <c r="E320" s="72">
        <v>33900000</v>
      </c>
    </row>
    <row r="321" spans="1:5">
      <c r="A321" s="70"/>
      <c r="B321" s="70">
        <v>423</v>
      </c>
      <c r="C321" s="70">
        <v>521</v>
      </c>
      <c r="D321" s="70">
        <v>7761</v>
      </c>
      <c r="E321" s="72">
        <v>683000</v>
      </c>
    </row>
    <row r="322" spans="1:5">
      <c r="A322" s="70"/>
      <c r="B322" s="70">
        <v>423</v>
      </c>
      <c r="C322" s="70">
        <v>521</v>
      </c>
      <c r="D322" s="70">
        <v>6503</v>
      </c>
      <c r="E322" s="72">
        <v>8253620</v>
      </c>
    </row>
    <row r="323" spans="1:5">
      <c r="A323" s="70"/>
      <c r="B323" s="70">
        <v>423</v>
      </c>
      <c r="C323" s="70">
        <v>521</v>
      </c>
      <c r="D323" s="70">
        <v>6702</v>
      </c>
      <c r="E323" s="72">
        <v>4140000</v>
      </c>
    </row>
    <row r="324" spans="1:5">
      <c r="A324" s="70"/>
      <c r="B324" s="70">
        <v>423</v>
      </c>
      <c r="C324" s="70">
        <v>521</v>
      </c>
      <c r="D324" s="70">
        <v>7049</v>
      </c>
      <c r="E324" s="72">
        <v>27450000</v>
      </c>
    </row>
    <row r="325" spans="1:5">
      <c r="A325" s="70"/>
      <c r="B325" s="70">
        <v>423</v>
      </c>
      <c r="C325" s="70">
        <v>523</v>
      </c>
      <c r="D325" s="70">
        <v>6701</v>
      </c>
      <c r="E325" s="72">
        <v>3340000</v>
      </c>
    </row>
    <row r="326" spans="1:5">
      <c r="A326" s="70"/>
      <c r="B326" s="70">
        <v>423</v>
      </c>
      <c r="C326" s="70">
        <v>523</v>
      </c>
      <c r="D326" s="70">
        <v>6702</v>
      </c>
      <c r="E326" s="72">
        <v>1460000</v>
      </c>
    </row>
    <row r="327" spans="1:5">
      <c r="A327" s="70"/>
      <c r="B327" s="70">
        <v>423</v>
      </c>
      <c r="C327" s="70">
        <v>523</v>
      </c>
      <c r="D327" s="70">
        <v>6703</v>
      </c>
      <c r="E327" s="72">
        <v>1300000</v>
      </c>
    </row>
    <row r="328" spans="1:5">
      <c r="A328" s="70"/>
      <c r="B328" s="70">
        <v>423</v>
      </c>
      <c r="C328" s="70">
        <v>523</v>
      </c>
      <c r="D328" s="70">
        <v>6503</v>
      </c>
      <c r="E328" s="72">
        <v>11955880</v>
      </c>
    </row>
    <row r="329" spans="1:5">
      <c r="A329" s="70"/>
      <c r="B329" s="70">
        <v>423</v>
      </c>
      <c r="C329" s="70">
        <v>523</v>
      </c>
      <c r="D329" s="70">
        <v>6651</v>
      </c>
      <c r="E329" s="72">
        <v>9834862</v>
      </c>
    </row>
    <row r="330" spans="1:5">
      <c r="A330" s="70"/>
      <c r="B330" s="70">
        <v>423</v>
      </c>
      <c r="C330" s="70">
        <v>523</v>
      </c>
      <c r="D330" s="70">
        <v>6652</v>
      </c>
      <c r="E330" s="72">
        <v>12400000</v>
      </c>
    </row>
    <row r="331" spans="1:5">
      <c r="A331" s="70"/>
      <c r="B331" s="70">
        <v>423</v>
      </c>
      <c r="C331" s="70">
        <v>523</v>
      </c>
      <c r="D331" s="70">
        <v>6655</v>
      </c>
      <c r="E331" s="72">
        <v>4000000</v>
      </c>
    </row>
    <row r="332" spans="1:5">
      <c r="A332" s="70"/>
      <c r="B332" s="70">
        <v>423</v>
      </c>
      <c r="C332" s="70">
        <v>523</v>
      </c>
      <c r="D332" s="70">
        <v>6699</v>
      </c>
      <c r="E332" s="72">
        <v>12755638</v>
      </c>
    </row>
    <row r="333" spans="1:5">
      <c r="A333" s="70"/>
      <c r="B333" s="70">
        <v>423</v>
      </c>
      <c r="C333" s="70">
        <v>523</v>
      </c>
      <c r="D333" s="70">
        <v>6701</v>
      </c>
      <c r="E333" s="72">
        <v>600000</v>
      </c>
    </row>
    <row r="334" spans="1:5">
      <c r="A334" s="70"/>
      <c r="B334" s="70">
        <v>423</v>
      </c>
      <c r="C334" s="70">
        <v>523</v>
      </c>
      <c r="D334" s="70">
        <v>6702</v>
      </c>
      <c r="E334" s="72">
        <v>5420000</v>
      </c>
    </row>
    <row r="335" spans="1:5">
      <c r="A335" s="70"/>
      <c r="B335" s="70">
        <v>423</v>
      </c>
      <c r="C335" s="70">
        <v>523</v>
      </c>
      <c r="D335" s="70">
        <v>6703</v>
      </c>
      <c r="E335" s="72">
        <v>1400000</v>
      </c>
    </row>
    <row r="336" spans="1:5">
      <c r="A336" s="70"/>
      <c r="B336" s="70">
        <v>423</v>
      </c>
      <c r="C336" s="70">
        <v>523</v>
      </c>
      <c r="D336" s="70">
        <v>6751</v>
      </c>
      <c r="E336" s="72">
        <v>3400000</v>
      </c>
    </row>
    <row r="337" spans="1:5">
      <c r="A337" s="70"/>
      <c r="B337" s="70">
        <v>423</v>
      </c>
      <c r="C337" s="70">
        <v>523</v>
      </c>
      <c r="D337" s="70">
        <v>7001</v>
      </c>
      <c r="E337" s="72">
        <v>51771000</v>
      </c>
    </row>
    <row r="338" spans="1:5">
      <c r="A338" s="70"/>
      <c r="B338" s="70">
        <v>423</v>
      </c>
      <c r="C338" s="70">
        <v>523</v>
      </c>
      <c r="D338" s="70">
        <v>7049</v>
      </c>
      <c r="E338" s="72">
        <v>282820000</v>
      </c>
    </row>
    <row r="339" spans="1:5">
      <c r="A339" s="70"/>
      <c r="B339" s="70">
        <v>423</v>
      </c>
      <c r="C339" s="70">
        <v>523</v>
      </c>
      <c r="D339" s="70">
        <v>7049</v>
      </c>
      <c r="E339" s="72">
        <v>20100000</v>
      </c>
    </row>
    <row r="340" spans="1:5">
      <c r="A340" s="70"/>
      <c r="B340" s="70">
        <v>423</v>
      </c>
      <c r="C340" s="70">
        <v>526</v>
      </c>
      <c r="D340" s="70">
        <v>7003</v>
      </c>
      <c r="E340" s="72">
        <v>56530500</v>
      </c>
    </row>
    <row r="341" spans="1:5">
      <c r="A341" s="70"/>
      <c r="B341" s="70">
        <v>623</v>
      </c>
      <c r="C341" s="70">
        <v>464</v>
      </c>
      <c r="D341" s="70">
        <v>6503</v>
      </c>
      <c r="E341" s="72">
        <v>4600000</v>
      </c>
    </row>
    <row r="342" spans="1:5">
      <c r="A342" s="70"/>
      <c r="B342" s="70">
        <v>623</v>
      </c>
      <c r="C342" s="70">
        <v>464</v>
      </c>
      <c r="D342" s="70">
        <v>6749</v>
      </c>
      <c r="E342" s="72">
        <v>4140000</v>
      </c>
    </row>
    <row r="343" spans="1:5">
      <c r="A343" s="70"/>
      <c r="B343" s="70">
        <v>623</v>
      </c>
      <c r="C343" s="70">
        <v>523</v>
      </c>
      <c r="D343" s="70">
        <v>7001</v>
      </c>
      <c r="E343" s="72">
        <v>2730000</v>
      </c>
    </row>
    <row r="344" spans="1:5">
      <c r="A344" s="70"/>
      <c r="B344" s="70">
        <v>623</v>
      </c>
      <c r="C344" s="70">
        <v>523</v>
      </c>
      <c r="D344" s="70">
        <v>7049</v>
      </c>
      <c r="E344" s="72">
        <v>209713500</v>
      </c>
    </row>
    <row r="345" spans="1:5">
      <c r="A345" s="70"/>
      <c r="B345" s="70">
        <v>623</v>
      </c>
      <c r="C345" s="70">
        <v>523</v>
      </c>
      <c r="D345" s="70">
        <v>6449</v>
      </c>
      <c r="E345" s="72">
        <f>136500000+58500000</f>
        <v>195000000</v>
      </c>
    </row>
    <row r="346" spans="1:5">
      <c r="A346" s="70"/>
      <c r="B346" s="70">
        <v>623</v>
      </c>
      <c r="C346" s="70">
        <v>523</v>
      </c>
      <c r="D346" s="70">
        <v>6651</v>
      </c>
      <c r="E346" s="72">
        <v>3040000</v>
      </c>
    </row>
    <row r="347" spans="1:5">
      <c r="A347" s="70"/>
      <c r="B347" s="70">
        <v>623</v>
      </c>
      <c r="C347" s="70">
        <v>523</v>
      </c>
      <c r="D347" s="70">
        <v>6652</v>
      </c>
      <c r="E347" s="72">
        <v>1400000</v>
      </c>
    </row>
    <row r="348" spans="1:5">
      <c r="A348" s="70"/>
      <c r="B348" s="70">
        <v>623</v>
      </c>
      <c r="C348" s="70">
        <v>523</v>
      </c>
      <c r="D348" s="70">
        <v>6699</v>
      </c>
      <c r="E348" s="72">
        <f>4760000+24200000</f>
        <v>28960000</v>
      </c>
    </row>
    <row r="349" spans="1:5">
      <c r="A349" s="70"/>
      <c r="B349" s="70">
        <v>623</v>
      </c>
      <c r="C349" s="70">
        <v>523</v>
      </c>
      <c r="D349" s="70">
        <v>7003</v>
      </c>
      <c r="E349" s="72">
        <v>6600000</v>
      </c>
    </row>
    <row r="350" spans="1:5">
      <c r="A350" s="70"/>
      <c r="B350" s="70">
        <v>623</v>
      </c>
      <c r="C350" s="70">
        <v>523</v>
      </c>
      <c r="D350" s="70">
        <v>7049</v>
      </c>
      <c r="E350" s="72">
        <f>33410000+90110000</f>
        <v>123520000</v>
      </c>
    </row>
    <row r="351" spans="1:5">
      <c r="A351" s="70"/>
      <c r="B351" s="70">
        <v>623</v>
      </c>
      <c r="C351" s="70">
        <v>526</v>
      </c>
      <c r="D351" s="70">
        <v>7049</v>
      </c>
      <c r="E351" s="72">
        <v>3000000</v>
      </c>
    </row>
    <row r="352" spans="1:5">
      <c r="A352" s="70"/>
      <c r="B352" s="70">
        <v>623</v>
      </c>
      <c r="C352" s="70">
        <v>533</v>
      </c>
      <c r="D352" s="70">
        <v>7049</v>
      </c>
      <c r="E352" s="72">
        <v>207900000</v>
      </c>
    </row>
    <row r="353" spans="1:5">
      <c r="A353" s="70"/>
      <c r="B353" s="70">
        <v>623</v>
      </c>
      <c r="C353" s="70">
        <v>533</v>
      </c>
      <c r="D353" s="70">
        <v>6551</v>
      </c>
      <c r="E353" s="72">
        <v>4930000</v>
      </c>
    </row>
    <row r="354" spans="1:5">
      <c r="A354" s="70"/>
      <c r="B354" s="70">
        <v>623</v>
      </c>
      <c r="C354" s="70">
        <v>533</v>
      </c>
      <c r="D354" s="70">
        <v>6652</v>
      </c>
      <c r="E354" s="72">
        <v>600000</v>
      </c>
    </row>
    <row r="355" spans="1:5">
      <c r="A355" s="70"/>
      <c r="B355" s="70">
        <v>623</v>
      </c>
      <c r="C355" s="70">
        <v>533</v>
      </c>
      <c r="D355" s="70">
        <v>6655</v>
      </c>
      <c r="E355" s="72">
        <v>700000</v>
      </c>
    </row>
    <row r="356" spans="1:5">
      <c r="A356" s="70"/>
      <c r="B356" s="70">
        <v>623</v>
      </c>
      <c r="C356" s="70">
        <v>533</v>
      </c>
      <c r="D356" s="70">
        <v>6699</v>
      </c>
      <c r="E356" s="72">
        <v>2600000</v>
      </c>
    </row>
    <row r="357" spans="1:5">
      <c r="A357" s="70"/>
      <c r="B357" s="70">
        <v>623</v>
      </c>
      <c r="C357" s="70">
        <v>533</v>
      </c>
      <c r="D357" s="70">
        <v>7003</v>
      </c>
      <c r="E357" s="72">
        <v>1600000</v>
      </c>
    </row>
    <row r="358" spans="1:5">
      <c r="A358" s="70"/>
      <c r="B358" s="70">
        <v>623</v>
      </c>
      <c r="C358" s="70">
        <v>533</v>
      </c>
      <c r="D358" s="70">
        <v>7049</v>
      </c>
      <c r="E358" s="72">
        <v>87509000</v>
      </c>
    </row>
    <row r="359" spans="1:5">
      <c r="A359" s="70"/>
      <c r="B359" s="70">
        <v>623</v>
      </c>
      <c r="C359" s="70">
        <v>533</v>
      </c>
      <c r="D359" s="70">
        <v>7758</v>
      </c>
      <c r="E359" s="72">
        <v>5600000</v>
      </c>
    </row>
    <row r="360" spans="1:5">
      <c r="A360" s="70"/>
      <c r="B360" s="70">
        <v>623</v>
      </c>
      <c r="C360" s="70">
        <v>533</v>
      </c>
      <c r="D360" s="70">
        <v>7003</v>
      </c>
      <c r="E360" s="72">
        <v>4200000</v>
      </c>
    </row>
    <row r="361" spans="1:5">
      <c r="A361" s="70"/>
      <c r="B361" s="70">
        <v>623</v>
      </c>
      <c r="C361" s="70">
        <v>533</v>
      </c>
      <c r="D361" s="70">
        <v>7049</v>
      </c>
      <c r="E361" s="72">
        <v>51728000</v>
      </c>
    </row>
    <row r="362" spans="1:5">
      <c r="A362" s="70"/>
      <c r="B362" s="70">
        <v>623</v>
      </c>
      <c r="C362" s="70">
        <v>534</v>
      </c>
      <c r="D362" s="70">
        <v>6551</v>
      </c>
      <c r="E362" s="72">
        <v>7400000</v>
      </c>
    </row>
    <row r="363" spans="1:5">
      <c r="A363" s="70"/>
      <c r="B363" s="70">
        <v>623</v>
      </c>
      <c r="C363" s="70">
        <v>534</v>
      </c>
      <c r="D363" s="70">
        <v>7003</v>
      </c>
      <c r="E363" s="72">
        <v>400000</v>
      </c>
    </row>
    <row r="364" spans="1:5">
      <c r="A364" s="70"/>
      <c r="B364" s="70">
        <v>623</v>
      </c>
      <c r="C364" s="70">
        <v>534</v>
      </c>
      <c r="D364" s="70">
        <v>7049</v>
      </c>
      <c r="E364" s="72">
        <v>92990000</v>
      </c>
    </row>
    <row r="365" spans="1:5">
      <c r="A365" s="70"/>
      <c r="B365" s="70">
        <v>623</v>
      </c>
      <c r="C365" s="70">
        <v>534</v>
      </c>
      <c r="D365" s="70">
        <v>7049</v>
      </c>
      <c r="E365" s="72">
        <v>108500000</v>
      </c>
    </row>
    <row r="366" spans="1:5">
      <c r="A366" s="70"/>
      <c r="B366" s="70">
        <v>623</v>
      </c>
      <c r="C366" s="70">
        <v>534</v>
      </c>
      <c r="D366" s="70">
        <v>6651</v>
      </c>
      <c r="E366" s="72">
        <v>7760000</v>
      </c>
    </row>
    <row r="367" spans="1:5">
      <c r="A367" s="70"/>
      <c r="B367" s="70">
        <v>623</v>
      </c>
      <c r="C367" s="70">
        <v>534</v>
      </c>
      <c r="D367" s="70">
        <v>6655</v>
      </c>
      <c r="E367" s="72">
        <v>2500000</v>
      </c>
    </row>
    <row r="368" spans="1:5">
      <c r="A368" s="70"/>
      <c r="B368" s="70">
        <v>623</v>
      </c>
      <c r="C368" s="70">
        <v>534</v>
      </c>
      <c r="D368" s="70">
        <v>6699</v>
      </c>
      <c r="E368" s="72">
        <v>16340000</v>
      </c>
    </row>
    <row r="369" spans="1:5">
      <c r="A369" s="70"/>
      <c r="B369" s="70">
        <v>623</v>
      </c>
      <c r="C369" s="70">
        <v>534</v>
      </c>
      <c r="D369" s="70">
        <v>7003</v>
      </c>
      <c r="E369" s="72">
        <v>6600000</v>
      </c>
    </row>
    <row r="370" spans="1:5">
      <c r="A370" s="70"/>
      <c r="B370" s="70">
        <v>623</v>
      </c>
      <c r="C370" s="70">
        <v>534</v>
      </c>
      <c r="D370" s="70">
        <v>7049</v>
      </c>
      <c r="E370" s="72">
        <v>130510000</v>
      </c>
    </row>
    <row r="371" spans="1:5">
      <c r="A371" s="393" t="s">
        <v>377</v>
      </c>
      <c r="B371" s="393"/>
      <c r="C371" s="393"/>
      <c r="D371" s="393"/>
      <c r="E371" s="69">
        <f>SUM(E372:E375)</f>
        <v>24635980</v>
      </c>
    </row>
    <row r="372" spans="1:5">
      <c r="A372" s="70"/>
      <c r="B372" s="70">
        <v>423</v>
      </c>
      <c r="C372" s="70">
        <v>523</v>
      </c>
      <c r="D372" s="70">
        <v>6503</v>
      </c>
      <c r="E372" s="72">
        <v>8185980</v>
      </c>
    </row>
    <row r="373" spans="1:5">
      <c r="A373" s="70"/>
      <c r="B373" s="70">
        <v>423</v>
      </c>
      <c r="C373" s="70">
        <v>523</v>
      </c>
      <c r="D373" s="70">
        <v>7003</v>
      </c>
      <c r="E373" s="72">
        <v>1500000</v>
      </c>
    </row>
    <row r="374" spans="1:5">
      <c r="A374" s="70"/>
      <c r="B374" s="70">
        <v>423</v>
      </c>
      <c r="C374" s="70">
        <v>523</v>
      </c>
      <c r="D374" s="70">
        <v>7049</v>
      </c>
      <c r="E374" s="72">
        <v>12110000</v>
      </c>
    </row>
    <row r="375" spans="1:5">
      <c r="A375" s="70"/>
      <c r="B375" s="70">
        <v>423</v>
      </c>
      <c r="C375" s="70">
        <v>523</v>
      </c>
      <c r="D375" s="70">
        <v>7049</v>
      </c>
      <c r="E375" s="72">
        <v>2840000</v>
      </c>
    </row>
    <row r="376" spans="1:5">
      <c r="A376" s="386" t="s">
        <v>378</v>
      </c>
      <c r="B376" s="386"/>
      <c r="C376" s="386"/>
      <c r="D376" s="386"/>
      <c r="E376" s="69">
        <f>SUM(E377:E378)</f>
        <v>5300000000</v>
      </c>
    </row>
    <row r="377" spans="1:5">
      <c r="A377" s="70"/>
      <c r="B377" s="70">
        <v>412</v>
      </c>
      <c r="C377" s="71" t="s">
        <v>374</v>
      </c>
      <c r="D377" s="70">
        <v>9301</v>
      </c>
      <c r="E377" s="72">
        <v>5244770200</v>
      </c>
    </row>
    <row r="378" spans="1:5">
      <c r="A378" s="70"/>
      <c r="B378" s="70">
        <v>412</v>
      </c>
      <c r="C378" s="71" t="s">
        <v>374</v>
      </c>
      <c r="D378" s="70">
        <v>9402</v>
      </c>
      <c r="E378" s="72">
        <v>55229800</v>
      </c>
    </row>
    <row r="379" spans="1:5">
      <c r="A379" s="387" t="s">
        <v>379</v>
      </c>
      <c r="B379" s="387"/>
      <c r="C379" s="387"/>
      <c r="D379" s="387"/>
      <c r="E379" s="69">
        <f>SUM(E380:E383)</f>
        <v>290376928</v>
      </c>
    </row>
    <row r="380" spans="1:5">
      <c r="A380" s="70"/>
      <c r="B380" s="70">
        <v>412</v>
      </c>
      <c r="C380" s="71" t="s">
        <v>380</v>
      </c>
      <c r="D380" s="70">
        <v>6551</v>
      </c>
      <c r="E380" s="72">
        <v>1500000</v>
      </c>
    </row>
    <row r="381" spans="1:5">
      <c r="A381" s="70"/>
      <c r="B381" s="70">
        <v>412</v>
      </c>
      <c r="C381" s="71" t="s">
        <v>380</v>
      </c>
      <c r="D381" s="70">
        <v>6702</v>
      </c>
      <c r="E381" s="72">
        <v>4340000</v>
      </c>
    </row>
    <row r="382" spans="1:5">
      <c r="A382" s="70"/>
      <c r="B382" s="70">
        <v>412</v>
      </c>
      <c r="C382" s="71" t="s">
        <v>380</v>
      </c>
      <c r="D382" s="70">
        <v>6751</v>
      </c>
      <c r="E382" s="72">
        <v>15000000</v>
      </c>
    </row>
    <row r="383" spans="1:5">
      <c r="A383" s="74"/>
      <c r="B383" s="74">
        <v>412</v>
      </c>
      <c r="C383" s="75" t="s">
        <v>380</v>
      </c>
      <c r="D383" s="74">
        <v>7049</v>
      </c>
      <c r="E383" s="76">
        <v>269536928</v>
      </c>
    </row>
    <row r="385" spans="1:6" s="78" customFormat="1">
      <c r="A385" s="77"/>
      <c r="C385" s="388" t="s">
        <v>381</v>
      </c>
      <c r="D385" s="388"/>
      <c r="E385" s="388"/>
      <c r="F385" s="83"/>
    </row>
    <row r="386" spans="1:6" s="80" customFormat="1">
      <c r="A386" s="79"/>
      <c r="C386" s="389" t="s">
        <v>382</v>
      </c>
      <c r="D386" s="389"/>
      <c r="E386" s="389"/>
      <c r="F386" s="84"/>
    </row>
  </sheetData>
  <mergeCells count="10">
    <mergeCell ref="A376:D376"/>
    <mergeCell ref="A379:D379"/>
    <mergeCell ref="C385:E385"/>
    <mergeCell ref="C386:E386"/>
    <mergeCell ref="A2:E2"/>
    <mergeCell ref="A5:D5"/>
    <mergeCell ref="A6:D6"/>
    <mergeCell ref="A264:D264"/>
    <mergeCell ref="A317:D317"/>
    <mergeCell ref="A371:D371"/>
  </mergeCell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Z589"/>
  <sheetViews>
    <sheetView topLeftCell="A4" workbookViewId="0">
      <pane xSplit="8" ySplit="10" topLeftCell="Q503" activePane="bottomRight" state="frozen"/>
      <selection activeCell="A4" sqref="A4"/>
      <selection pane="topRight" activeCell="I4" sqref="I4"/>
      <selection pane="bottomLeft" activeCell="A14" sqref="A14"/>
      <selection pane="bottomRight" activeCell="I12" sqref="I12"/>
    </sheetView>
  </sheetViews>
  <sheetFormatPr defaultRowHeight="15"/>
  <cols>
    <col min="1" max="1" width="4.42578125" style="92" customWidth="1"/>
    <col min="2" max="2" width="42.5703125" style="92" customWidth="1"/>
    <col min="3" max="3" width="6.5703125" style="92" hidden="1" customWidth="1"/>
    <col min="4" max="4" width="4.7109375" style="92" hidden="1" customWidth="1"/>
    <col min="5" max="5" width="15.7109375" style="92" hidden="1" customWidth="1"/>
    <col min="6" max="6" width="15.28515625" style="92" hidden="1" customWidth="1"/>
    <col min="7" max="7" width="13.42578125" style="92" hidden="1" customWidth="1"/>
    <col min="8" max="8" width="11.85546875" style="92" hidden="1" customWidth="1"/>
    <col min="9" max="9" width="13.7109375" style="92" customWidth="1"/>
    <col min="10" max="10" width="14" style="202" hidden="1" customWidth="1"/>
    <col min="11" max="12" width="14.140625" style="92" customWidth="1"/>
    <col min="13" max="14" width="13.140625" style="92" customWidth="1"/>
    <col min="15" max="15" width="9" style="92" customWidth="1"/>
    <col min="16" max="16" width="13.42578125" style="92" customWidth="1"/>
    <col min="17" max="17" width="15.5703125" style="92" customWidth="1"/>
    <col min="18" max="19" width="15.140625" style="92" customWidth="1"/>
    <col min="20" max="20" width="13.42578125" style="92" customWidth="1"/>
    <col min="21" max="21" width="8.42578125" style="92" customWidth="1"/>
    <col min="22" max="22" width="14" style="92" customWidth="1"/>
    <col min="23" max="23" width="15" style="92" customWidth="1"/>
    <col min="24" max="24" width="13.5703125" style="92" customWidth="1"/>
    <col min="25" max="25" width="14.85546875" style="92" customWidth="1"/>
    <col min="26" max="26" width="10" style="92" bestFit="1" customWidth="1"/>
    <col min="27" max="16384" width="9.140625" style="92"/>
  </cols>
  <sheetData>
    <row r="1" spans="1:26">
      <c r="A1" s="87" t="s">
        <v>418</v>
      </c>
      <c r="B1" s="88"/>
      <c r="C1" s="89"/>
      <c r="D1" s="89"/>
      <c r="E1" s="89"/>
      <c r="F1" s="89"/>
      <c r="G1" s="89"/>
      <c r="H1" s="89"/>
      <c r="I1" s="89"/>
      <c r="J1" s="90"/>
      <c r="K1" s="89"/>
      <c r="L1" s="89"/>
      <c r="M1" s="89"/>
      <c r="N1" s="89"/>
      <c r="O1" s="89"/>
      <c r="P1" s="89"/>
      <c r="Q1" s="89"/>
      <c r="R1" s="89"/>
      <c r="S1" s="89"/>
      <c r="T1" s="89"/>
      <c r="U1" s="89"/>
      <c r="V1" s="89"/>
      <c r="W1" s="91"/>
      <c r="X1" s="400" t="s">
        <v>419</v>
      </c>
      <c r="Y1" s="400"/>
    </row>
    <row r="2" spans="1:26">
      <c r="A2" s="400" t="s">
        <v>420</v>
      </c>
      <c r="B2" s="400"/>
      <c r="C2" s="400"/>
      <c r="D2" s="400"/>
      <c r="E2" s="400"/>
      <c r="F2" s="400"/>
      <c r="G2" s="400"/>
      <c r="H2" s="400"/>
      <c r="I2" s="400"/>
      <c r="J2" s="400"/>
      <c r="K2" s="400"/>
      <c r="L2" s="400"/>
      <c r="M2" s="400"/>
      <c r="N2" s="400"/>
      <c r="O2" s="400"/>
      <c r="P2" s="400"/>
      <c r="Q2" s="400"/>
      <c r="R2" s="400"/>
      <c r="S2" s="400"/>
      <c r="T2" s="400"/>
      <c r="U2" s="400"/>
      <c r="V2" s="400"/>
      <c r="W2" s="400"/>
      <c r="X2" s="400"/>
      <c r="Y2" s="400"/>
    </row>
    <row r="3" spans="1:26">
      <c r="A3" s="400" t="s">
        <v>421</v>
      </c>
      <c r="B3" s="400"/>
      <c r="C3" s="400"/>
      <c r="D3" s="400"/>
      <c r="E3" s="400"/>
      <c r="F3" s="400"/>
      <c r="G3" s="400"/>
      <c r="H3" s="400"/>
      <c r="I3" s="400"/>
      <c r="J3" s="400"/>
      <c r="K3" s="400"/>
      <c r="L3" s="400"/>
      <c r="M3" s="400"/>
      <c r="N3" s="400"/>
      <c r="O3" s="400"/>
      <c r="P3" s="400"/>
      <c r="Q3" s="400"/>
      <c r="R3" s="400"/>
      <c r="S3" s="400"/>
      <c r="T3" s="400"/>
      <c r="U3" s="400"/>
      <c r="V3" s="400"/>
      <c r="W3" s="400"/>
      <c r="X3" s="400"/>
      <c r="Y3" s="400"/>
    </row>
    <row r="4" spans="1:26">
      <c r="A4" s="401" t="s">
        <v>422</v>
      </c>
      <c r="B4" s="401"/>
      <c r="C4" s="401"/>
      <c r="D4" s="401"/>
      <c r="E4" s="401"/>
      <c r="F4" s="401"/>
      <c r="G4" s="401"/>
      <c r="H4" s="401"/>
      <c r="I4" s="401"/>
      <c r="J4" s="401"/>
      <c r="K4" s="401"/>
      <c r="L4" s="401"/>
      <c r="M4" s="401"/>
      <c r="N4" s="401"/>
      <c r="O4" s="401"/>
      <c r="P4" s="401"/>
      <c r="Q4" s="401"/>
      <c r="R4" s="401"/>
      <c r="S4" s="401"/>
      <c r="T4" s="401"/>
      <c r="U4" s="401"/>
      <c r="V4" s="401"/>
      <c r="W4" s="401"/>
      <c r="X4" s="401"/>
      <c r="Y4" s="401"/>
    </row>
    <row r="5" spans="1:26">
      <c r="A5" s="89"/>
      <c r="B5" s="93"/>
      <c r="C5" s="89"/>
      <c r="D5" s="89"/>
      <c r="E5" s="89"/>
      <c r="F5" s="89"/>
      <c r="G5" s="89"/>
      <c r="H5" s="89"/>
      <c r="I5" s="89"/>
      <c r="J5" s="90"/>
      <c r="K5" s="89"/>
      <c r="L5" s="89"/>
      <c r="M5" s="89"/>
      <c r="N5" s="89"/>
      <c r="O5" s="89"/>
      <c r="P5" s="89"/>
      <c r="Q5" s="89"/>
      <c r="R5" s="89"/>
      <c r="S5" s="89"/>
      <c r="T5" s="89"/>
      <c r="U5" s="94"/>
      <c r="V5" s="94"/>
      <c r="W5" s="203"/>
      <c r="X5" s="402" t="s">
        <v>423</v>
      </c>
      <c r="Y5" s="402"/>
    </row>
    <row r="6" spans="1:26" s="96" customFormat="1" ht="11.25">
      <c r="A6" s="394" t="s">
        <v>424</v>
      </c>
      <c r="B6" s="394" t="s">
        <v>52</v>
      </c>
      <c r="C6" s="397" t="s">
        <v>425</v>
      </c>
      <c r="D6" s="394" t="s">
        <v>426</v>
      </c>
      <c r="E6" s="394" t="s">
        <v>427</v>
      </c>
      <c r="F6" s="403" t="s">
        <v>428</v>
      </c>
      <c r="G6" s="403"/>
      <c r="H6" s="404" t="s">
        <v>429</v>
      </c>
      <c r="I6" s="404" t="s">
        <v>430</v>
      </c>
      <c r="J6" s="95"/>
      <c r="K6" s="405" t="s">
        <v>431</v>
      </c>
      <c r="L6" s="406"/>
      <c r="M6" s="406"/>
      <c r="N6" s="406"/>
      <c r="O6" s="406"/>
      <c r="P6" s="407"/>
      <c r="Q6" s="405" t="s">
        <v>432</v>
      </c>
      <c r="R6" s="406"/>
      <c r="S6" s="406"/>
      <c r="T6" s="406"/>
      <c r="U6" s="406"/>
      <c r="V6" s="406"/>
      <c r="W6" s="394" t="s">
        <v>433</v>
      </c>
      <c r="X6" s="394" t="s">
        <v>434</v>
      </c>
      <c r="Y6" s="394" t="s">
        <v>435</v>
      </c>
    </row>
    <row r="7" spans="1:26" s="96" customFormat="1" ht="11.25">
      <c r="A7" s="395"/>
      <c r="B7" s="395"/>
      <c r="C7" s="398"/>
      <c r="D7" s="395"/>
      <c r="E7" s="395"/>
      <c r="F7" s="403"/>
      <c r="G7" s="403"/>
      <c r="H7" s="404"/>
      <c r="I7" s="404"/>
      <c r="J7" s="97"/>
      <c r="K7" s="408"/>
      <c r="L7" s="409"/>
      <c r="M7" s="409"/>
      <c r="N7" s="409"/>
      <c r="O7" s="409"/>
      <c r="P7" s="410"/>
      <c r="Q7" s="408"/>
      <c r="R7" s="409"/>
      <c r="S7" s="409"/>
      <c r="T7" s="409"/>
      <c r="U7" s="409"/>
      <c r="V7" s="409"/>
      <c r="W7" s="395"/>
      <c r="X7" s="395"/>
      <c r="Y7" s="395"/>
    </row>
    <row r="8" spans="1:26" s="96" customFormat="1" ht="11.25">
      <c r="A8" s="395" t="s">
        <v>436</v>
      </c>
      <c r="B8" s="395" t="s">
        <v>436</v>
      </c>
      <c r="C8" s="398" t="s">
        <v>436</v>
      </c>
      <c r="D8" s="395"/>
      <c r="E8" s="395" t="s">
        <v>436</v>
      </c>
      <c r="F8" s="403"/>
      <c r="G8" s="403"/>
      <c r="H8" s="404"/>
      <c r="I8" s="404"/>
      <c r="J8" s="98"/>
      <c r="K8" s="394" t="s">
        <v>437</v>
      </c>
      <c r="L8" s="412" t="s">
        <v>438</v>
      </c>
      <c r="M8" s="412"/>
      <c r="N8" s="412"/>
      <c r="O8" s="394" t="s">
        <v>439</v>
      </c>
      <c r="P8" s="394" t="s">
        <v>440</v>
      </c>
      <c r="Q8" s="394" t="s">
        <v>441</v>
      </c>
      <c r="R8" s="412" t="s">
        <v>438</v>
      </c>
      <c r="S8" s="412"/>
      <c r="T8" s="412"/>
      <c r="U8" s="394" t="s">
        <v>439</v>
      </c>
      <c r="V8" s="394" t="s">
        <v>440</v>
      </c>
      <c r="W8" s="395"/>
      <c r="X8" s="395"/>
      <c r="Y8" s="395"/>
    </row>
    <row r="9" spans="1:26" s="96" customFormat="1" ht="11.25">
      <c r="A9" s="395" t="s">
        <v>442</v>
      </c>
      <c r="B9" s="395" t="s">
        <v>442</v>
      </c>
      <c r="C9" s="398" t="s">
        <v>442</v>
      </c>
      <c r="D9" s="395"/>
      <c r="E9" s="395" t="s">
        <v>442</v>
      </c>
      <c r="F9" s="404" t="s">
        <v>180</v>
      </c>
      <c r="G9" s="404" t="s">
        <v>443</v>
      </c>
      <c r="H9" s="404"/>
      <c r="I9" s="404"/>
      <c r="J9" s="99"/>
      <c r="K9" s="395"/>
      <c r="L9" s="412" t="s">
        <v>180</v>
      </c>
      <c r="M9" s="412" t="s">
        <v>444</v>
      </c>
      <c r="N9" s="412" t="s">
        <v>445</v>
      </c>
      <c r="O9" s="395"/>
      <c r="P9" s="395"/>
      <c r="Q9" s="395"/>
      <c r="R9" s="412" t="s">
        <v>180</v>
      </c>
      <c r="S9" s="412" t="s">
        <v>444</v>
      </c>
      <c r="T9" s="412" t="s">
        <v>445</v>
      </c>
      <c r="U9" s="395"/>
      <c r="V9" s="395"/>
      <c r="W9" s="395"/>
      <c r="X9" s="395"/>
      <c r="Y9" s="395"/>
    </row>
    <row r="10" spans="1:26" s="96" customFormat="1" ht="21">
      <c r="A10" s="396"/>
      <c r="B10" s="396"/>
      <c r="C10" s="399"/>
      <c r="D10" s="396"/>
      <c r="E10" s="396"/>
      <c r="F10" s="411"/>
      <c r="G10" s="411"/>
      <c r="H10" s="404"/>
      <c r="I10" s="404"/>
      <c r="J10" s="100" t="s">
        <v>446</v>
      </c>
      <c r="K10" s="396"/>
      <c r="L10" s="412"/>
      <c r="M10" s="412"/>
      <c r="N10" s="412"/>
      <c r="O10" s="396"/>
      <c r="P10" s="396"/>
      <c r="Q10" s="396"/>
      <c r="R10" s="412"/>
      <c r="S10" s="412"/>
      <c r="T10" s="412"/>
      <c r="U10" s="396"/>
      <c r="V10" s="396"/>
      <c r="W10" s="396"/>
      <c r="X10" s="396"/>
      <c r="Y10" s="396"/>
    </row>
    <row r="11" spans="1:26" s="96" customFormat="1" ht="11.25">
      <c r="A11" s="101">
        <v>1</v>
      </c>
      <c r="B11" s="101">
        <v>2</v>
      </c>
      <c r="C11" s="102">
        <v>3</v>
      </c>
      <c r="D11" s="101">
        <v>4</v>
      </c>
      <c r="E11" s="101">
        <v>5</v>
      </c>
      <c r="F11" s="101">
        <v>6</v>
      </c>
      <c r="G11" s="101">
        <v>7</v>
      </c>
      <c r="H11" s="101">
        <v>8</v>
      </c>
      <c r="I11" s="101">
        <v>9</v>
      </c>
      <c r="J11" s="103" t="e">
        <f>SUM(#REF!)</f>
        <v>#REF!</v>
      </c>
      <c r="K11" s="101">
        <v>10</v>
      </c>
      <c r="L11" s="101" t="s">
        <v>248</v>
      </c>
      <c r="M11" s="101">
        <v>12</v>
      </c>
      <c r="N11" s="101">
        <v>13</v>
      </c>
      <c r="O11" s="101">
        <v>14</v>
      </c>
      <c r="P11" s="101" t="s">
        <v>447</v>
      </c>
      <c r="Q11" s="101">
        <v>16</v>
      </c>
      <c r="R11" s="101" t="s">
        <v>448</v>
      </c>
      <c r="S11" s="101">
        <v>18</v>
      </c>
      <c r="T11" s="101">
        <v>19</v>
      </c>
      <c r="U11" s="101">
        <v>20</v>
      </c>
      <c r="V11" s="101" t="s">
        <v>449</v>
      </c>
      <c r="W11" s="101" t="s">
        <v>450</v>
      </c>
      <c r="X11" s="101" t="s">
        <v>451</v>
      </c>
      <c r="Y11" s="101" t="s">
        <v>452</v>
      </c>
    </row>
    <row r="12" spans="1:26" s="209" customFormat="1" ht="9">
      <c r="A12" s="205"/>
      <c r="B12" s="205"/>
      <c r="C12" s="206"/>
      <c r="D12" s="205"/>
      <c r="E12" s="207">
        <f>E13+E124</f>
        <v>156149364324586</v>
      </c>
      <c r="F12" s="207">
        <f t="shared" ref="F12:H12" si="0">F13+F124</f>
        <v>1168973896747</v>
      </c>
      <c r="G12" s="207">
        <f t="shared" si="0"/>
        <v>211678107998</v>
      </c>
      <c r="H12" s="207">
        <f t="shared" si="0"/>
        <v>201901000</v>
      </c>
      <c r="I12" s="207">
        <f>I13+I124+I356+I378+I415+I417+I458+I491+I497+I500+I502++I507</f>
        <v>216944465811</v>
      </c>
      <c r="J12" s="207">
        <f t="shared" ref="J12:N12" si="1">J13+J124+J356+J378+J415+J417+J458+J491+J497+J500+J502++J507</f>
        <v>116949265248</v>
      </c>
      <c r="K12" s="207">
        <f t="shared" si="1"/>
        <v>227983370204</v>
      </c>
      <c r="L12" s="207">
        <f t="shared" si="1"/>
        <v>189081317971</v>
      </c>
      <c r="M12" s="207">
        <f t="shared" si="1"/>
        <v>165019498550</v>
      </c>
      <c r="N12" s="207">
        <f t="shared" si="1"/>
        <v>24061819421</v>
      </c>
      <c r="O12" s="207">
        <f t="shared" ref="O12" si="2">O13+O124+O356+O378+O415+O417+O458+O491+O497+O500+O502++O507</f>
        <v>0</v>
      </c>
      <c r="P12" s="207">
        <f t="shared" ref="P12" si="3">P13+P124+P356+P378+P415+P417+P458+P491+P497+P500+P502++P507</f>
        <v>38902052233</v>
      </c>
      <c r="Q12" s="207">
        <f t="shared" ref="Q12" si="4">Q13+Q124+Q356+Q378+Q415+Q417+Q458+Q491+Q497+Q500+Q502++Q507</f>
        <v>2080359000000</v>
      </c>
      <c r="R12" s="207">
        <f t="shared" ref="R12" si="5">R13+R124+R356+R378+R415+R417+R458+R491+R497+R500+R502++R507</f>
        <v>1850861733147</v>
      </c>
      <c r="S12" s="207">
        <f t="shared" ref="S12" si="6">S13+S124+S356+S378+S415+S417+S458+S491+S497+S500+S502++S507</f>
        <v>1559383632042</v>
      </c>
      <c r="T12" s="207">
        <f t="shared" ref="T12" si="7">T13+T124+T356+T378+T415+T417+T458+T491+T497+T500+T502++T507</f>
        <v>291478101105</v>
      </c>
      <c r="U12" s="207">
        <f t="shared" ref="U12" si="8">U13+U124+U356+U378+U415+U417+U458+U491+U497+U500+U502++U507</f>
        <v>0</v>
      </c>
      <c r="V12" s="207">
        <f t="shared" ref="V12" si="9">V13+V124+V356+V378+V415+V417+V458+V491+V497+V500+V502++V507</f>
        <v>209411266853</v>
      </c>
      <c r="W12" s="207">
        <f t="shared" ref="W12" si="10">W13+W124+W356+W378+W415+W417+W458+W491+W497+W500+W502++W507</f>
        <v>1941347596403</v>
      </c>
      <c r="X12" s="207">
        <f t="shared" ref="X12" si="11">X13+X124+X356+X378+X415+X417+X458+X491+X497+X500+X502++X507</f>
        <v>394793044753</v>
      </c>
      <c r="Y12" s="207">
        <f t="shared" ref="Y12" si="12">Y13+Y124+Y356+Y378+Y415+Y417+Y458+Y491+Y497+Y500+Y502++Y507</f>
        <v>3898766796777</v>
      </c>
      <c r="Z12" s="208">
        <f>S12+M12+I12-W12</f>
        <v>0</v>
      </c>
    </row>
    <row r="13" spans="1:26" s="108" customFormat="1">
      <c r="A13" s="104" t="s">
        <v>7</v>
      </c>
      <c r="B13" s="105" t="s">
        <v>453</v>
      </c>
      <c r="C13" s="106"/>
      <c r="D13" s="104"/>
      <c r="E13" s="107">
        <f t="shared" ref="E13:Y13" si="13">E14+E27+E35+E46+E68+E84</f>
        <v>148547875529495</v>
      </c>
      <c r="F13" s="107">
        <f t="shared" si="13"/>
        <v>170112556015</v>
      </c>
      <c r="G13" s="107">
        <f t="shared" si="13"/>
        <v>25149187751</v>
      </c>
      <c r="H13" s="107">
        <f t="shared" si="13"/>
        <v>0</v>
      </c>
      <c r="I13" s="107">
        <f t="shared" si="13"/>
        <v>24170267596</v>
      </c>
      <c r="J13" s="107">
        <f t="shared" si="13"/>
        <v>978920155</v>
      </c>
      <c r="K13" s="107">
        <f t="shared" si="13"/>
        <v>8668854782</v>
      </c>
      <c r="L13" s="107">
        <f t="shared" si="13"/>
        <v>7008178100</v>
      </c>
      <c r="M13" s="107">
        <f t="shared" si="13"/>
        <v>7008178100</v>
      </c>
      <c r="N13" s="107">
        <f t="shared" si="13"/>
        <v>0</v>
      </c>
      <c r="O13" s="107">
        <f t="shared" si="13"/>
        <v>0</v>
      </c>
      <c r="P13" s="107">
        <f t="shared" si="13"/>
        <v>1660676682</v>
      </c>
      <c r="Q13" s="107">
        <f t="shared" si="13"/>
        <v>547684000000</v>
      </c>
      <c r="R13" s="107">
        <f t="shared" si="13"/>
        <v>517043058455</v>
      </c>
      <c r="S13" s="107">
        <f t="shared" si="13"/>
        <v>402671925540</v>
      </c>
      <c r="T13" s="107">
        <f t="shared" si="13"/>
        <v>114371132915</v>
      </c>
      <c r="U13" s="107">
        <f t="shared" si="13"/>
        <v>0</v>
      </c>
      <c r="V13" s="107">
        <f t="shared" si="13"/>
        <v>30597941545</v>
      </c>
      <c r="W13" s="107">
        <f t="shared" si="13"/>
        <v>433850371236</v>
      </c>
      <c r="X13" s="107">
        <f t="shared" si="13"/>
        <v>115350053070</v>
      </c>
      <c r="Y13" s="107">
        <f t="shared" si="13"/>
        <v>694163792570</v>
      </c>
      <c r="Z13" s="204">
        <f t="shared" ref="Z13:Z76" si="14">S13+M13+I13-W13</f>
        <v>0</v>
      </c>
    </row>
    <row r="14" spans="1:26" s="113" customFormat="1">
      <c r="A14" s="109" t="s">
        <v>11</v>
      </c>
      <c r="B14" s="110" t="s">
        <v>454</v>
      </c>
      <c r="C14" s="111"/>
      <c r="D14" s="112">
        <f t="shared" ref="D14:P14" si="15">SUM(D15:D26)</f>
        <v>0</v>
      </c>
      <c r="E14" s="112">
        <f t="shared" si="15"/>
        <v>407703000000</v>
      </c>
      <c r="F14" s="112">
        <f t="shared" si="15"/>
        <v>14157090850</v>
      </c>
      <c r="G14" s="112">
        <f t="shared" si="15"/>
        <v>12016491850</v>
      </c>
      <c r="H14" s="112">
        <f t="shared" si="15"/>
        <v>0</v>
      </c>
      <c r="I14" s="112">
        <f t="shared" si="15"/>
        <v>11525445240</v>
      </c>
      <c r="J14" s="112">
        <f t="shared" si="15"/>
        <v>491046610</v>
      </c>
      <c r="K14" s="112">
        <f t="shared" si="15"/>
        <v>0</v>
      </c>
      <c r="L14" s="112">
        <f t="shared" si="15"/>
        <v>0</v>
      </c>
      <c r="M14" s="112">
        <f t="shared" si="15"/>
        <v>0</v>
      </c>
      <c r="N14" s="112">
        <f t="shared" si="15"/>
        <v>0</v>
      </c>
      <c r="O14" s="112">
        <f t="shared" si="15"/>
        <v>0</v>
      </c>
      <c r="P14" s="112">
        <f t="shared" si="15"/>
        <v>0</v>
      </c>
      <c r="Q14" s="112">
        <f>SUM(Q15:Q26)</f>
        <v>77652000000</v>
      </c>
      <c r="R14" s="112">
        <f t="shared" ref="R14:Y14" si="16">SUM(R15:R26)</f>
        <v>77402632922</v>
      </c>
      <c r="S14" s="112">
        <f t="shared" si="16"/>
        <v>64087608316</v>
      </c>
      <c r="T14" s="112">
        <f t="shared" si="16"/>
        <v>13315024606</v>
      </c>
      <c r="U14" s="112">
        <f t="shared" si="16"/>
        <v>0</v>
      </c>
      <c r="V14" s="112">
        <f t="shared" si="16"/>
        <v>249367078</v>
      </c>
      <c r="W14" s="112">
        <f t="shared" si="16"/>
        <v>75613053556</v>
      </c>
      <c r="X14" s="112">
        <f t="shared" si="16"/>
        <v>13806071216</v>
      </c>
      <c r="Y14" s="112">
        <f t="shared" si="16"/>
        <v>91559723772</v>
      </c>
      <c r="Z14" s="204">
        <f t="shared" si="14"/>
        <v>0</v>
      </c>
    </row>
    <row r="15" spans="1:26" s="113" customFormat="1">
      <c r="A15" s="114" t="s">
        <v>455</v>
      </c>
      <c r="B15" s="115" t="s">
        <v>456</v>
      </c>
      <c r="C15" s="116" t="s">
        <v>457</v>
      </c>
      <c r="D15" s="116" t="s">
        <v>458</v>
      </c>
      <c r="E15" s="117">
        <v>32919000000</v>
      </c>
      <c r="F15" s="117">
        <v>1472973700</v>
      </c>
      <c r="G15" s="117">
        <v>200635700</v>
      </c>
      <c r="H15" s="117">
        <v>0</v>
      </c>
      <c r="I15" s="117">
        <v>200635700</v>
      </c>
      <c r="J15" s="118">
        <f t="shared" ref="J15:J25" si="17">G15-H15-I15+N15</f>
        <v>0</v>
      </c>
      <c r="K15" s="117"/>
      <c r="L15" s="117">
        <f t="shared" ref="L15:L25" si="18">SUM(M15:N15)</f>
        <v>0</v>
      </c>
      <c r="M15" s="117"/>
      <c r="N15" s="117"/>
      <c r="O15" s="117"/>
      <c r="P15" s="117">
        <f t="shared" ref="P15:P25" si="19">K15-L15-O15</f>
        <v>0</v>
      </c>
      <c r="Q15" s="117">
        <v>12000000000</v>
      </c>
      <c r="R15" s="117">
        <f t="shared" ref="R15:R25" si="20">SUM(S15:T15)</f>
        <v>12000000000</v>
      </c>
      <c r="S15" s="117">
        <v>8506000000</v>
      </c>
      <c r="T15" s="119">
        <v>3494000000</v>
      </c>
      <c r="U15" s="117"/>
      <c r="V15" s="117">
        <f t="shared" ref="V15:V25" si="21">Q15-R15-U15</f>
        <v>0</v>
      </c>
      <c r="W15" s="117">
        <f>SUM(I15,M15,S15)</f>
        <v>8706635700</v>
      </c>
      <c r="X15" s="117">
        <f t="shared" ref="X15:X25" si="22">G15-H15-I15+N15+T15</f>
        <v>3494000000</v>
      </c>
      <c r="Y15" s="117">
        <f t="shared" ref="Y15:Y25" si="23">F15+L15+R15</f>
        <v>13472973700</v>
      </c>
      <c r="Z15" s="204">
        <f t="shared" si="14"/>
        <v>0</v>
      </c>
    </row>
    <row r="16" spans="1:26" s="113" customFormat="1">
      <c r="A16" s="114" t="s">
        <v>459</v>
      </c>
      <c r="B16" s="115" t="s">
        <v>460</v>
      </c>
      <c r="C16" s="116" t="s">
        <v>457</v>
      </c>
      <c r="D16" s="116" t="s">
        <v>461</v>
      </c>
      <c r="E16" s="117">
        <v>28989000000</v>
      </c>
      <c r="F16" s="117">
        <v>12684117150</v>
      </c>
      <c r="G16" s="117">
        <v>11815856150</v>
      </c>
      <c r="H16" s="117"/>
      <c r="I16" s="117">
        <v>11324809540</v>
      </c>
      <c r="J16" s="118">
        <f t="shared" si="17"/>
        <v>491046610</v>
      </c>
      <c r="K16" s="117"/>
      <c r="L16" s="117">
        <f t="shared" si="18"/>
        <v>0</v>
      </c>
      <c r="M16" s="117"/>
      <c r="N16" s="117"/>
      <c r="O16" s="117"/>
      <c r="P16" s="117">
        <f t="shared" si="19"/>
        <v>0</v>
      </c>
      <c r="Q16" s="117">
        <v>9000000000</v>
      </c>
      <c r="R16" s="117">
        <f t="shared" si="20"/>
        <v>9000000000</v>
      </c>
      <c r="S16" s="117">
        <v>7535350370</v>
      </c>
      <c r="T16" s="119">
        <v>1464649630</v>
      </c>
      <c r="U16" s="117"/>
      <c r="V16" s="117">
        <f t="shared" si="21"/>
        <v>0</v>
      </c>
      <c r="W16" s="117">
        <f t="shared" ref="W16:W25" si="24">SUM(I16,M16,S16)</f>
        <v>18860159910</v>
      </c>
      <c r="X16" s="117">
        <f t="shared" si="22"/>
        <v>1955696240</v>
      </c>
      <c r="Y16" s="117">
        <f t="shared" si="23"/>
        <v>21684117150</v>
      </c>
      <c r="Z16" s="204">
        <f t="shared" si="14"/>
        <v>0</v>
      </c>
    </row>
    <row r="17" spans="1:26" s="113" customFormat="1">
      <c r="A17" s="114" t="s">
        <v>462</v>
      </c>
      <c r="B17" s="115" t="s">
        <v>463</v>
      </c>
      <c r="C17" s="116" t="s">
        <v>457</v>
      </c>
      <c r="D17" s="116" t="s">
        <v>464</v>
      </c>
      <c r="E17" s="117">
        <v>248326000000</v>
      </c>
      <c r="F17" s="117"/>
      <c r="G17" s="117"/>
      <c r="H17" s="117"/>
      <c r="I17" s="117"/>
      <c r="J17" s="118">
        <f t="shared" si="17"/>
        <v>0</v>
      </c>
      <c r="K17" s="117"/>
      <c r="L17" s="117">
        <f t="shared" si="18"/>
        <v>0</v>
      </c>
      <c r="M17" s="117"/>
      <c r="N17" s="117"/>
      <c r="O17" s="117"/>
      <c r="P17" s="117">
        <f t="shared" si="19"/>
        <v>0</v>
      </c>
      <c r="Q17" s="117">
        <v>2102000000</v>
      </c>
      <c r="R17" s="117">
        <f t="shared" si="20"/>
        <v>2101542922</v>
      </c>
      <c r="S17" s="117">
        <v>1750477443</v>
      </c>
      <c r="T17" s="119">
        <v>351065479</v>
      </c>
      <c r="U17" s="117"/>
      <c r="V17" s="117">
        <f t="shared" si="21"/>
        <v>457078</v>
      </c>
      <c r="W17" s="117">
        <f t="shared" si="24"/>
        <v>1750477443</v>
      </c>
      <c r="X17" s="117">
        <f t="shared" si="22"/>
        <v>351065479</v>
      </c>
      <c r="Y17" s="117">
        <f t="shared" si="23"/>
        <v>2101542922</v>
      </c>
      <c r="Z17" s="204">
        <f t="shared" si="14"/>
        <v>0</v>
      </c>
    </row>
    <row r="18" spans="1:26" s="113" customFormat="1">
      <c r="A18" s="114" t="s">
        <v>465</v>
      </c>
      <c r="B18" s="115" t="s">
        <v>466</v>
      </c>
      <c r="C18" s="116" t="s">
        <v>457</v>
      </c>
      <c r="D18" s="116" t="s">
        <v>467</v>
      </c>
      <c r="E18" s="117">
        <v>12860000000</v>
      </c>
      <c r="F18" s="117"/>
      <c r="G18" s="117"/>
      <c r="H18" s="117"/>
      <c r="I18" s="117"/>
      <c r="J18" s="118">
        <f t="shared" si="17"/>
        <v>0</v>
      </c>
      <c r="K18" s="117"/>
      <c r="L18" s="117">
        <f t="shared" si="18"/>
        <v>0</v>
      </c>
      <c r="M18" s="117"/>
      <c r="N18" s="117"/>
      <c r="O18" s="117"/>
      <c r="P18" s="117">
        <f t="shared" si="19"/>
        <v>0</v>
      </c>
      <c r="Q18" s="117">
        <v>9000000000</v>
      </c>
      <c r="R18" s="117">
        <f t="shared" si="20"/>
        <v>9000000000</v>
      </c>
      <c r="S18" s="117">
        <v>8339739276</v>
      </c>
      <c r="T18" s="119">
        <v>660260724</v>
      </c>
      <c r="U18" s="117"/>
      <c r="V18" s="117">
        <f t="shared" si="21"/>
        <v>0</v>
      </c>
      <c r="W18" s="117">
        <f t="shared" si="24"/>
        <v>8339739276</v>
      </c>
      <c r="X18" s="117">
        <f t="shared" si="22"/>
        <v>660260724</v>
      </c>
      <c r="Y18" s="117">
        <f t="shared" si="23"/>
        <v>9000000000</v>
      </c>
      <c r="Z18" s="204">
        <f t="shared" si="14"/>
        <v>0</v>
      </c>
    </row>
    <row r="19" spans="1:26" s="113" customFormat="1">
      <c r="A19" s="114" t="s">
        <v>468</v>
      </c>
      <c r="B19" s="115" t="s">
        <v>469</v>
      </c>
      <c r="C19" s="116" t="s">
        <v>457</v>
      </c>
      <c r="D19" s="116" t="s">
        <v>470</v>
      </c>
      <c r="E19" s="117">
        <v>13190000000</v>
      </c>
      <c r="F19" s="117"/>
      <c r="G19" s="117"/>
      <c r="H19" s="117"/>
      <c r="I19" s="117"/>
      <c r="J19" s="118">
        <f t="shared" si="17"/>
        <v>0</v>
      </c>
      <c r="K19" s="117"/>
      <c r="L19" s="117">
        <f t="shared" si="18"/>
        <v>0</v>
      </c>
      <c r="M19" s="117"/>
      <c r="N19" s="117"/>
      <c r="O19" s="117"/>
      <c r="P19" s="117">
        <f t="shared" si="19"/>
        <v>0</v>
      </c>
      <c r="Q19" s="117">
        <v>9000000000</v>
      </c>
      <c r="R19" s="117">
        <f t="shared" si="20"/>
        <v>9000000000</v>
      </c>
      <c r="S19" s="117">
        <v>7919387303</v>
      </c>
      <c r="T19" s="119">
        <v>1080612697</v>
      </c>
      <c r="U19" s="117"/>
      <c r="V19" s="117">
        <f t="shared" si="21"/>
        <v>0</v>
      </c>
      <c r="W19" s="117">
        <f t="shared" si="24"/>
        <v>7919387303</v>
      </c>
      <c r="X19" s="117">
        <f t="shared" si="22"/>
        <v>1080612697</v>
      </c>
      <c r="Y19" s="117">
        <f t="shared" si="23"/>
        <v>9000000000</v>
      </c>
      <c r="Z19" s="204">
        <f t="shared" si="14"/>
        <v>0</v>
      </c>
    </row>
    <row r="20" spans="1:26" s="113" customFormat="1" ht="24">
      <c r="A20" s="114" t="s">
        <v>471</v>
      </c>
      <c r="B20" s="115" t="s">
        <v>472</v>
      </c>
      <c r="C20" s="116" t="s">
        <v>457</v>
      </c>
      <c r="D20" s="116" t="s">
        <v>473</v>
      </c>
      <c r="E20" s="117">
        <v>14928000000</v>
      </c>
      <c r="F20" s="117"/>
      <c r="G20" s="117"/>
      <c r="H20" s="117"/>
      <c r="I20" s="117"/>
      <c r="J20" s="118">
        <f t="shared" si="17"/>
        <v>0</v>
      </c>
      <c r="K20" s="117"/>
      <c r="L20" s="117">
        <f t="shared" si="18"/>
        <v>0</v>
      </c>
      <c r="M20" s="117"/>
      <c r="N20" s="117"/>
      <c r="O20" s="117"/>
      <c r="P20" s="117">
        <f t="shared" si="19"/>
        <v>0</v>
      </c>
      <c r="Q20" s="117">
        <v>6500000000</v>
      </c>
      <c r="R20" s="117">
        <f t="shared" si="20"/>
        <v>6500000000</v>
      </c>
      <c r="S20" s="117">
        <v>5388761233</v>
      </c>
      <c r="T20" s="119">
        <v>1111238767</v>
      </c>
      <c r="U20" s="117"/>
      <c r="V20" s="117">
        <f t="shared" si="21"/>
        <v>0</v>
      </c>
      <c r="W20" s="117">
        <f t="shared" si="24"/>
        <v>5388761233</v>
      </c>
      <c r="X20" s="117">
        <f t="shared" si="22"/>
        <v>1111238767</v>
      </c>
      <c r="Y20" s="117">
        <f t="shared" si="23"/>
        <v>6500000000</v>
      </c>
      <c r="Z20" s="204">
        <f t="shared" si="14"/>
        <v>0</v>
      </c>
    </row>
    <row r="21" spans="1:26" s="113" customFormat="1">
      <c r="A21" s="114" t="s">
        <v>474</v>
      </c>
      <c r="B21" s="115" t="s">
        <v>475</v>
      </c>
      <c r="C21" s="116" t="s">
        <v>457</v>
      </c>
      <c r="D21" s="116" t="s">
        <v>476</v>
      </c>
      <c r="E21" s="117">
        <v>5379000000</v>
      </c>
      <c r="F21" s="117"/>
      <c r="G21" s="117"/>
      <c r="H21" s="117"/>
      <c r="I21" s="117"/>
      <c r="J21" s="118">
        <f t="shared" si="17"/>
        <v>0</v>
      </c>
      <c r="K21" s="117"/>
      <c r="L21" s="117">
        <f t="shared" si="18"/>
        <v>0</v>
      </c>
      <c r="M21" s="117"/>
      <c r="N21" s="117"/>
      <c r="O21" s="117"/>
      <c r="P21" s="117">
        <f t="shared" si="19"/>
        <v>0</v>
      </c>
      <c r="Q21" s="117">
        <v>4000000000</v>
      </c>
      <c r="R21" s="117">
        <f t="shared" si="20"/>
        <v>4000000000</v>
      </c>
      <c r="S21" s="117">
        <v>3729383691</v>
      </c>
      <c r="T21" s="119">
        <v>270616309</v>
      </c>
      <c r="U21" s="117"/>
      <c r="V21" s="117">
        <f t="shared" si="21"/>
        <v>0</v>
      </c>
      <c r="W21" s="117">
        <f t="shared" si="24"/>
        <v>3729383691</v>
      </c>
      <c r="X21" s="117">
        <f t="shared" si="22"/>
        <v>270616309</v>
      </c>
      <c r="Y21" s="117">
        <f t="shared" si="23"/>
        <v>4000000000</v>
      </c>
      <c r="Z21" s="204">
        <f t="shared" si="14"/>
        <v>0</v>
      </c>
    </row>
    <row r="22" spans="1:26" s="113" customFormat="1" ht="24">
      <c r="A22" s="114" t="s">
        <v>477</v>
      </c>
      <c r="B22" s="115" t="s">
        <v>478</v>
      </c>
      <c r="C22" s="116" t="s">
        <v>457</v>
      </c>
      <c r="D22" s="116" t="s">
        <v>479</v>
      </c>
      <c r="E22" s="117">
        <v>5737000000</v>
      </c>
      <c r="F22" s="117"/>
      <c r="G22" s="117"/>
      <c r="H22" s="117"/>
      <c r="I22" s="117"/>
      <c r="J22" s="118">
        <f t="shared" si="17"/>
        <v>0</v>
      </c>
      <c r="K22" s="117"/>
      <c r="L22" s="117">
        <f t="shared" si="18"/>
        <v>0</v>
      </c>
      <c r="M22" s="117"/>
      <c r="N22" s="117"/>
      <c r="O22" s="117"/>
      <c r="P22" s="117">
        <f t="shared" si="19"/>
        <v>0</v>
      </c>
      <c r="Q22" s="117">
        <v>4900000000</v>
      </c>
      <c r="R22" s="117">
        <f t="shared" si="20"/>
        <v>4847116000</v>
      </c>
      <c r="S22" s="117">
        <v>4757116000</v>
      </c>
      <c r="T22" s="119">
        <v>90000000</v>
      </c>
      <c r="U22" s="117"/>
      <c r="V22" s="117">
        <f t="shared" si="21"/>
        <v>52884000</v>
      </c>
      <c r="W22" s="117">
        <f t="shared" si="24"/>
        <v>4757116000</v>
      </c>
      <c r="X22" s="117">
        <f t="shared" si="22"/>
        <v>90000000</v>
      </c>
      <c r="Y22" s="117">
        <f t="shared" si="23"/>
        <v>4847116000</v>
      </c>
      <c r="Z22" s="204">
        <f t="shared" si="14"/>
        <v>0</v>
      </c>
    </row>
    <row r="23" spans="1:26" s="113" customFormat="1" ht="24">
      <c r="A23" s="114" t="s">
        <v>480</v>
      </c>
      <c r="B23" s="115" t="s">
        <v>481</v>
      </c>
      <c r="C23" s="116" t="s">
        <v>457</v>
      </c>
      <c r="D23" s="116" t="s">
        <v>482</v>
      </c>
      <c r="E23" s="117">
        <v>13218000000</v>
      </c>
      <c r="F23" s="117"/>
      <c r="G23" s="117"/>
      <c r="H23" s="117"/>
      <c r="I23" s="117"/>
      <c r="J23" s="118">
        <f t="shared" si="17"/>
        <v>0</v>
      </c>
      <c r="K23" s="117"/>
      <c r="L23" s="117">
        <f t="shared" si="18"/>
        <v>0</v>
      </c>
      <c r="M23" s="117"/>
      <c r="N23" s="117"/>
      <c r="O23" s="117"/>
      <c r="P23" s="117">
        <f t="shared" si="19"/>
        <v>0</v>
      </c>
      <c r="Q23" s="117">
        <v>6000000000</v>
      </c>
      <c r="R23" s="117">
        <f t="shared" si="20"/>
        <v>6000000000</v>
      </c>
      <c r="S23" s="117">
        <v>4430419000</v>
      </c>
      <c r="T23" s="119">
        <v>1569581000</v>
      </c>
      <c r="U23" s="117"/>
      <c r="V23" s="117">
        <f t="shared" si="21"/>
        <v>0</v>
      </c>
      <c r="W23" s="117">
        <f t="shared" si="24"/>
        <v>4430419000</v>
      </c>
      <c r="X23" s="117">
        <f t="shared" si="22"/>
        <v>1569581000</v>
      </c>
      <c r="Y23" s="117">
        <f t="shared" si="23"/>
        <v>6000000000</v>
      </c>
      <c r="Z23" s="204">
        <f t="shared" si="14"/>
        <v>0</v>
      </c>
    </row>
    <row r="24" spans="1:26" s="113" customFormat="1" ht="24">
      <c r="A24" s="114" t="s">
        <v>483</v>
      </c>
      <c r="B24" s="115" t="s">
        <v>484</v>
      </c>
      <c r="C24" s="116" t="s">
        <v>457</v>
      </c>
      <c r="D24" s="116" t="s">
        <v>485</v>
      </c>
      <c r="E24" s="117">
        <v>13972000000</v>
      </c>
      <c r="F24" s="117"/>
      <c r="G24" s="117"/>
      <c r="H24" s="117"/>
      <c r="I24" s="117"/>
      <c r="J24" s="118">
        <f t="shared" si="17"/>
        <v>0</v>
      </c>
      <c r="K24" s="117"/>
      <c r="L24" s="117">
        <f t="shared" si="18"/>
        <v>0</v>
      </c>
      <c r="M24" s="117"/>
      <c r="N24" s="117"/>
      <c r="O24" s="117"/>
      <c r="P24" s="117">
        <f t="shared" si="19"/>
        <v>0</v>
      </c>
      <c r="Q24" s="117">
        <v>4000000000</v>
      </c>
      <c r="R24" s="117">
        <f t="shared" si="20"/>
        <v>4000000000</v>
      </c>
      <c r="S24" s="117">
        <v>1727000000</v>
      </c>
      <c r="T24" s="119">
        <v>2273000000</v>
      </c>
      <c r="U24" s="117"/>
      <c r="V24" s="117">
        <f t="shared" si="21"/>
        <v>0</v>
      </c>
      <c r="W24" s="117">
        <f t="shared" si="24"/>
        <v>1727000000</v>
      </c>
      <c r="X24" s="117">
        <f t="shared" si="22"/>
        <v>2273000000</v>
      </c>
      <c r="Y24" s="117">
        <f t="shared" si="23"/>
        <v>4000000000</v>
      </c>
      <c r="Z24" s="204">
        <f t="shared" si="14"/>
        <v>0</v>
      </c>
    </row>
    <row r="25" spans="1:26" s="113" customFormat="1" ht="24">
      <c r="A25" s="114" t="s">
        <v>486</v>
      </c>
      <c r="B25" s="115" t="s">
        <v>487</v>
      </c>
      <c r="C25" s="116" t="s">
        <v>457</v>
      </c>
      <c r="D25" s="116" t="s">
        <v>488</v>
      </c>
      <c r="E25" s="117">
        <v>14992000000</v>
      </c>
      <c r="F25" s="117"/>
      <c r="G25" s="117"/>
      <c r="H25" s="117"/>
      <c r="I25" s="117"/>
      <c r="J25" s="118">
        <f t="shared" si="17"/>
        <v>0</v>
      </c>
      <c r="K25" s="117"/>
      <c r="L25" s="117">
        <f t="shared" si="18"/>
        <v>0</v>
      </c>
      <c r="M25" s="117"/>
      <c r="N25" s="117"/>
      <c r="O25" s="117"/>
      <c r="P25" s="117">
        <f t="shared" si="19"/>
        <v>0</v>
      </c>
      <c r="Q25" s="117">
        <v>8000000000</v>
      </c>
      <c r="R25" s="117">
        <f t="shared" si="20"/>
        <v>8000000000</v>
      </c>
      <c r="S25" s="117">
        <v>7050000000</v>
      </c>
      <c r="T25" s="119">
        <v>950000000</v>
      </c>
      <c r="U25" s="117"/>
      <c r="V25" s="117">
        <f t="shared" si="21"/>
        <v>0</v>
      </c>
      <c r="W25" s="117">
        <f t="shared" si="24"/>
        <v>7050000000</v>
      </c>
      <c r="X25" s="117">
        <f t="shared" si="22"/>
        <v>950000000</v>
      </c>
      <c r="Y25" s="117">
        <f t="shared" si="23"/>
        <v>8000000000</v>
      </c>
      <c r="Z25" s="204">
        <f t="shared" si="14"/>
        <v>0</v>
      </c>
    </row>
    <row r="26" spans="1:26" s="113" customFormat="1">
      <c r="A26" s="114" t="s">
        <v>489</v>
      </c>
      <c r="B26" s="115" t="s">
        <v>490</v>
      </c>
      <c r="C26" s="116" t="s">
        <v>457</v>
      </c>
      <c r="D26" s="116" t="s">
        <v>491</v>
      </c>
      <c r="E26" s="117">
        <v>3193000000</v>
      </c>
      <c r="F26" s="117"/>
      <c r="G26" s="117"/>
      <c r="H26" s="117"/>
      <c r="I26" s="117"/>
      <c r="J26" s="118">
        <f>G26-H26-I26+N26</f>
        <v>0</v>
      </c>
      <c r="K26" s="117"/>
      <c r="L26" s="117">
        <f>SUM(M26:N26)</f>
        <v>0</v>
      </c>
      <c r="M26" s="117"/>
      <c r="N26" s="117"/>
      <c r="O26" s="117"/>
      <c r="P26" s="117">
        <f>K26-L26-O26</f>
        <v>0</v>
      </c>
      <c r="Q26" s="117">
        <v>3150000000</v>
      </c>
      <c r="R26" s="117">
        <f>SUM(S26:T26)</f>
        <v>2953974000</v>
      </c>
      <c r="S26" s="117">
        <v>2953974000</v>
      </c>
      <c r="T26" s="117"/>
      <c r="U26" s="117"/>
      <c r="V26" s="117">
        <f>Q26-R26-U26</f>
        <v>196026000</v>
      </c>
      <c r="W26" s="117">
        <f>SUM(I26,M26,S26)</f>
        <v>2953974000</v>
      </c>
      <c r="X26" s="117">
        <f>G26-H26-I26+N26+T26</f>
        <v>0</v>
      </c>
      <c r="Y26" s="117">
        <f>F26+L26+R26</f>
        <v>2953974000</v>
      </c>
      <c r="Z26" s="204">
        <f t="shared" si="14"/>
        <v>0</v>
      </c>
    </row>
    <row r="27" spans="1:26" s="124" customFormat="1">
      <c r="A27" s="120" t="s">
        <v>16</v>
      </c>
      <c r="B27" s="121" t="s">
        <v>492</v>
      </c>
      <c r="C27" s="122"/>
      <c r="D27" s="122"/>
      <c r="E27" s="123">
        <f t="shared" ref="E27:P27" si="25">SUM(E28:E34)</f>
        <v>140830730000000</v>
      </c>
      <c r="F27" s="123">
        <f t="shared" si="25"/>
        <v>3777550340</v>
      </c>
      <c r="G27" s="123">
        <f t="shared" si="25"/>
        <v>935291500</v>
      </c>
      <c r="H27" s="123">
        <f t="shared" si="25"/>
        <v>0</v>
      </c>
      <c r="I27" s="123">
        <f t="shared" si="25"/>
        <v>935291500</v>
      </c>
      <c r="J27" s="123">
        <f t="shared" si="25"/>
        <v>0</v>
      </c>
      <c r="K27" s="123">
        <f t="shared" si="25"/>
        <v>0</v>
      </c>
      <c r="L27" s="123">
        <f t="shared" si="25"/>
        <v>0</v>
      </c>
      <c r="M27" s="123">
        <f t="shared" si="25"/>
        <v>0</v>
      </c>
      <c r="N27" s="123">
        <f t="shared" si="25"/>
        <v>0</v>
      </c>
      <c r="O27" s="123">
        <f t="shared" si="25"/>
        <v>0</v>
      </c>
      <c r="P27" s="123">
        <f t="shared" si="25"/>
        <v>0</v>
      </c>
      <c r="Q27" s="123">
        <f>SUM(Q28:Q34)</f>
        <v>103260000000</v>
      </c>
      <c r="R27" s="123">
        <f t="shared" ref="R27:Y27" si="26">SUM(R28:R34)</f>
        <v>103209373721</v>
      </c>
      <c r="S27" s="123">
        <f t="shared" si="26"/>
        <v>35406121373</v>
      </c>
      <c r="T27" s="123">
        <f t="shared" si="26"/>
        <v>67803252348</v>
      </c>
      <c r="U27" s="123">
        <f t="shared" si="26"/>
        <v>0</v>
      </c>
      <c r="V27" s="123">
        <f t="shared" si="26"/>
        <v>50626279</v>
      </c>
      <c r="W27" s="123">
        <f t="shared" si="26"/>
        <v>36341412873</v>
      </c>
      <c r="X27" s="123">
        <f t="shared" si="26"/>
        <v>67803252348</v>
      </c>
      <c r="Y27" s="123">
        <f t="shared" si="26"/>
        <v>106986924061</v>
      </c>
      <c r="Z27" s="204">
        <f t="shared" si="14"/>
        <v>0</v>
      </c>
    </row>
    <row r="28" spans="1:26" s="113" customFormat="1">
      <c r="A28" s="114" t="s">
        <v>455</v>
      </c>
      <c r="B28" s="115" t="s">
        <v>493</v>
      </c>
      <c r="C28" s="116" t="s">
        <v>457</v>
      </c>
      <c r="D28" s="116" t="s">
        <v>494</v>
      </c>
      <c r="E28" s="117">
        <v>11960000000</v>
      </c>
      <c r="F28" s="117">
        <v>3777550340</v>
      </c>
      <c r="G28" s="117">
        <v>935291500</v>
      </c>
      <c r="H28" s="117">
        <v>0</v>
      </c>
      <c r="I28" s="117">
        <v>935291500</v>
      </c>
      <c r="J28" s="118">
        <f t="shared" ref="J28:J34" si="27">G28-H28-I28+N28</f>
        <v>0</v>
      </c>
      <c r="K28" s="117"/>
      <c r="L28" s="117">
        <f t="shared" ref="L28:L34" si="28">SUM(M28:N28)</f>
        <v>0</v>
      </c>
      <c r="M28" s="117"/>
      <c r="N28" s="117"/>
      <c r="O28" s="117"/>
      <c r="P28" s="117">
        <f t="shared" ref="P28:P34" si="29">K28-L28-O28</f>
        <v>0</v>
      </c>
      <c r="Q28" s="117">
        <v>4300000000</v>
      </c>
      <c r="R28" s="117">
        <f t="shared" ref="R28:R34" si="30">SUM(S28:T28)</f>
        <v>4253175721</v>
      </c>
      <c r="S28" s="117">
        <v>4178330160</v>
      </c>
      <c r="T28" s="119">
        <v>74845561</v>
      </c>
      <c r="U28" s="117"/>
      <c r="V28" s="117">
        <f t="shared" ref="V28:V34" si="31">Q28-R28-U28</f>
        <v>46824279</v>
      </c>
      <c r="W28" s="117">
        <f t="shared" ref="W28:W34" si="32">SUM(I28,M28,S28)</f>
        <v>5113621660</v>
      </c>
      <c r="X28" s="117">
        <f t="shared" ref="X28:X34" si="33">G28-H28-I28+N28+T28</f>
        <v>74845561</v>
      </c>
      <c r="Y28" s="117">
        <f t="shared" ref="Y28:Y34" si="34">F28+L28+R28</f>
        <v>8030726061</v>
      </c>
      <c r="Z28" s="204">
        <f t="shared" si="14"/>
        <v>0</v>
      </c>
    </row>
    <row r="29" spans="1:26" s="113" customFormat="1">
      <c r="A29" s="114" t="s">
        <v>459</v>
      </c>
      <c r="B29" s="115" t="s">
        <v>495</v>
      </c>
      <c r="C29" s="116" t="s">
        <v>457</v>
      </c>
      <c r="D29" s="116" t="s">
        <v>496</v>
      </c>
      <c r="E29" s="117">
        <v>107344000000</v>
      </c>
      <c r="F29" s="117"/>
      <c r="G29" s="117"/>
      <c r="H29" s="117"/>
      <c r="I29" s="117"/>
      <c r="J29" s="118">
        <f t="shared" si="27"/>
        <v>0</v>
      </c>
      <c r="K29" s="117"/>
      <c r="L29" s="117">
        <f t="shared" si="28"/>
        <v>0</v>
      </c>
      <c r="M29" s="117"/>
      <c r="N29" s="117"/>
      <c r="O29" s="117"/>
      <c r="P29" s="117">
        <f t="shared" si="29"/>
        <v>0</v>
      </c>
      <c r="Q29" s="117">
        <v>12600000000</v>
      </c>
      <c r="R29" s="117">
        <f t="shared" si="30"/>
        <v>12596198000</v>
      </c>
      <c r="S29" s="117">
        <v>12596198000</v>
      </c>
      <c r="T29" s="119"/>
      <c r="U29" s="117"/>
      <c r="V29" s="117">
        <f t="shared" si="31"/>
        <v>3802000</v>
      </c>
      <c r="W29" s="117">
        <f t="shared" si="32"/>
        <v>12596198000</v>
      </c>
      <c r="X29" s="117">
        <f t="shared" si="33"/>
        <v>0</v>
      </c>
      <c r="Y29" s="117">
        <f t="shared" si="34"/>
        <v>12596198000</v>
      </c>
      <c r="Z29" s="204">
        <f t="shared" si="14"/>
        <v>0</v>
      </c>
    </row>
    <row r="30" spans="1:26" s="113" customFormat="1">
      <c r="A30" s="114" t="s">
        <v>462</v>
      </c>
      <c r="B30" s="115" t="s">
        <v>497</v>
      </c>
      <c r="C30" s="116" t="s">
        <v>457</v>
      </c>
      <c r="D30" s="116" t="s">
        <v>498</v>
      </c>
      <c r="E30" s="117">
        <v>199670000000</v>
      </c>
      <c r="F30" s="117"/>
      <c r="G30" s="117"/>
      <c r="H30" s="117"/>
      <c r="I30" s="117"/>
      <c r="J30" s="118">
        <f t="shared" si="27"/>
        <v>0</v>
      </c>
      <c r="K30" s="117"/>
      <c r="L30" s="117">
        <f t="shared" si="28"/>
        <v>0</v>
      </c>
      <c r="M30" s="117"/>
      <c r="N30" s="117"/>
      <c r="O30" s="117"/>
      <c r="P30" s="117">
        <f t="shared" si="29"/>
        <v>0</v>
      </c>
      <c r="Q30" s="117">
        <v>25000000000</v>
      </c>
      <c r="R30" s="117">
        <f t="shared" si="30"/>
        <v>25000000000</v>
      </c>
      <c r="S30" s="117">
        <v>1634410000</v>
      </c>
      <c r="T30" s="119">
        <v>23365590000</v>
      </c>
      <c r="U30" s="117"/>
      <c r="V30" s="117">
        <f t="shared" si="31"/>
        <v>0</v>
      </c>
      <c r="W30" s="117">
        <f t="shared" si="32"/>
        <v>1634410000</v>
      </c>
      <c r="X30" s="117">
        <f t="shared" si="33"/>
        <v>23365590000</v>
      </c>
      <c r="Y30" s="117">
        <f t="shared" si="34"/>
        <v>25000000000</v>
      </c>
      <c r="Z30" s="204">
        <f t="shared" si="14"/>
        <v>0</v>
      </c>
    </row>
    <row r="31" spans="1:26" s="113" customFormat="1">
      <c r="A31" s="114" t="s">
        <v>465</v>
      </c>
      <c r="B31" s="115" t="s">
        <v>499</v>
      </c>
      <c r="C31" s="116" t="s">
        <v>457</v>
      </c>
      <c r="D31" s="116" t="s">
        <v>500</v>
      </c>
      <c r="E31" s="117">
        <v>140340000000000</v>
      </c>
      <c r="F31" s="117"/>
      <c r="G31" s="117"/>
      <c r="H31" s="117"/>
      <c r="I31" s="117"/>
      <c r="J31" s="118">
        <f t="shared" si="27"/>
        <v>0</v>
      </c>
      <c r="K31" s="117"/>
      <c r="L31" s="117">
        <f t="shared" si="28"/>
        <v>0</v>
      </c>
      <c r="M31" s="117"/>
      <c r="N31" s="117"/>
      <c r="O31" s="117"/>
      <c r="P31" s="117">
        <f t="shared" si="29"/>
        <v>0</v>
      </c>
      <c r="Q31" s="117">
        <v>15000000000</v>
      </c>
      <c r="R31" s="117">
        <f t="shared" si="30"/>
        <v>15000000000</v>
      </c>
      <c r="S31" s="117">
        <v>9233453153</v>
      </c>
      <c r="T31" s="119">
        <v>5766546847</v>
      </c>
      <c r="U31" s="117"/>
      <c r="V31" s="117">
        <f t="shared" si="31"/>
        <v>0</v>
      </c>
      <c r="W31" s="117">
        <f t="shared" si="32"/>
        <v>9233453153</v>
      </c>
      <c r="X31" s="117">
        <f t="shared" si="33"/>
        <v>5766546847</v>
      </c>
      <c r="Y31" s="117">
        <f t="shared" si="34"/>
        <v>15000000000</v>
      </c>
      <c r="Z31" s="204">
        <f t="shared" si="14"/>
        <v>0</v>
      </c>
    </row>
    <row r="32" spans="1:26" s="113" customFormat="1">
      <c r="A32" s="114" t="s">
        <v>468</v>
      </c>
      <c r="B32" s="115" t="s">
        <v>501</v>
      </c>
      <c r="C32" s="116" t="s">
        <v>457</v>
      </c>
      <c r="D32" s="116" t="s">
        <v>502</v>
      </c>
      <c r="E32" s="117">
        <v>136529000000</v>
      </c>
      <c r="F32" s="117"/>
      <c r="G32" s="117"/>
      <c r="H32" s="117"/>
      <c r="I32" s="117"/>
      <c r="J32" s="118">
        <f t="shared" si="27"/>
        <v>0</v>
      </c>
      <c r="K32" s="117"/>
      <c r="L32" s="117">
        <f t="shared" si="28"/>
        <v>0</v>
      </c>
      <c r="M32" s="117"/>
      <c r="N32" s="117"/>
      <c r="O32" s="117"/>
      <c r="P32" s="117">
        <f t="shared" si="29"/>
        <v>0</v>
      </c>
      <c r="Q32" s="117">
        <v>31860000000</v>
      </c>
      <c r="R32" s="117">
        <f t="shared" si="30"/>
        <v>31860000000</v>
      </c>
      <c r="S32" s="117">
        <v>2360000000</v>
      </c>
      <c r="T32" s="119">
        <v>29500000000</v>
      </c>
      <c r="U32" s="117"/>
      <c r="V32" s="117">
        <f t="shared" si="31"/>
        <v>0</v>
      </c>
      <c r="W32" s="117">
        <f t="shared" si="32"/>
        <v>2360000000</v>
      </c>
      <c r="X32" s="117">
        <f t="shared" si="33"/>
        <v>29500000000</v>
      </c>
      <c r="Y32" s="117">
        <f t="shared" si="34"/>
        <v>31860000000</v>
      </c>
      <c r="Z32" s="204">
        <f t="shared" si="14"/>
        <v>0</v>
      </c>
    </row>
    <row r="33" spans="1:26" s="113" customFormat="1">
      <c r="A33" s="114" t="s">
        <v>471</v>
      </c>
      <c r="B33" s="115" t="s">
        <v>503</v>
      </c>
      <c r="C33" s="116" t="s">
        <v>457</v>
      </c>
      <c r="D33" s="116" t="s">
        <v>504</v>
      </c>
      <c r="E33" s="117">
        <v>20696000000</v>
      </c>
      <c r="F33" s="117"/>
      <c r="G33" s="117"/>
      <c r="H33" s="117"/>
      <c r="I33" s="117"/>
      <c r="J33" s="118">
        <f t="shared" si="27"/>
        <v>0</v>
      </c>
      <c r="K33" s="117"/>
      <c r="L33" s="117">
        <f t="shared" si="28"/>
        <v>0</v>
      </c>
      <c r="M33" s="117"/>
      <c r="N33" s="117"/>
      <c r="O33" s="117"/>
      <c r="P33" s="117">
        <f t="shared" si="29"/>
        <v>0</v>
      </c>
      <c r="Q33" s="117">
        <v>7500000000</v>
      </c>
      <c r="R33" s="117">
        <f t="shared" si="30"/>
        <v>7500000000</v>
      </c>
      <c r="S33" s="117">
        <v>303178700</v>
      </c>
      <c r="T33" s="119">
        <v>7196821300</v>
      </c>
      <c r="U33" s="117"/>
      <c r="V33" s="117">
        <f t="shared" si="31"/>
        <v>0</v>
      </c>
      <c r="W33" s="117">
        <f t="shared" si="32"/>
        <v>303178700</v>
      </c>
      <c r="X33" s="117">
        <f t="shared" si="33"/>
        <v>7196821300</v>
      </c>
      <c r="Y33" s="117">
        <f t="shared" si="34"/>
        <v>7500000000</v>
      </c>
      <c r="Z33" s="204">
        <f t="shared" si="14"/>
        <v>0</v>
      </c>
    </row>
    <row r="34" spans="1:26" s="113" customFormat="1">
      <c r="A34" s="114" t="s">
        <v>474</v>
      </c>
      <c r="B34" s="115" t="s">
        <v>505</v>
      </c>
      <c r="C34" s="116" t="s">
        <v>457</v>
      </c>
      <c r="D34" s="116" t="s">
        <v>506</v>
      </c>
      <c r="E34" s="117">
        <v>14531000000</v>
      </c>
      <c r="F34" s="117"/>
      <c r="G34" s="117"/>
      <c r="H34" s="117"/>
      <c r="I34" s="117"/>
      <c r="J34" s="118">
        <f t="shared" si="27"/>
        <v>0</v>
      </c>
      <c r="K34" s="117"/>
      <c r="L34" s="117">
        <f t="shared" si="28"/>
        <v>0</v>
      </c>
      <c r="M34" s="117"/>
      <c r="N34" s="117"/>
      <c r="O34" s="117"/>
      <c r="P34" s="117">
        <f t="shared" si="29"/>
        <v>0</v>
      </c>
      <c r="Q34" s="117">
        <v>7000000000</v>
      </c>
      <c r="R34" s="117">
        <f t="shared" si="30"/>
        <v>7000000000</v>
      </c>
      <c r="S34" s="117">
        <v>5100551360</v>
      </c>
      <c r="T34" s="119">
        <v>1899448640</v>
      </c>
      <c r="U34" s="117"/>
      <c r="V34" s="117">
        <f t="shared" si="31"/>
        <v>0</v>
      </c>
      <c r="W34" s="117">
        <f t="shared" si="32"/>
        <v>5100551360</v>
      </c>
      <c r="X34" s="117">
        <f t="shared" si="33"/>
        <v>1899448640</v>
      </c>
      <c r="Y34" s="117">
        <f t="shared" si="34"/>
        <v>7000000000</v>
      </c>
      <c r="Z34" s="204">
        <f t="shared" si="14"/>
        <v>0</v>
      </c>
    </row>
    <row r="35" spans="1:26" s="113" customFormat="1">
      <c r="A35" s="109" t="s">
        <v>20</v>
      </c>
      <c r="B35" s="110" t="s">
        <v>507</v>
      </c>
      <c r="C35" s="111"/>
      <c r="D35" s="109"/>
      <c r="E35" s="112">
        <f t="shared" ref="E35:P35" si="35">SUM(E36:E45)</f>
        <v>151854000000</v>
      </c>
      <c r="F35" s="112">
        <f t="shared" si="35"/>
        <v>6724144242</v>
      </c>
      <c r="G35" s="112">
        <f t="shared" si="35"/>
        <v>18977856</v>
      </c>
      <c r="H35" s="112">
        <f t="shared" si="35"/>
        <v>0</v>
      </c>
      <c r="I35" s="112">
        <f t="shared" si="35"/>
        <v>18977856</v>
      </c>
      <c r="J35" s="112">
        <f t="shared" si="35"/>
        <v>0</v>
      </c>
      <c r="K35" s="112">
        <f t="shared" si="35"/>
        <v>0</v>
      </c>
      <c r="L35" s="112">
        <f t="shared" si="35"/>
        <v>0</v>
      </c>
      <c r="M35" s="112">
        <f t="shared" si="35"/>
        <v>0</v>
      </c>
      <c r="N35" s="112">
        <f t="shared" si="35"/>
        <v>0</v>
      </c>
      <c r="O35" s="112">
        <f t="shared" si="35"/>
        <v>0</v>
      </c>
      <c r="P35" s="112">
        <f t="shared" si="35"/>
        <v>0</v>
      </c>
      <c r="Q35" s="112">
        <f>SUM(Q36:Q45)</f>
        <v>50208000000</v>
      </c>
      <c r="R35" s="112">
        <f t="shared" ref="R35:Y35" si="36">SUM(R36:R45)</f>
        <v>29401442413</v>
      </c>
      <c r="S35" s="112">
        <f t="shared" si="36"/>
        <v>29401442413</v>
      </c>
      <c r="T35" s="112">
        <f t="shared" si="36"/>
        <v>0</v>
      </c>
      <c r="U35" s="112">
        <f t="shared" si="36"/>
        <v>0</v>
      </c>
      <c r="V35" s="112">
        <f t="shared" si="36"/>
        <v>20806557587</v>
      </c>
      <c r="W35" s="112">
        <f t="shared" si="36"/>
        <v>29420420269</v>
      </c>
      <c r="X35" s="112">
        <f t="shared" si="36"/>
        <v>0</v>
      </c>
      <c r="Y35" s="112">
        <f t="shared" si="36"/>
        <v>36125586655</v>
      </c>
      <c r="Z35" s="204">
        <f t="shared" si="14"/>
        <v>0</v>
      </c>
    </row>
    <row r="36" spans="1:26" s="113" customFormat="1" ht="24">
      <c r="A36" s="114" t="s">
        <v>455</v>
      </c>
      <c r="B36" s="115" t="s">
        <v>508</v>
      </c>
      <c r="C36" s="116" t="s">
        <v>457</v>
      </c>
      <c r="D36" s="116" t="s">
        <v>509</v>
      </c>
      <c r="E36" s="117">
        <v>3800000000</v>
      </c>
      <c r="F36" s="117">
        <v>3363635000</v>
      </c>
      <c r="G36" s="117"/>
      <c r="H36" s="117"/>
      <c r="I36" s="117"/>
      <c r="J36" s="118">
        <f t="shared" ref="J36:J45" si="37">G36-H36-I36+N36</f>
        <v>0</v>
      </c>
      <c r="K36" s="117"/>
      <c r="L36" s="117">
        <f t="shared" ref="L36:L45" si="38">SUM(M36:N36)</f>
        <v>0</v>
      </c>
      <c r="M36" s="117"/>
      <c r="N36" s="117"/>
      <c r="O36" s="117"/>
      <c r="P36" s="117">
        <f t="shared" ref="P36:P45" si="39">K36-L36-O36</f>
        <v>0</v>
      </c>
      <c r="Q36" s="117">
        <v>250000000</v>
      </c>
      <c r="R36" s="117">
        <f t="shared" ref="R36:R45" si="40">SUM(S36:T36)</f>
        <v>120804000</v>
      </c>
      <c r="S36" s="117">
        <v>120804000</v>
      </c>
      <c r="T36" s="117"/>
      <c r="U36" s="117"/>
      <c r="V36" s="117">
        <f t="shared" ref="V36:V45" si="41">Q36-R36-U36</f>
        <v>129196000</v>
      </c>
      <c r="W36" s="117">
        <f t="shared" ref="W36:W45" si="42">SUM(I36,M36,S36)</f>
        <v>120804000</v>
      </c>
      <c r="X36" s="117">
        <f t="shared" ref="X36:X45" si="43">G36-H36-I36+N36+T36</f>
        <v>0</v>
      </c>
      <c r="Y36" s="117">
        <f t="shared" ref="Y36:Y45" si="44">F36+L36+R36</f>
        <v>3484439000</v>
      </c>
      <c r="Z36" s="204">
        <f t="shared" si="14"/>
        <v>0</v>
      </c>
    </row>
    <row r="37" spans="1:26" s="113" customFormat="1" ht="24">
      <c r="A37" s="114" t="s">
        <v>459</v>
      </c>
      <c r="B37" s="115" t="s">
        <v>510</v>
      </c>
      <c r="C37" s="116" t="s">
        <v>457</v>
      </c>
      <c r="D37" s="116" t="s">
        <v>511</v>
      </c>
      <c r="E37" s="117">
        <v>75707000000</v>
      </c>
      <c r="F37" s="117"/>
      <c r="G37" s="117"/>
      <c r="H37" s="117"/>
      <c r="I37" s="117"/>
      <c r="J37" s="118">
        <f t="shared" si="37"/>
        <v>0</v>
      </c>
      <c r="K37" s="117"/>
      <c r="L37" s="117">
        <f t="shared" si="38"/>
        <v>0</v>
      </c>
      <c r="M37" s="117"/>
      <c r="N37" s="117"/>
      <c r="O37" s="117"/>
      <c r="P37" s="117">
        <f t="shared" si="39"/>
        <v>0</v>
      </c>
      <c r="Q37" s="117">
        <v>20000000000</v>
      </c>
      <c r="R37" s="117">
        <f t="shared" si="40"/>
        <v>207100000</v>
      </c>
      <c r="S37" s="117">
        <v>207100000</v>
      </c>
      <c r="T37" s="119"/>
      <c r="U37" s="117"/>
      <c r="V37" s="117">
        <f t="shared" si="41"/>
        <v>19792900000</v>
      </c>
      <c r="W37" s="117">
        <f t="shared" si="42"/>
        <v>207100000</v>
      </c>
      <c r="X37" s="117">
        <f t="shared" si="43"/>
        <v>0</v>
      </c>
      <c r="Y37" s="117">
        <f t="shared" si="44"/>
        <v>207100000</v>
      </c>
      <c r="Z37" s="204">
        <f t="shared" si="14"/>
        <v>0</v>
      </c>
    </row>
    <row r="38" spans="1:26" s="113" customFormat="1">
      <c r="A38" s="114" t="s">
        <v>462</v>
      </c>
      <c r="B38" s="115" t="s">
        <v>512</v>
      </c>
      <c r="C38" s="116" t="s">
        <v>457</v>
      </c>
      <c r="D38" s="116" t="s">
        <v>513</v>
      </c>
      <c r="E38" s="117">
        <v>9994000000</v>
      </c>
      <c r="F38" s="117"/>
      <c r="G38" s="117"/>
      <c r="H38" s="117"/>
      <c r="I38" s="117"/>
      <c r="J38" s="118">
        <f t="shared" si="37"/>
        <v>0</v>
      </c>
      <c r="K38" s="117"/>
      <c r="L38" s="117">
        <f t="shared" si="38"/>
        <v>0</v>
      </c>
      <c r="M38" s="117"/>
      <c r="N38" s="117"/>
      <c r="O38" s="117"/>
      <c r="P38" s="117">
        <f t="shared" si="39"/>
        <v>0</v>
      </c>
      <c r="Q38" s="117">
        <v>9000000000</v>
      </c>
      <c r="R38" s="117">
        <f t="shared" si="40"/>
        <v>8869726100</v>
      </c>
      <c r="S38" s="117">
        <v>8869726100</v>
      </c>
      <c r="T38" s="119"/>
      <c r="U38" s="117"/>
      <c r="V38" s="117">
        <f t="shared" si="41"/>
        <v>130273900</v>
      </c>
      <c r="W38" s="117">
        <f t="shared" si="42"/>
        <v>8869726100</v>
      </c>
      <c r="X38" s="117">
        <f t="shared" si="43"/>
        <v>0</v>
      </c>
      <c r="Y38" s="117">
        <f t="shared" si="44"/>
        <v>8869726100</v>
      </c>
      <c r="Z38" s="204">
        <f t="shared" si="14"/>
        <v>0</v>
      </c>
    </row>
    <row r="39" spans="1:26" s="113" customFormat="1" ht="24">
      <c r="A39" s="114" t="s">
        <v>465</v>
      </c>
      <c r="B39" s="115" t="s">
        <v>514</v>
      </c>
      <c r="C39" s="116" t="s">
        <v>457</v>
      </c>
      <c r="D39" s="116" t="s">
        <v>515</v>
      </c>
      <c r="E39" s="117">
        <v>3928000000</v>
      </c>
      <c r="F39" s="117"/>
      <c r="G39" s="117"/>
      <c r="H39" s="117"/>
      <c r="I39" s="117"/>
      <c r="J39" s="118">
        <f t="shared" si="37"/>
        <v>0</v>
      </c>
      <c r="K39" s="117"/>
      <c r="L39" s="117">
        <f t="shared" si="38"/>
        <v>0</v>
      </c>
      <c r="M39" s="117"/>
      <c r="N39" s="117"/>
      <c r="O39" s="117"/>
      <c r="P39" s="117">
        <f t="shared" si="39"/>
        <v>0</v>
      </c>
      <c r="Q39" s="117">
        <v>3650000000</v>
      </c>
      <c r="R39" s="117">
        <f t="shared" si="40"/>
        <v>3646053000</v>
      </c>
      <c r="S39" s="117">
        <v>3646053000</v>
      </c>
      <c r="T39" s="119"/>
      <c r="U39" s="117"/>
      <c r="V39" s="117">
        <f t="shared" si="41"/>
        <v>3947000</v>
      </c>
      <c r="W39" s="117">
        <f t="shared" si="42"/>
        <v>3646053000</v>
      </c>
      <c r="X39" s="117">
        <f t="shared" si="43"/>
        <v>0</v>
      </c>
      <c r="Y39" s="117">
        <f t="shared" si="44"/>
        <v>3646053000</v>
      </c>
      <c r="Z39" s="204">
        <f t="shared" si="14"/>
        <v>0</v>
      </c>
    </row>
    <row r="40" spans="1:26" s="113" customFormat="1" ht="24">
      <c r="A40" s="114" t="s">
        <v>468</v>
      </c>
      <c r="B40" s="115" t="s">
        <v>516</v>
      </c>
      <c r="C40" s="116" t="s">
        <v>457</v>
      </c>
      <c r="D40" s="116" t="s">
        <v>517</v>
      </c>
      <c r="E40" s="117">
        <v>15537000000</v>
      </c>
      <c r="F40" s="117"/>
      <c r="G40" s="117"/>
      <c r="H40" s="117"/>
      <c r="I40" s="117"/>
      <c r="J40" s="118">
        <f t="shared" si="37"/>
        <v>0</v>
      </c>
      <c r="K40" s="117"/>
      <c r="L40" s="117">
        <f t="shared" si="38"/>
        <v>0</v>
      </c>
      <c r="M40" s="117"/>
      <c r="N40" s="117"/>
      <c r="O40" s="117"/>
      <c r="P40" s="117">
        <f t="shared" si="39"/>
        <v>0</v>
      </c>
      <c r="Q40" s="117">
        <v>10500000000</v>
      </c>
      <c r="R40" s="117">
        <f t="shared" si="40"/>
        <v>10162400000</v>
      </c>
      <c r="S40" s="117">
        <v>10162400000</v>
      </c>
      <c r="T40" s="119"/>
      <c r="U40" s="117"/>
      <c r="V40" s="117">
        <f t="shared" si="41"/>
        <v>337600000</v>
      </c>
      <c r="W40" s="117">
        <f t="shared" si="42"/>
        <v>10162400000</v>
      </c>
      <c r="X40" s="117">
        <f t="shared" si="43"/>
        <v>0</v>
      </c>
      <c r="Y40" s="117">
        <f t="shared" si="44"/>
        <v>10162400000</v>
      </c>
      <c r="Z40" s="204">
        <f t="shared" si="14"/>
        <v>0</v>
      </c>
    </row>
    <row r="41" spans="1:26" s="113" customFormat="1" ht="24">
      <c r="A41" s="114" t="s">
        <v>471</v>
      </c>
      <c r="B41" s="115" t="s">
        <v>518</v>
      </c>
      <c r="C41" s="116" t="s">
        <v>457</v>
      </c>
      <c r="D41" s="116" t="s">
        <v>519</v>
      </c>
      <c r="E41" s="117">
        <v>7599000000</v>
      </c>
      <c r="F41" s="117"/>
      <c r="G41" s="117"/>
      <c r="H41" s="117"/>
      <c r="I41" s="117"/>
      <c r="J41" s="118">
        <f t="shared" si="37"/>
        <v>0</v>
      </c>
      <c r="K41" s="117"/>
      <c r="L41" s="117">
        <f t="shared" si="38"/>
        <v>0</v>
      </c>
      <c r="M41" s="117"/>
      <c r="N41" s="117"/>
      <c r="O41" s="117"/>
      <c r="P41" s="117">
        <f t="shared" si="39"/>
        <v>0</v>
      </c>
      <c r="Q41" s="117">
        <v>2950000000</v>
      </c>
      <c r="R41" s="117">
        <f t="shared" si="40"/>
        <v>2936270497</v>
      </c>
      <c r="S41" s="117">
        <v>2936270497</v>
      </c>
      <c r="T41" s="119"/>
      <c r="U41" s="117"/>
      <c r="V41" s="117">
        <f t="shared" si="41"/>
        <v>13729503</v>
      </c>
      <c r="W41" s="117">
        <f t="shared" si="42"/>
        <v>2936270497</v>
      </c>
      <c r="X41" s="117">
        <f t="shared" si="43"/>
        <v>0</v>
      </c>
      <c r="Y41" s="117">
        <f t="shared" si="44"/>
        <v>2936270497</v>
      </c>
      <c r="Z41" s="204">
        <f t="shared" si="14"/>
        <v>0</v>
      </c>
    </row>
    <row r="42" spans="1:26" s="113" customFormat="1" ht="24">
      <c r="A42" s="114" t="s">
        <v>474</v>
      </c>
      <c r="B42" s="115" t="s">
        <v>520</v>
      </c>
      <c r="C42" s="116" t="s">
        <v>457</v>
      </c>
      <c r="D42" s="116" t="s">
        <v>521</v>
      </c>
      <c r="E42" s="117">
        <v>2999000000</v>
      </c>
      <c r="F42" s="117"/>
      <c r="G42" s="117"/>
      <c r="H42" s="117"/>
      <c r="I42" s="117"/>
      <c r="J42" s="118">
        <f t="shared" si="37"/>
        <v>0</v>
      </c>
      <c r="K42" s="117"/>
      <c r="L42" s="117">
        <f t="shared" si="38"/>
        <v>0</v>
      </c>
      <c r="M42" s="117"/>
      <c r="N42" s="117"/>
      <c r="O42" s="117"/>
      <c r="P42" s="117">
        <f t="shared" si="39"/>
        <v>0</v>
      </c>
      <c r="Q42" s="117">
        <v>2900000000</v>
      </c>
      <c r="R42" s="117">
        <f t="shared" si="40"/>
        <v>2507235307</v>
      </c>
      <c r="S42" s="117">
        <v>2507235307</v>
      </c>
      <c r="T42" s="117"/>
      <c r="U42" s="117"/>
      <c r="V42" s="117">
        <f t="shared" si="41"/>
        <v>392764693</v>
      </c>
      <c r="W42" s="117">
        <f t="shared" si="42"/>
        <v>2507235307</v>
      </c>
      <c r="X42" s="117">
        <f t="shared" si="43"/>
        <v>0</v>
      </c>
      <c r="Y42" s="117">
        <f t="shared" si="44"/>
        <v>2507235307</v>
      </c>
      <c r="Z42" s="204">
        <f t="shared" si="14"/>
        <v>0</v>
      </c>
    </row>
    <row r="43" spans="1:26" s="113" customFormat="1" ht="24">
      <c r="A43" s="114" t="s">
        <v>477</v>
      </c>
      <c r="B43" s="115" t="s">
        <v>522</v>
      </c>
      <c r="C43" s="116" t="s">
        <v>457</v>
      </c>
      <c r="D43" s="116" t="s">
        <v>523</v>
      </c>
      <c r="E43" s="117">
        <v>27340000000</v>
      </c>
      <c r="F43" s="117"/>
      <c r="G43" s="117"/>
      <c r="H43" s="117"/>
      <c r="I43" s="117"/>
      <c r="J43" s="118">
        <f t="shared" si="37"/>
        <v>0</v>
      </c>
      <c r="K43" s="117"/>
      <c r="L43" s="117">
        <f t="shared" si="38"/>
        <v>0</v>
      </c>
      <c r="M43" s="117"/>
      <c r="N43" s="117"/>
      <c r="O43" s="117"/>
      <c r="P43" s="117">
        <f t="shared" si="39"/>
        <v>0</v>
      </c>
      <c r="Q43" s="117">
        <v>927000000</v>
      </c>
      <c r="R43" s="117">
        <f t="shared" si="40"/>
        <v>921961509</v>
      </c>
      <c r="S43" s="117">
        <v>921961509</v>
      </c>
      <c r="T43" s="117"/>
      <c r="U43" s="117"/>
      <c r="V43" s="117">
        <f t="shared" si="41"/>
        <v>5038491</v>
      </c>
      <c r="W43" s="117">
        <f t="shared" si="42"/>
        <v>921961509</v>
      </c>
      <c r="X43" s="117">
        <f t="shared" si="43"/>
        <v>0</v>
      </c>
      <c r="Y43" s="117">
        <f t="shared" si="44"/>
        <v>921961509</v>
      </c>
      <c r="Z43" s="204">
        <f t="shared" si="14"/>
        <v>0</v>
      </c>
    </row>
    <row r="44" spans="1:26" s="113" customFormat="1" ht="24">
      <c r="A44" s="114" t="s">
        <v>480</v>
      </c>
      <c r="B44" s="115" t="s">
        <v>524</v>
      </c>
      <c r="C44" s="116" t="s">
        <v>457</v>
      </c>
      <c r="D44" s="116" t="s">
        <v>525</v>
      </c>
      <c r="E44" s="117">
        <v>3700000000</v>
      </c>
      <c r="F44" s="117">
        <v>2359867000</v>
      </c>
      <c r="G44" s="117"/>
      <c r="H44" s="117"/>
      <c r="I44" s="117"/>
      <c r="J44" s="118">
        <f t="shared" si="37"/>
        <v>0</v>
      </c>
      <c r="K44" s="117"/>
      <c r="L44" s="117">
        <f t="shared" si="38"/>
        <v>0</v>
      </c>
      <c r="M44" s="117"/>
      <c r="N44" s="117"/>
      <c r="O44" s="117"/>
      <c r="P44" s="117">
        <f t="shared" si="39"/>
        <v>0</v>
      </c>
      <c r="Q44" s="117">
        <v>22000000</v>
      </c>
      <c r="R44" s="117">
        <f t="shared" si="40"/>
        <v>21580000</v>
      </c>
      <c r="S44" s="117">
        <v>21580000</v>
      </c>
      <c r="T44" s="119"/>
      <c r="U44" s="117"/>
      <c r="V44" s="117">
        <f t="shared" si="41"/>
        <v>420000</v>
      </c>
      <c r="W44" s="117">
        <f t="shared" si="42"/>
        <v>21580000</v>
      </c>
      <c r="X44" s="117">
        <f t="shared" si="43"/>
        <v>0</v>
      </c>
      <c r="Y44" s="117">
        <f t="shared" si="44"/>
        <v>2381447000</v>
      </c>
      <c r="Z44" s="204">
        <f t="shared" si="14"/>
        <v>0</v>
      </c>
    </row>
    <row r="45" spans="1:26" s="113" customFormat="1" ht="24">
      <c r="A45" s="114" t="s">
        <v>483</v>
      </c>
      <c r="B45" s="115" t="s">
        <v>526</v>
      </c>
      <c r="C45" s="116" t="s">
        <v>457</v>
      </c>
      <c r="D45" s="116" t="s">
        <v>527</v>
      </c>
      <c r="E45" s="117">
        <v>1250000000</v>
      </c>
      <c r="F45" s="117">
        <v>1000642242</v>
      </c>
      <c r="G45" s="117">
        <v>18977856</v>
      </c>
      <c r="H45" s="117">
        <v>0</v>
      </c>
      <c r="I45" s="117">
        <v>18977856</v>
      </c>
      <c r="J45" s="118">
        <f t="shared" si="37"/>
        <v>0</v>
      </c>
      <c r="K45" s="117"/>
      <c r="L45" s="117">
        <f t="shared" si="38"/>
        <v>0</v>
      </c>
      <c r="M45" s="117"/>
      <c r="N45" s="117"/>
      <c r="O45" s="117"/>
      <c r="P45" s="117">
        <f t="shared" si="39"/>
        <v>0</v>
      </c>
      <c r="Q45" s="117">
        <v>9000000</v>
      </c>
      <c r="R45" s="117">
        <f t="shared" si="40"/>
        <v>8312000</v>
      </c>
      <c r="S45" s="117">
        <v>8312000</v>
      </c>
      <c r="T45" s="117"/>
      <c r="U45" s="117"/>
      <c r="V45" s="117">
        <f t="shared" si="41"/>
        <v>688000</v>
      </c>
      <c r="W45" s="117">
        <f t="shared" si="42"/>
        <v>27289856</v>
      </c>
      <c r="X45" s="117">
        <f t="shared" si="43"/>
        <v>0</v>
      </c>
      <c r="Y45" s="117">
        <f t="shared" si="44"/>
        <v>1008954242</v>
      </c>
      <c r="Z45" s="204">
        <f t="shared" si="14"/>
        <v>0</v>
      </c>
    </row>
    <row r="46" spans="1:26" s="113" customFormat="1">
      <c r="A46" s="109" t="s">
        <v>22</v>
      </c>
      <c r="B46" s="110" t="s">
        <v>528</v>
      </c>
      <c r="C46" s="111"/>
      <c r="D46" s="109"/>
      <c r="E46" s="112">
        <f t="shared" ref="E46:P46" si="45">SUM(E47:E67)</f>
        <v>234745430546</v>
      </c>
      <c r="F46" s="112">
        <f t="shared" si="45"/>
        <v>20731594500</v>
      </c>
      <c r="G46" s="112">
        <f t="shared" si="45"/>
        <v>0</v>
      </c>
      <c r="H46" s="112">
        <f t="shared" si="45"/>
        <v>0</v>
      </c>
      <c r="I46" s="112">
        <f t="shared" si="45"/>
        <v>0</v>
      </c>
      <c r="J46" s="112">
        <f t="shared" si="45"/>
        <v>0</v>
      </c>
      <c r="K46" s="112">
        <f t="shared" si="45"/>
        <v>0</v>
      </c>
      <c r="L46" s="112">
        <f t="shared" si="45"/>
        <v>0</v>
      </c>
      <c r="M46" s="112">
        <f t="shared" si="45"/>
        <v>0</v>
      </c>
      <c r="N46" s="112">
        <f t="shared" si="45"/>
        <v>0</v>
      </c>
      <c r="O46" s="112">
        <f t="shared" si="45"/>
        <v>0</v>
      </c>
      <c r="P46" s="112">
        <f t="shared" si="45"/>
        <v>0</v>
      </c>
      <c r="Q46" s="112">
        <f>SUM(Q47:Q67)</f>
        <v>67374000000</v>
      </c>
      <c r="R46" s="112">
        <f t="shared" ref="R46:Y46" si="46">SUM(R47:R67)</f>
        <v>63992378407</v>
      </c>
      <c r="S46" s="112">
        <f t="shared" si="46"/>
        <v>53585502787</v>
      </c>
      <c r="T46" s="112">
        <f t="shared" si="46"/>
        <v>10406875620</v>
      </c>
      <c r="U46" s="112">
        <f t="shared" si="46"/>
        <v>0</v>
      </c>
      <c r="V46" s="112">
        <f t="shared" si="46"/>
        <v>3381621593</v>
      </c>
      <c r="W46" s="112">
        <f t="shared" si="46"/>
        <v>53585502787</v>
      </c>
      <c r="X46" s="112">
        <f t="shared" si="46"/>
        <v>10406875620</v>
      </c>
      <c r="Y46" s="112">
        <f t="shared" si="46"/>
        <v>84723972907</v>
      </c>
      <c r="Z46" s="204">
        <f t="shared" si="14"/>
        <v>0</v>
      </c>
    </row>
    <row r="47" spans="1:26" s="113" customFormat="1">
      <c r="A47" s="114" t="s">
        <v>455</v>
      </c>
      <c r="B47" s="115" t="s">
        <v>529</v>
      </c>
      <c r="C47" s="116" t="s">
        <v>457</v>
      </c>
      <c r="D47" s="116" t="s">
        <v>530</v>
      </c>
      <c r="E47" s="117">
        <v>107186000000</v>
      </c>
      <c r="F47" s="117">
        <v>17861198500</v>
      </c>
      <c r="G47" s="117">
        <v>0</v>
      </c>
      <c r="H47" s="117"/>
      <c r="I47" s="117"/>
      <c r="J47" s="118">
        <f t="shared" ref="J47:J67" si="47">G47-H47-I47+N47</f>
        <v>0</v>
      </c>
      <c r="K47" s="117"/>
      <c r="L47" s="117">
        <f t="shared" ref="L47:L67" si="48">SUM(M47:N47)</f>
        <v>0</v>
      </c>
      <c r="M47" s="117"/>
      <c r="N47" s="117"/>
      <c r="O47" s="117"/>
      <c r="P47" s="117">
        <f t="shared" ref="P47:P67" si="49">K47-L47-O47</f>
        <v>0</v>
      </c>
      <c r="Q47" s="117">
        <v>15000000000</v>
      </c>
      <c r="R47" s="117">
        <f t="shared" ref="R47:R67" si="50">SUM(S47:T47)</f>
        <v>13640696000</v>
      </c>
      <c r="S47" s="117">
        <v>13640696000</v>
      </c>
      <c r="T47" s="119"/>
      <c r="U47" s="117"/>
      <c r="V47" s="117">
        <f t="shared" ref="V47:V67" si="51">Q47-R47-U47</f>
        <v>1359304000</v>
      </c>
      <c r="W47" s="117">
        <f t="shared" ref="W47:W67" si="52">SUM(I47,M47,S47)</f>
        <v>13640696000</v>
      </c>
      <c r="X47" s="117">
        <f t="shared" ref="X47:X67" si="53">G47-H47-I47+N47+T47</f>
        <v>0</v>
      </c>
      <c r="Y47" s="117">
        <f t="shared" ref="Y47:Y67" si="54">F47+L47+R47</f>
        <v>31501894500</v>
      </c>
      <c r="Z47" s="204">
        <f t="shared" si="14"/>
        <v>0</v>
      </c>
    </row>
    <row r="48" spans="1:26" s="113" customFormat="1" ht="24">
      <c r="A48" s="114" t="s">
        <v>459</v>
      </c>
      <c r="B48" s="115" t="s">
        <v>531</v>
      </c>
      <c r="C48" s="116" t="s">
        <v>457</v>
      </c>
      <c r="D48" s="116" t="s">
        <v>532</v>
      </c>
      <c r="E48" s="117">
        <v>7715000000</v>
      </c>
      <c r="F48" s="117"/>
      <c r="G48" s="117"/>
      <c r="H48" s="117"/>
      <c r="I48" s="117"/>
      <c r="J48" s="118">
        <f t="shared" si="47"/>
        <v>0</v>
      </c>
      <c r="K48" s="117"/>
      <c r="L48" s="117">
        <f t="shared" si="48"/>
        <v>0</v>
      </c>
      <c r="M48" s="117"/>
      <c r="N48" s="117"/>
      <c r="O48" s="117"/>
      <c r="P48" s="117">
        <f t="shared" si="49"/>
        <v>0</v>
      </c>
      <c r="Q48" s="117">
        <v>3000000000</v>
      </c>
      <c r="R48" s="117">
        <f t="shared" si="50"/>
        <v>2856589730</v>
      </c>
      <c r="S48" s="117">
        <v>1726817930</v>
      </c>
      <c r="T48" s="119">
        <v>1129771800</v>
      </c>
      <c r="U48" s="117"/>
      <c r="V48" s="117">
        <f t="shared" si="51"/>
        <v>143410270</v>
      </c>
      <c r="W48" s="117">
        <f t="shared" si="52"/>
        <v>1726817930</v>
      </c>
      <c r="X48" s="117">
        <f t="shared" si="53"/>
        <v>1129771800</v>
      </c>
      <c r="Y48" s="117">
        <f t="shared" si="54"/>
        <v>2856589730</v>
      </c>
      <c r="Z48" s="204">
        <f t="shared" si="14"/>
        <v>0</v>
      </c>
    </row>
    <row r="49" spans="1:26" s="113" customFormat="1" ht="24">
      <c r="A49" s="114" t="s">
        <v>462</v>
      </c>
      <c r="B49" s="115" t="s">
        <v>533</v>
      </c>
      <c r="C49" s="116" t="s">
        <v>457</v>
      </c>
      <c r="D49" s="116" t="s">
        <v>534</v>
      </c>
      <c r="E49" s="117">
        <v>2423000000</v>
      </c>
      <c r="F49" s="117"/>
      <c r="G49" s="117"/>
      <c r="H49" s="117"/>
      <c r="I49" s="117"/>
      <c r="J49" s="118">
        <f t="shared" si="47"/>
        <v>0</v>
      </c>
      <c r="K49" s="117"/>
      <c r="L49" s="117">
        <f t="shared" si="48"/>
        <v>0</v>
      </c>
      <c r="M49" s="117"/>
      <c r="N49" s="117"/>
      <c r="O49" s="117"/>
      <c r="P49" s="117">
        <f t="shared" si="49"/>
        <v>0</v>
      </c>
      <c r="Q49" s="117">
        <v>2420000000</v>
      </c>
      <c r="R49" s="117">
        <f t="shared" si="50"/>
        <v>2308289000</v>
      </c>
      <c r="S49" s="117">
        <v>2308289000</v>
      </c>
      <c r="T49" s="119"/>
      <c r="U49" s="117"/>
      <c r="V49" s="117">
        <f t="shared" si="51"/>
        <v>111711000</v>
      </c>
      <c r="W49" s="117">
        <f t="shared" si="52"/>
        <v>2308289000</v>
      </c>
      <c r="X49" s="117">
        <f t="shared" si="53"/>
        <v>0</v>
      </c>
      <c r="Y49" s="117">
        <f t="shared" si="54"/>
        <v>2308289000</v>
      </c>
      <c r="Z49" s="204">
        <f t="shared" si="14"/>
        <v>0</v>
      </c>
    </row>
    <row r="50" spans="1:26" s="113" customFormat="1" ht="24">
      <c r="A50" s="114" t="s">
        <v>465</v>
      </c>
      <c r="B50" s="115" t="s">
        <v>535</v>
      </c>
      <c r="C50" s="116" t="s">
        <v>457</v>
      </c>
      <c r="D50" s="116" t="s">
        <v>536</v>
      </c>
      <c r="E50" s="117">
        <v>2522000000</v>
      </c>
      <c r="F50" s="117"/>
      <c r="G50" s="117"/>
      <c r="H50" s="117"/>
      <c r="I50" s="117"/>
      <c r="J50" s="118">
        <f t="shared" si="47"/>
        <v>0</v>
      </c>
      <c r="K50" s="117"/>
      <c r="L50" s="117">
        <f t="shared" si="48"/>
        <v>0</v>
      </c>
      <c r="M50" s="117"/>
      <c r="N50" s="117"/>
      <c r="O50" s="117"/>
      <c r="P50" s="117">
        <f t="shared" si="49"/>
        <v>0</v>
      </c>
      <c r="Q50" s="117">
        <v>2500000000</v>
      </c>
      <c r="R50" s="117">
        <f t="shared" si="50"/>
        <v>2268256000</v>
      </c>
      <c r="S50" s="117">
        <v>2268256000</v>
      </c>
      <c r="T50" s="119"/>
      <c r="U50" s="117"/>
      <c r="V50" s="117">
        <f t="shared" si="51"/>
        <v>231744000</v>
      </c>
      <c r="W50" s="117">
        <f t="shared" si="52"/>
        <v>2268256000</v>
      </c>
      <c r="X50" s="117">
        <f t="shared" si="53"/>
        <v>0</v>
      </c>
      <c r="Y50" s="117">
        <f t="shared" si="54"/>
        <v>2268256000</v>
      </c>
      <c r="Z50" s="204">
        <f t="shared" si="14"/>
        <v>0</v>
      </c>
    </row>
    <row r="51" spans="1:26" s="113" customFormat="1" ht="24">
      <c r="A51" s="114" t="s">
        <v>468</v>
      </c>
      <c r="B51" s="115" t="s">
        <v>537</v>
      </c>
      <c r="C51" s="116" t="s">
        <v>457</v>
      </c>
      <c r="D51" s="116" t="s">
        <v>538</v>
      </c>
      <c r="E51" s="117">
        <v>992000000</v>
      </c>
      <c r="F51" s="117"/>
      <c r="G51" s="117"/>
      <c r="H51" s="117"/>
      <c r="I51" s="117"/>
      <c r="J51" s="118">
        <f t="shared" si="47"/>
        <v>0</v>
      </c>
      <c r="K51" s="117"/>
      <c r="L51" s="117">
        <f t="shared" si="48"/>
        <v>0</v>
      </c>
      <c r="M51" s="117"/>
      <c r="N51" s="117"/>
      <c r="O51" s="117"/>
      <c r="P51" s="117">
        <f t="shared" si="49"/>
        <v>0</v>
      </c>
      <c r="Q51" s="117">
        <v>992000000</v>
      </c>
      <c r="R51" s="117">
        <f t="shared" si="50"/>
        <v>963864000</v>
      </c>
      <c r="S51" s="117">
        <v>963864000</v>
      </c>
      <c r="T51" s="119"/>
      <c r="U51" s="117"/>
      <c r="V51" s="117">
        <f t="shared" si="51"/>
        <v>28136000</v>
      </c>
      <c r="W51" s="117">
        <f t="shared" si="52"/>
        <v>963864000</v>
      </c>
      <c r="X51" s="117">
        <f t="shared" si="53"/>
        <v>0</v>
      </c>
      <c r="Y51" s="117">
        <f t="shared" si="54"/>
        <v>963864000</v>
      </c>
      <c r="Z51" s="204">
        <f t="shared" si="14"/>
        <v>0</v>
      </c>
    </row>
    <row r="52" spans="1:26" s="113" customFormat="1" ht="24">
      <c r="A52" s="114" t="s">
        <v>471</v>
      </c>
      <c r="B52" s="115" t="s">
        <v>539</v>
      </c>
      <c r="C52" s="116" t="s">
        <v>457</v>
      </c>
      <c r="D52" s="116" t="s">
        <v>540</v>
      </c>
      <c r="E52" s="117">
        <v>2997000000</v>
      </c>
      <c r="F52" s="117"/>
      <c r="G52" s="117"/>
      <c r="H52" s="117"/>
      <c r="I52" s="117"/>
      <c r="J52" s="118">
        <f t="shared" si="47"/>
        <v>0</v>
      </c>
      <c r="K52" s="117"/>
      <c r="L52" s="117">
        <f t="shared" si="48"/>
        <v>0</v>
      </c>
      <c r="M52" s="117"/>
      <c r="N52" s="117"/>
      <c r="O52" s="117"/>
      <c r="P52" s="117">
        <f t="shared" si="49"/>
        <v>0</v>
      </c>
      <c r="Q52" s="117">
        <v>2500000000</v>
      </c>
      <c r="R52" s="117">
        <f t="shared" si="50"/>
        <v>2500000000</v>
      </c>
      <c r="S52" s="117">
        <v>2283000000</v>
      </c>
      <c r="T52" s="119">
        <v>217000000</v>
      </c>
      <c r="U52" s="117"/>
      <c r="V52" s="117">
        <f t="shared" si="51"/>
        <v>0</v>
      </c>
      <c r="W52" s="117">
        <f t="shared" si="52"/>
        <v>2283000000</v>
      </c>
      <c r="X52" s="117">
        <f t="shared" si="53"/>
        <v>217000000</v>
      </c>
      <c r="Y52" s="117">
        <f t="shared" si="54"/>
        <v>2500000000</v>
      </c>
      <c r="Z52" s="204">
        <f t="shared" si="14"/>
        <v>0</v>
      </c>
    </row>
    <row r="53" spans="1:26" s="113" customFormat="1" ht="24">
      <c r="A53" s="114" t="s">
        <v>474</v>
      </c>
      <c r="B53" s="115" t="s">
        <v>541</v>
      </c>
      <c r="C53" s="116" t="s">
        <v>457</v>
      </c>
      <c r="D53" s="116" t="s">
        <v>542</v>
      </c>
      <c r="E53" s="117">
        <v>482000000</v>
      </c>
      <c r="F53" s="117"/>
      <c r="G53" s="117"/>
      <c r="H53" s="117"/>
      <c r="I53" s="117"/>
      <c r="J53" s="118">
        <f t="shared" si="47"/>
        <v>0</v>
      </c>
      <c r="K53" s="117"/>
      <c r="L53" s="117">
        <f t="shared" si="48"/>
        <v>0</v>
      </c>
      <c r="M53" s="117"/>
      <c r="N53" s="117"/>
      <c r="O53" s="117"/>
      <c r="P53" s="117">
        <f t="shared" si="49"/>
        <v>0</v>
      </c>
      <c r="Q53" s="117">
        <v>450000000</v>
      </c>
      <c r="R53" s="117">
        <f t="shared" si="50"/>
        <v>450000000</v>
      </c>
      <c r="S53" s="117">
        <v>450000000</v>
      </c>
      <c r="T53" s="119"/>
      <c r="U53" s="117"/>
      <c r="V53" s="117">
        <f t="shared" si="51"/>
        <v>0</v>
      </c>
      <c r="W53" s="117">
        <f t="shared" si="52"/>
        <v>450000000</v>
      </c>
      <c r="X53" s="117">
        <f t="shared" si="53"/>
        <v>0</v>
      </c>
      <c r="Y53" s="117">
        <f t="shared" si="54"/>
        <v>450000000</v>
      </c>
      <c r="Z53" s="204">
        <f t="shared" si="14"/>
        <v>0</v>
      </c>
    </row>
    <row r="54" spans="1:26" s="113" customFormat="1" ht="24">
      <c r="A54" s="114" t="s">
        <v>477</v>
      </c>
      <c r="B54" s="115" t="s">
        <v>543</v>
      </c>
      <c r="C54" s="116" t="s">
        <v>457</v>
      </c>
      <c r="D54" s="116" t="s">
        <v>544</v>
      </c>
      <c r="E54" s="117">
        <v>6888000000</v>
      </c>
      <c r="F54" s="117"/>
      <c r="G54" s="117"/>
      <c r="H54" s="117"/>
      <c r="I54" s="117"/>
      <c r="J54" s="118">
        <f t="shared" si="47"/>
        <v>0</v>
      </c>
      <c r="K54" s="117"/>
      <c r="L54" s="117">
        <f t="shared" si="48"/>
        <v>0</v>
      </c>
      <c r="M54" s="117"/>
      <c r="N54" s="117"/>
      <c r="O54" s="117"/>
      <c r="P54" s="117">
        <f t="shared" si="49"/>
        <v>0</v>
      </c>
      <c r="Q54" s="117">
        <v>4000000000</v>
      </c>
      <c r="R54" s="117">
        <f t="shared" si="50"/>
        <v>4000000000</v>
      </c>
      <c r="S54" s="117">
        <v>4000000000</v>
      </c>
      <c r="T54" s="119"/>
      <c r="U54" s="117"/>
      <c r="V54" s="117">
        <f t="shared" si="51"/>
        <v>0</v>
      </c>
      <c r="W54" s="117">
        <f t="shared" si="52"/>
        <v>4000000000</v>
      </c>
      <c r="X54" s="117">
        <f t="shared" si="53"/>
        <v>0</v>
      </c>
      <c r="Y54" s="117">
        <f t="shared" si="54"/>
        <v>4000000000</v>
      </c>
      <c r="Z54" s="204">
        <f t="shared" si="14"/>
        <v>0</v>
      </c>
    </row>
    <row r="55" spans="1:26" s="113" customFormat="1" ht="24">
      <c r="A55" s="114" t="s">
        <v>480</v>
      </c>
      <c r="B55" s="115" t="s">
        <v>545</v>
      </c>
      <c r="C55" s="116" t="s">
        <v>457</v>
      </c>
      <c r="D55" s="116" t="s">
        <v>546</v>
      </c>
      <c r="E55" s="117">
        <v>4988000000</v>
      </c>
      <c r="F55" s="117"/>
      <c r="G55" s="117"/>
      <c r="H55" s="117"/>
      <c r="I55" s="117"/>
      <c r="J55" s="118">
        <f t="shared" si="47"/>
        <v>0</v>
      </c>
      <c r="K55" s="117"/>
      <c r="L55" s="117">
        <f t="shared" si="48"/>
        <v>0</v>
      </c>
      <c r="M55" s="117"/>
      <c r="N55" s="117"/>
      <c r="O55" s="117"/>
      <c r="P55" s="117">
        <f t="shared" si="49"/>
        <v>0</v>
      </c>
      <c r="Q55" s="117">
        <v>1300000000</v>
      </c>
      <c r="R55" s="117">
        <f t="shared" si="50"/>
        <v>1264410000</v>
      </c>
      <c r="S55" s="117">
        <v>161978000</v>
      </c>
      <c r="T55" s="119">
        <v>1102432000</v>
      </c>
      <c r="U55" s="117"/>
      <c r="V55" s="117">
        <f t="shared" si="51"/>
        <v>35590000</v>
      </c>
      <c r="W55" s="117">
        <f t="shared" si="52"/>
        <v>161978000</v>
      </c>
      <c r="X55" s="117">
        <f t="shared" si="53"/>
        <v>1102432000</v>
      </c>
      <c r="Y55" s="117">
        <f t="shared" si="54"/>
        <v>1264410000</v>
      </c>
      <c r="Z55" s="204">
        <f t="shared" si="14"/>
        <v>0</v>
      </c>
    </row>
    <row r="56" spans="1:26" s="113" customFormat="1" ht="24">
      <c r="A56" s="114" t="s">
        <v>483</v>
      </c>
      <c r="B56" s="115" t="s">
        <v>547</v>
      </c>
      <c r="C56" s="116" t="s">
        <v>457</v>
      </c>
      <c r="D56" s="116" t="s">
        <v>548</v>
      </c>
      <c r="E56" s="117">
        <v>1473000000</v>
      </c>
      <c r="F56" s="117"/>
      <c r="G56" s="117"/>
      <c r="H56" s="117"/>
      <c r="I56" s="117"/>
      <c r="J56" s="118">
        <f t="shared" si="47"/>
        <v>0</v>
      </c>
      <c r="K56" s="117"/>
      <c r="L56" s="117">
        <f t="shared" si="48"/>
        <v>0</v>
      </c>
      <c r="M56" s="117"/>
      <c r="N56" s="117"/>
      <c r="O56" s="117"/>
      <c r="P56" s="117">
        <f t="shared" si="49"/>
        <v>0</v>
      </c>
      <c r="Q56" s="117">
        <v>1400000000</v>
      </c>
      <c r="R56" s="117">
        <f t="shared" si="50"/>
        <v>1014250077</v>
      </c>
      <c r="S56" s="117">
        <v>1014250077</v>
      </c>
      <c r="T56" s="119"/>
      <c r="U56" s="117"/>
      <c r="V56" s="117">
        <f t="shared" si="51"/>
        <v>385749923</v>
      </c>
      <c r="W56" s="117">
        <f t="shared" si="52"/>
        <v>1014250077</v>
      </c>
      <c r="X56" s="117">
        <f t="shared" si="53"/>
        <v>0</v>
      </c>
      <c r="Y56" s="117">
        <f t="shared" si="54"/>
        <v>1014250077</v>
      </c>
      <c r="Z56" s="204">
        <f t="shared" si="14"/>
        <v>0</v>
      </c>
    </row>
    <row r="57" spans="1:26" s="113" customFormat="1" ht="24">
      <c r="A57" s="114" t="s">
        <v>486</v>
      </c>
      <c r="B57" s="115" t="s">
        <v>549</v>
      </c>
      <c r="C57" s="116" t="s">
        <v>457</v>
      </c>
      <c r="D57" s="116" t="s">
        <v>550</v>
      </c>
      <c r="E57" s="117">
        <v>14848000000</v>
      </c>
      <c r="F57" s="117"/>
      <c r="G57" s="117"/>
      <c r="H57" s="117"/>
      <c r="I57" s="117"/>
      <c r="J57" s="118">
        <f t="shared" si="47"/>
        <v>0</v>
      </c>
      <c r="K57" s="117"/>
      <c r="L57" s="117">
        <f t="shared" si="48"/>
        <v>0</v>
      </c>
      <c r="M57" s="117"/>
      <c r="N57" s="117"/>
      <c r="O57" s="117"/>
      <c r="P57" s="117">
        <f t="shared" si="49"/>
        <v>0</v>
      </c>
      <c r="Q57" s="117">
        <v>432000000</v>
      </c>
      <c r="R57" s="117">
        <f t="shared" si="50"/>
        <v>431035000</v>
      </c>
      <c r="S57" s="117">
        <v>431035000</v>
      </c>
      <c r="T57" s="119"/>
      <c r="U57" s="117"/>
      <c r="V57" s="117">
        <f t="shared" si="51"/>
        <v>965000</v>
      </c>
      <c r="W57" s="117">
        <f t="shared" si="52"/>
        <v>431035000</v>
      </c>
      <c r="X57" s="117">
        <f t="shared" si="53"/>
        <v>0</v>
      </c>
      <c r="Y57" s="117">
        <f t="shared" si="54"/>
        <v>431035000</v>
      </c>
      <c r="Z57" s="204">
        <f t="shared" si="14"/>
        <v>0</v>
      </c>
    </row>
    <row r="58" spans="1:26" s="113" customFormat="1" ht="24">
      <c r="A58" s="114" t="s">
        <v>489</v>
      </c>
      <c r="B58" s="115" t="s">
        <v>551</v>
      </c>
      <c r="C58" s="116" t="s">
        <v>457</v>
      </c>
      <c r="D58" s="116" t="s">
        <v>552</v>
      </c>
      <c r="E58" s="117">
        <v>12959000000</v>
      </c>
      <c r="F58" s="117"/>
      <c r="G58" s="117"/>
      <c r="H58" s="117"/>
      <c r="I58" s="117"/>
      <c r="J58" s="118">
        <f t="shared" si="47"/>
        <v>0</v>
      </c>
      <c r="K58" s="117"/>
      <c r="L58" s="117">
        <f t="shared" si="48"/>
        <v>0</v>
      </c>
      <c r="M58" s="117"/>
      <c r="N58" s="117"/>
      <c r="O58" s="117"/>
      <c r="P58" s="117">
        <f t="shared" si="49"/>
        <v>0</v>
      </c>
      <c r="Q58" s="117">
        <v>600000000</v>
      </c>
      <c r="R58" s="117">
        <f t="shared" si="50"/>
        <v>596176135</v>
      </c>
      <c r="S58" s="117">
        <v>596176135</v>
      </c>
      <c r="T58" s="119"/>
      <c r="U58" s="117"/>
      <c r="V58" s="117">
        <f t="shared" si="51"/>
        <v>3823865</v>
      </c>
      <c r="W58" s="117">
        <f t="shared" si="52"/>
        <v>596176135</v>
      </c>
      <c r="X58" s="117">
        <f t="shared" si="53"/>
        <v>0</v>
      </c>
      <c r="Y58" s="117">
        <f t="shared" si="54"/>
        <v>596176135</v>
      </c>
      <c r="Z58" s="204">
        <f t="shared" si="14"/>
        <v>0</v>
      </c>
    </row>
    <row r="59" spans="1:26" s="113" customFormat="1" ht="24">
      <c r="A59" s="114" t="s">
        <v>553</v>
      </c>
      <c r="B59" s="115" t="s">
        <v>554</v>
      </c>
      <c r="C59" s="116" t="s">
        <v>457</v>
      </c>
      <c r="D59" s="116" t="s">
        <v>555</v>
      </c>
      <c r="E59" s="117">
        <v>3833000000</v>
      </c>
      <c r="F59" s="117"/>
      <c r="G59" s="117"/>
      <c r="H59" s="117"/>
      <c r="I59" s="117"/>
      <c r="J59" s="118">
        <f t="shared" si="47"/>
        <v>0</v>
      </c>
      <c r="K59" s="117"/>
      <c r="L59" s="117">
        <f t="shared" si="48"/>
        <v>0</v>
      </c>
      <c r="M59" s="117"/>
      <c r="N59" s="117"/>
      <c r="O59" s="117"/>
      <c r="P59" s="117">
        <f t="shared" si="49"/>
        <v>0</v>
      </c>
      <c r="Q59" s="117">
        <v>2000000000</v>
      </c>
      <c r="R59" s="117">
        <f t="shared" si="50"/>
        <v>2000000000</v>
      </c>
      <c r="S59" s="117">
        <v>1740350180</v>
      </c>
      <c r="T59" s="119">
        <v>259649820</v>
      </c>
      <c r="U59" s="117"/>
      <c r="V59" s="117">
        <f t="shared" si="51"/>
        <v>0</v>
      </c>
      <c r="W59" s="117">
        <f t="shared" si="52"/>
        <v>1740350180</v>
      </c>
      <c r="X59" s="117">
        <f t="shared" si="53"/>
        <v>259649820</v>
      </c>
      <c r="Y59" s="117">
        <f t="shared" si="54"/>
        <v>2000000000</v>
      </c>
      <c r="Z59" s="204">
        <f t="shared" si="14"/>
        <v>0</v>
      </c>
    </row>
    <row r="60" spans="1:26" s="113" customFormat="1" ht="24">
      <c r="A60" s="114" t="s">
        <v>556</v>
      </c>
      <c r="B60" s="115" t="s">
        <v>557</v>
      </c>
      <c r="C60" s="116" t="s">
        <v>457</v>
      </c>
      <c r="D60" s="116" t="s">
        <v>558</v>
      </c>
      <c r="E60" s="117">
        <v>3404000000</v>
      </c>
      <c r="F60" s="117"/>
      <c r="G60" s="117"/>
      <c r="H60" s="117"/>
      <c r="I60" s="117"/>
      <c r="J60" s="118">
        <f t="shared" si="47"/>
        <v>0</v>
      </c>
      <c r="K60" s="117"/>
      <c r="L60" s="117">
        <f t="shared" si="48"/>
        <v>0</v>
      </c>
      <c r="M60" s="117"/>
      <c r="N60" s="117"/>
      <c r="O60" s="117"/>
      <c r="P60" s="117">
        <f t="shared" si="49"/>
        <v>0</v>
      </c>
      <c r="Q60" s="117">
        <v>2500000000</v>
      </c>
      <c r="R60" s="117">
        <f t="shared" si="50"/>
        <v>2500000000</v>
      </c>
      <c r="S60" s="117">
        <v>2500000000</v>
      </c>
      <c r="T60" s="119"/>
      <c r="U60" s="117"/>
      <c r="V60" s="117">
        <f t="shared" si="51"/>
        <v>0</v>
      </c>
      <c r="W60" s="117">
        <f t="shared" si="52"/>
        <v>2500000000</v>
      </c>
      <c r="X60" s="117">
        <f t="shared" si="53"/>
        <v>0</v>
      </c>
      <c r="Y60" s="117">
        <f t="shared" si="54"/>
        <v>2500000000</v>
      </c>
      <c r="Z60" s="204">
        <f t="shared" si="14"/>
        <v>0</v>
      </c>
    </row>
    <row r="61" spans="1:26" s="113" customFormat="1" ht="24">
      <c r="A61" s="114" t="s">
        <v>559</v>
      </c>
      <c r="B61" s="115" t="s">
        <v>560</v>
      </c>
      <c r="C61" s="116" t="s">
        <v>457</v>
      </c>
      <c r="D61" s="116" t="s">
        <v>561</v>
      </c>
      <c r="E61" s="117">
        <v>979571000</v>
      </c>
      <c r="F61" s="117"/>
      <c r="G61" s="117"/>
      <c r="H61" s="117"/>
      <c r="I61" s="117"/>
      <c r="J61" s="118">
        <f t="shared" si="47"/>
        <v>0</v>
      </c>
      <c r="K61" s="117"/>
      <c r="L61" s="117">
        <f t="shared" si="48"/>
        <v>0</v>
      </c>
      <c r="M61" s="117"/>
      <c r="N61" s="117"/>
      <c r="O61" s="117"/>
      <c r="P61" s="117">
        <f t="shared" si="49"/>
        <v>0</v>
      </c>
      <c r="Q61" s="117">
        <v>980000000</v>
      </c>
      <c r="R61" s="117">
        <f t="shared" si="50"/>
        <v>879138000</v>
      </c>
      <c r="S61" s="117">
        <v>879138000</v>
      </c>
      <c r="T61" s="119"/>
      <c r="U61" s="117"/>
      <c r="V61" s="117">
        <f t="shared" si="51"/>
        <v>100862000</v>
      </c>
      <c r="W61" s="117">
        <f t="shared" si="52"/>
        <v>879138000</v>
      </c>
      <c r="X61" s="117">
        <f t="shared" si="53"/>
        <v>0</v>
      </c>
      <c r="Y61" s="117">
        <f t="shared" si="54"/>
        <v>879138000</v>
      </c>
      <c r="Z61" s="204">
        <f t="shared" si="14"/>
        <v>0</v>
      </c>
    </row>
    <row r="62" spans="1:26" s="113" customFormat="1" ht="24">
      <c r="A62" s="114" t="s">
        <v>562</v>
      </c>
      <c r="B62" s="115" t="s">
        <v>563</v>
      </c>
      <c r="C62" s="116" t="s">
        <v>457</v>
      </c>
      <c r="D62" s="116" t="s">
        <v>564</v>
      </c>
      <c r="E62" s="117">
        <v>8945000000</v>
      </c>
      <c r="F62" s="117"/>
      <c r="G62" s="117"/>
      <c r="H62" s="117"/>
      <c r="I62" s="117"/>
      <c r="J62" s="118">
        <f t="shared" si="47"/>
        <v>0</v>
      </c>
      <c r="K62" s="117"/>
      <c r="L62" s="117">
        <f t="shared" si="48"/>
        <v>0</v>
      </c>
      <c r="M62" s="117"/>
      <c r="N62" s="117"/>
      <c r="O62" s="117"/>
      <c r="P62" s="117">
        <f t="shared" si="49"/>
        <v>0</v>
      </c>
      <c r="Q62" s="117">
        <v>2000000000</v>
      </c>
      <c r="R62" s="117">
        <f t="shared" si="50"/>
        <v>1973300000</v>
      </c>
      <c r="S62" s="117">
        <v>1173300000</v>
      </c>
      <c r="T62" s="119">
        <v>800000000</v>
      </c>
      <c r="U62" s="117"/>
      <c r="V62" s="117">
        <f t="shared" si="51"/>
        <v>26700000</v>
      </c>
      <c r="W62" s="117">
        <f t="shared" si="52"/>
        <v>1173300000</v>
      </c>
      <c r="X62" s="117">
        <f t="shared" si="53"/>
        <v>800000000</v>
      </c>
      <c r="Y62" s="117">
        <f t="shared" si="54"/>
        <v>1973300000</v>
      </c>
      <c r="Z62" s="204">
        <f t="shared" si="14"/>
        <v>0</v>
      </c>
    </row>
    <row r="63" spans="1:26" s="113" customFormat="1">
      <c r="A63" s="114" t="s">
        <v>565</v>
      </c>
      <c r="B63" s="115" t="s">
        <v>566</v>
      </c>
      <c r="C63" s="116" t="s">
        <v>457</v>
      </c>
      <c r="D63" s="116" t="s">
        <v>567</v>
      </c>
      <c r="E63" s="117">
        <v>10592859546</v>
      </c>
      <c r="F63" s="117">
        <v>2870396000</v>
      </c>
      <c r="G63" s="117"/>
      <c r="H63" s="117"/>
      <c r="I63" s="117"/>
      <c r="J63" s="118">
        <f t="shared" si="47"/>
        <v>0</v>
      </c>
      <c r="K63" s="117"/>
      <c r="L63" s="117">
        <f t="shared" si="48"/>
        <v>0</v>
      </c>
      <c r="M63" s="117"/>
      <c r="N63" s="117"/>
      <c r="O63" s="117"/>
      <c r="P63" s="117">
        <f t="shared" si="49"/>
        <v>0</v>
      </c>
      <c r="Q63" s="117">
        <v>6600000000</v>
      </c>
      <c r="R63" s="117">
        <f t="shared" si="50"/>
        <v>6560770465</v>
      </c>
      <c r="S63" s="117">
        <v>6184770465</v>
      </c>
      <c r="T63" s="119">
        <v>376000000</v>
      </c>
      <c r="U63" s="117"/>
      <c r="V63" s="117">
        <f t="shared" si="51"/>
        <v>39229535</v>
      </c>
      <c r="W63" s="117">
        <f t="shared" si="52"/>
        <v>6184770465</v>
      </c>
      <c r="X63" s="117">
        <f t="shared" si="53"/>
        <v>376000000</v>
      </c>
      <c r="Y63" s="117">
        <f t="shared" si="54"/>
        <v>9431166465</v>
      </c>
      <c r="Z63" s="204">
        <f t="shared" si="14"/>
        <v>0</v>
      </c>
    </row>
    <row r="64" spans="1:26" s="113" customFormat="1">
      <c r="A64" s="114" t="s">
        <v>568</v>
      </c>
      <c r="B64" s="115" t="s">
        <v>569</v>
      </c>
      <c r="C64" s="116" t="s">
        <v>457</v>
      </c>
      <c r="D64" s="116" t="s">
        <v>570</v>
      </c>
      <c r="E64" s="117">
        <v>9496000000</v>
      </c>
      <c r="F64" s="117"/>
      <c r="G64" s="117"/>
      <c r="H64" s="117"/>
      <c r="I64" s="117"/>
      <c r="J64" s="118">
        <f t="shared" si="47"/>
        <v>0</v>
      </c>
      <c r="K64" s="117"/>
      <c r="L64" s="117">
        <f t="shared" si="48"/>
        <v>0</v>
      </c>
      <c r="M64" s="117"/>
      <c r="N64" s="117"/>
      <c r="O64" s="117"/>
      <c r="P64" s="117">
        <f t="shared" si="49"/>
        <v>0</v>
      </c>
      <c r="Q64" s="117">
        <v>4000000000</v>
      </c>
      <c r="R64" s="117">
        <f t="shared" si="50"/>
        <v>4000000000</v>
      </c>
      <c r="S64" s="117">
        <v>1031789000</v>
      </c>
      <c r="T64" s="119">
        <v>2968211000</v>
      </c>
      <c r="U64" s="117"/>
      <c r="V64" s="117">
        <f t="shared" si="51"/>
        <v>0</v>
      </c>
      <c r="W64" s="117">
        <f t="shared" si="52"/>
        <v>1031789000</v>
      </c>
      <c r="X64" s="117">
        <f t="shared" si="53"/>
        <v>2968211000</v>
      </c>
      <c r="Y64" s="117">
        <f t="shared" si="54"/>
        <v>4000000000</v>
      </c>
      <c r="Z64" s="204">
        <f t="shared" si="14"/>
        <v>0</v>
      </c>
    </row>
    <row r="65" spans="1:26" s="113" customFormat="1" ht="24">
      <c r="A65" s="114" t="s">
        <v>571</v>
      </c>
      <c r="B65" s="115" t="s">
        <v>572</v>
      </c>
      <c r="C65" s="116" t="s">
        <v>457</v>
      </c>
      <c r="D65" s="116" t="s">
        <v>573</v>
      </c>
      <c r="E65" s="117">
        <v>3457000000</v>
      </c>
      <c r="F65" s="117"/>
      <c r="G65" s="117"/>
      <c r="H65" s="117"/>
      <c r="I65" s="117"/>
      <c r="J65" s="118">
        <f t="shared" si="47"/>
        <v>0</v>
      </c>
      <c r="K65" s="117"/>
      <c r="L65" s="117">
        <f t="shared" si="48"/>
        <v>0</v>
      </c>
      <c r="M65" s="117"/>
      <c r="N65" s="117"/>
      <c r="O65" s="117"/>
      <c r="P65" s="117">
        <f t="shared" si="49"/>
        <v>0</v>
      </c>
      <c r="Q65" s="117">
        <v>3000000000</v>
      </c>
      <c r="R65" s="117">
        <f t="shared" si="50"/>
        <v>2085604000</v>
      </c>
      <c r="S65" s="117">
        <v>2085604000</v>
      </c>
      <c r="T65" s="119"/>
      <c r="U65" s="117"/>
      <c r="V65" s="117">
        <f t="shared" si="51"/>
        <v>914396000</v>
      </c>
      <c r="W65" s="117">
        <f t="shared" si="52"/>
        <v>2085604000</v>
      </c>
      <c r="X65" s="117">
        <f t="shared" si="53"/>
        <v>0</v>
      </c>
      <c r="Y65" s="117">
        <f t="shared" si="54"/>
        <v>2085604000</v>
      </c>
      <c r="Z65" s="204">
        <f t="shared" si="14"/>
        <v>0</v>
      </c>
    </row>
    <row r="66" spans="1:26" s="113" customFormat="1">
      <c r="A66" s="114" t="s">
        <v>574</v>
      </c>
      <c r="B66" s="115" t="s">
        <v>575</v>
      </c>
      <c r="C66" s="116" t="s">
        <v>457</v>
      </c>
      <c r="D66" s="116" t="s">
        <v>576</v>
      </c>
      <c r="E66" s="117">
        <v>14690000000</v>
      </c>
      <c r="F66" s="117"/>
      <c r="G66" s="117"/>
      <c r="H66" s="117"/>
      <c r="I66" s="117"/>
      <c r="J66" s="118">
        <f t="shared" si="47"/>
        <v>0</v>
      </c>
      <c r="K66" s="117"/>
      <c r="L66" s="117">
        <f t="shared" si="48"/>
        <v>0</v>
      </c>
      <c r="M66" s="117"/>
      <c r="N66" s="117"/>
      <c r="O66" s="117"/>
      <c r="P66" s="117">
        <f t="shared" si="49"/>
        <v>0</v>
      </c>
      <c r="Q66" s="117">
        <v>6000000000</v>
      </c>
      <c r="R66" s="117">
        <f t="shared" si="50"/>
        <v>6000000000</v>
      </c>
      <c r="S66" s="117">
        <v>3919792000</v>
      </c>
      <c r="T66" s="119">
        <v>2080208000</v>
      </c>
      <c r="U66" s="117"/>
      <c r="V66" s="117">
        <f t="shared" si="51"/>
        <v>0</v>
      </c>
      <c r="W66" s="117">
        <f t="shared" si="52"/>
        <v>3919792000</v>
      </c>
      <c r="X66" s="117">
        <f t="shared" si="53"/>
        <v>2080208000</v>
      </c>
      <c r="Y66" s="117">
        <f t="shared" si="54"/>
        <v>6000000000</v>
      </c>
      <c r="Z66" s="204">
        <f t="shared" si="14"/>
        <v>0</v>
      </c>
    </row>
    <row r="67" spans="1:26" s="113" customFormat="1">
      <c r="A67" s="114" t="s">
        <v>577</v>
      </c>
      <c r="B67" s="115" t="s">
        <v>578</v>
      </c>
      <c r="C67" s="116" t="s">
        <v>457</v>
      </c>
      <c r="D67" s="116" t="s">
        <v>579</v>
      </c>
      <c r="E67" s="117">
        <v>13875000000</v>
      </c>
      <c r="F67" s="117"/>
      <c r="G67" s="117"/>
      <c r="H67" s="117"/>
      <c r="I67" s="117"/>
      <c r="J67" s="118">
        <f t="shared" si="47"/>
        <v>0</v>
      </c>
      <c r="K67" s="117"/>
      <c r="L67" s="117">
        <f t="shared" si="48"/>
        <v>0</v>
      </c>
      <c r="M67" s="117"/>
      <c r="N67" s="117"/>
      <c r="O67" s="117"/>
      <c r="P67" s="117">
        <f t="shared" si="49"/>
        <v>0</v>
      </c>
      <c r="Q67" s="117">
        <v>5700000000</v>
      </c>
      <c r="R67" s="117">
        <f t="shared" si="50"/>
        <v>5700000000</v>
      </c>
      <c r="S67" s="117">
        <v>4226397000</v>
      </c>
      <c r="T67" s="119">
        <v>1473603000</v>
      </c>
      <c r="U67" s="117"/>
      <c r="V67" s="117">
        <f t="shared" si="51"/>
        <v>0</v>
      </c>
      <c r="W67" s="117">
        <f t="shared" si="52"/>
        <v>4226397000</v>
      </c>
      <c r="X67" s="117">
        <f t="shared" si="53"/>
        <v>1473603000</v>
      </c>
      <c r="Y67" s="117">
        <f t="shared" si="54"/>
        <v>5700000000</v>
      </c>
      <c r="Z67" s="204">
        <f t="shared" si="14"/>
        <v>0</v>
      </c>
    </row>
    <row r="68" spans="1:26" s="113" customFormat="1">
      <c r="A68" s="109" t="s">
        <v>24</v>
      </c>
      <c r="B68" s="110" t="s">
        <v>580</v>
      </c>
      <c r="C68" s="111"/>
      <c r="D68" s="109"/>
      <c r="E68" s="112">
        <f t="shared" ref="E68:P68" si="55">SUM(E69:E83)</f>
        <v>202244593514</v>
      </c>
      <c r="F68" s="112">
        <f t="shared" si="55"/>
        <v>19522536980</v>
      </c>
      <c r="G68" s="112">
        <f t="shared" si="55"/>
        <v>775873545</v>
      </c>
      <c r="H68" s="112">
        <f t="shared" si="55"/>
        <v>0</v>
      </c>
      <c r="I68" s="112">
        <f t="shared" si="55"/>
        <v>288000000</v>
      </c>
      <c r="J68" s="112">
        <f t="shared" si="55"/>
        <v>487873545</v>
      </c>
      <c r="K68" s="112">
        <f t="shared" si="55"/>
        <v>0</v>
      </c>
      <c r="L68" s="112">
        <f t="shared" si="55"/>
        <v>0</v>
      </c>
      <c r="M68" s="112">
        <f t="shared" si="55"/>
        <v>0</v>
      </c>
      <c r="N68" s="112">
        <f t="shared" si="55"/>
        <v>0</v>
      </c>
      <c r="O68" s="112">
        <f t="shared" si="55"/>
        <v>0</v>
      </c>
      <c r="P68" s="112">
        <f t="shared" si="55"/>
        <v>0</v>
      </c>
      <c r="Q68" s="112">
        <f>SUM(Q69:Q83)</f>
        <v>97196000000</v>
      </c>
      <c r="R68" s="112">
        <f t="shared" ref="R68:Y68" si="56">SUM(R69:R83)</f>
        <v>96211687545</v>
      </c>
      <c r="S68" s="112">
        <f t="shared" si="56"/>
        <v>88924600545</v>
      </c>
      <c r="T68" s="112">
        <f t="shared" si="56"/>
        <v>7287087000</v>
      </c>
      <c r="U68" s="112">
        <f t="shared" si="56"/>
        <v>0</v>
      </c>
      <c r="V68" s="112">
        <f t="shared" si="56"/>
        <v>984312455</v>
      </c>
      <c r="W68" s="112">
        <f t="shared" si="56"/>
        <v>89212600545</v>
      </c>
      <c r="X68" s="112">
        <f t="shared" si="56"/>
        <v>7774960545</v>
      </c>
      <c r="Y68" s="112">
        <f t="shared" si="56"/>
        <v>115734224525</v>
      </c>
      <c r="Z68" s="204">
        <f t="shared" si="14"/>
        <v>0</v>
      </c>
    </row>
    <row r="69" spans="1:26" s="113" customFormat="1" ht="24">
      <c r="A69" s="114" t="s">
        <v>455</v>
      </c>
      <c r="B69" s="115" t="s">
        <v>581</v>
      </c>
      <c r="C69" s="116" t="s">
        <v>457</v>
      </c>
      <c r="D69" s="116" t="s">
        <v>582</v>
      </c>
      <c r="E69" s="117">
        <v>60469869000</v>
      </c>
      <c r="F69" s="117">
        <v>16000000000</v>
      </c>
      <c r="G69" s="125">
        <v>775873545</v>
      </c>
      <c r="H69" s="117"/>
      <c r="I69" s="117">
        <v>288000000</v>
      </c>
      <c r="J69" s="118">
        <f t="shared" ref="J69:J83" si="57">G69-H69-I69+N69</f>
        <v>487873545</v>
      </c>
      <c r="K69" s="117"/>
      <c r="L69" s="117">
        <f t="shared" ref="L69:L83" si="58">SUM(M69:N69)</f>
        <v>0</v>
      </c>
      <c r="M69" s="117"/>
      <c r="N69" s="117"/>
      <c r="O69" s="117"/>
      <c r="P69" s="117">
        <f t="shared" ref="P69:P83" si="59">K69-L69-O69</f>
        <v>0</v>
      </c>
      <c r="Q69" s="117">
        <v>34312000000</v>
      </c>
      <c r="R69" s="117">
        <f t="shared" ref="R69:R83" si="60">SUM(S69:T69)</f>
        <v>34312000000</v>
      </c>
      <c r="S69" s="117">
        <v>34312000000</v>
      </c>
      <c r="T69" s="117"/>
      <c r="U69" s="117"/>
      <c r="V69" s="117">
        <f t="shared" ref="V69:V83" si="61">Q69-R69-U69</f>
        <v>0</v>
      </c>
      <c r="W69" s="117">
        <f t="shared" ref="W69:W83" si="62">SUM(I69,M69,S69)</f>
        <v>34600000000</v>
      </c>
      <c r="X69" s="117">
        <f t="shared" ref="X69:X83" si="63">G69-H69-I69+N69+T69</f>
        <v>487873545</v>
      </c>
      <c r="Y69" s="117">
        <f t="shared" ref="Y69:Y83" si="64">F69+L69+R69</f>
        <v>50312000000</v>
      </c>
      <c r="Z69" s="204">
        <f t="shared" si="14"/>
        <v>0</v>
      </c>
    </row>
    <row r="70" spans="1:26" s="113" customFormat="1" ht="24">
      <c r="A70" s="114" t="s">
        <v>459</v>
      </c>
      <c r="B70" s="115" t="s">
        <v>583</v>
      </c>
      <c r="C70" s="116" t="s">
        <v>457</v>
      </c>
      <c r="D70" s="116" t="s">
        <v>584</v>
      </c>
      <c r="E70" s="117">
        <v>40000000000</v>
      </c>
      <c r="F70" s="117"/>
      <c r="G70" s="117"/>
      <c r="H70" s="117"/>
      <c r="I70" s="117"/>
      <c r="J70" s="118">
        <f t="shared" si="57"/>
        <v>0</v>
      </c>
      <c r="K70" s="117"/>
      <c r="L70" s="117">
        <f t="shared" si="58"/>
        <v>0</v>
      </c>
      <c r="M70" s="117"/>
      <c r="N70" s="117"/>
      <c r="O70" s="117"/>
      <c r="P70" s="117">
        <f t="shared" si="59"/>
        <v>0</v>
      </c>
      <c r="Q70" s="117">
        <v>10560000000</v>
      </c>
      <c r="R70" s="117">
        <f t="shared" si="60"/>
        <v>10560000000</v>
      </c>
      <c r="S70" s="117">
        <v>10560000000</v>
      </c>
      <c r="T70" s="117"/>
      <c r="U70" s="117"/>
      <c r="V70" s="117">
        <f t="shared" si="61"/>
        <v>0</v>
      </c>
      <c r="W70" s="117">
        <f t="shared" si="62"/>
        <v>10560000000</v>
      </c>
      <c r="X70" s="117">
        <f t="shared" si="63"/>
        <v>0</v>
      </c>
      <c r="Y70" s="117">
        <f t="shared" si="64"/>
        <v>10560000000</v>
      </c>
      <c r="Z70" s="204">
        <f t="shared" si="14"/>
        <v>0</v>
      </c>
    </row>
    <row r="71" spans="1:26" s="113" customFormat="1" ht="24">
      <c r="A71" s="114" t="s">
        <v>462</v>
      </c>
      <c r="B71" s="115" t="s">
        <v>585</v>
      </c>
      <c r="C71" s="116" t="s">
        <v>457</v>
      </c>
      <c r="D71" s="116" t="s">
        <v>586</v>
      </c>
      <c r="E71" s="117">
        <v>12640627459</v>
      </c>
      <c r="F71" s="117">
        <v>844880505</v>
      </c>
      <c r="G71" s="117"/>
      <c r="H71" s="117"/>
      <c r="I71" s="117"/>
      <c r="J71" s="118">
        <f t="shared" si="57"/>
        <v>0</v>
      </c>
      <c r="K71" s="117"/>
      <c r="L71" s="117">
        <f t="shared" si="58"/>
        <v>0</v>
      </c>
      <c r="M71" s="117"/>
      <c r="N71" s="117"/>
      <c r="O71" s="117"/>
      <c r="P71" s="117">
        <f t="shared" si="59"/>
        <v>0</v>
      </c>
      <c r="Q71" s="117">
        <v>4487000000</v>
      </c>
      <c r="R71" s="117">
        <f t="shared" si="60"/>
        <v>4440480329</v>
      </c>
      <c r="S71" s="117">
        <v>4440480329</v>
      </c>
      <c r="T71" s="117"/>
      <c r="U71" s="117"/>
      <c r="V71" s="117">
        <f t="shared" si="61"/>
        <v>46519671</v>
      </c>
      <c r="W71" s="117">
        <f t="shared" si="62"/>
        <v>4440480329</v>
      </c>
      <c r="X71" s="117">
        <f t="shared" si="63"/>
        <v>0</v>
      </c>
      <c r="Y71" s="117">
        <f t="shared" si="64"/>
        <v>5285360834</v>
      </c>
      <c r="Z71" s="204">
        <f t="shared" si="14"/>
        <v>0</v>
      </c>
    </row>
    <row r="72" spans="1:26" s="113" customFormat="1" ht="24">
      <c r="A72" s="114" t="s">
        <v>465</v>
      </c>
      <c r="B72" s="115" t="s">
        <v>587</v>
      </c>
      <c r="C72" s="116" t="s">
        <v>457</v>
      </c>
      <c r="D72" s="116" t="s">
        <v>588</v>
      </c>
      <c r="E72" s="117">
        <v>9199149573</v>
      </c>
      <c r="F72" s="117">
        <v>2337335475</v>
      </c>
      <c r="G72" s="117"/>
      <c r="H72" s="117"/>
      <c r="I72" s="117"/>
      <c r="J72" s="118">
        <f t="shared" si="57"/>
        <v>0</v>
      </c>
      <c r="K72" s="117"/>
      <c r="L72" s="117">
        <f t="shared" si="58"/>
        <v>0</v>
      </c>
      <c r="M72" s="117"/>
      <c r="N72" s="117"/>
      <c r="O72" s="117"/>
      <c r="P72" s="117">
        <f t="shared" si="59"/>
        <v>0</v>
      </c>
      <c r="Q72" s="117">
        <v>1040000000</v>
      </c>
      <c r="R72" s="117">
        <f t="shared" si="60"/>
        <v>1034380000</v>
      </c>
      <c r="S72" s="117">
        <v>1034380000</v>
      </c>
      <c r="T72" s="117"/>
      <c r="U72" s="117"/>
      <c r="V72" s="117">
        <f t="shared" si="61"/>
        <v>5620000</v>
      </c>
      <c r="W72" s="117">
        <f t="shared" si="62"/>
        <v>1034380000</v>
      </c>
      <c r="X72" s="117">
        <f t="shared" si="63"/>
        <v>0</v>
      </c>
      <c r="Y72" s="117">
        <f t="shared" si="64"/>
        <v>3371715475</v>
      </c>
      <c r="Z72" s="204">
        <f t="shared" si="14"/>
        <v>0</v>
      </c>
    </row>
    <row r="73" spans="1:26" s="113" customFormat="1" ht="24">
      <c r="A73" s="114" t="s">
        <v>468</v>
      </c>
      <c r="B73" s="115" t="s">
        <v>589</v>
      </c>
      <c r="C73" s="116" t="s">
        <v>457</v>
      </c>
      <c r="D73" s="116" t="s">
        <v>590</v>
      </c>
      <c r="E73" s="117">
        <v>10167000000</v>
      </c>
      <c r="F73" s="117"/>
      <c r="G73" s="117"/>
      <c r="H73" s="117"/>
      <c r="I73" s="117"/>
      <c r="J73" s="118">
        <f t="shared" si="57"/>
        <v>0</v>
      </c>
      <c r="K73" s="117"/>
      <c r="L73" s="117">
        <f t="shared" si="58"/>
        <v>0</v>
      </c>
      <c r="M73" s="117"/>
      <c r="N73" s="117"/>
      <c r="O73" s="117"/>
      <c r="P73" s="117">
        <f t="shared" si="59"/>
        <v>0</v>
      </c>
      <c r="Q73" s="117">
        <v>9380000000</v>
      </c>
      <c r="R73" s="117">
        <f t="shared" si="60"/>
        <v>9348395905</v>
      </c>
      <c r="S73" s="117">
        <v>9348395905</v>
      </c>
      <c r="T73" s="117"/>
      <c r="U73" s="117"/>
      <c r="V73" s="117">
        <f t="shared" si="61"/>
        <v>31604095</v>
      </c>
      <c r="W73" s="117">
        <f t="shared" si="62"/>
        <v>9348395905</v>
      </c>
      <c r="X73" s="117">
        <f t="shared" si="63"/>
        <v>0</v>
      </c>
      <c r="Y73" s="117">
        <f t="shared" si="64"/>
        <v>9348395905</v>
      </c>
      <c r="Z73" s="204">
        <f t="shared" si="14"/>
        <v>0</v>
      </c>
    </row>
    <row r="74" spans="1:26" s="113" customFormat="1" ht="24">
      <c r="A74" s="114" t="s">
        <v>471</v>
      </c>
      <c r="B74" s="115" t="s">
        <v>591</v>
      </c>
      <c r="C74" s="116" t="s">
        <v>457</v>
      </c>
      <c r="D74" s="116" t="s">
        <v>592</v>
      </c>
      <c r="E74" s="117">
        <v>4427000000</v>
      </c>
      <c r="F74" s="117"/>
      <c r="G74" s="117"/>
      <c r="H74" s="117"/>
      <c r="I74" s="117"/>
      <c r="J74" s="118">
        <f t="shared" si="57"/>
        <v>0</v>
      </c>
      <c r="K74" s="117"/>
      <c r="L74" s="117">
        <f t="shared" si="58"/>
        <v>0</v>
      </c>
      <c r="M74" s="117"/>
      <c r="N74" s="117"/>
      <c r="O74" s="117"/>
      <c r="P74" s="117">
        <f t="shared" si="59"/>
        <v>0</v>
      </c>
      <c r="Q74" s="117">
        <v>3527000000</v>
      </c>
      <c r="R74" s="117">
        <f t="shared" si="60"/>
        <v>3526699147</v>
      </c>
      <c r="S74" s="117">
        <v>3526699147</v>
      </c>
      <c r="T74" s="117"/>
      <c r="U74" s="117"/>
      <c r="V74" s="117">
        <f t="shared" si="61"/>
        <v>300853</v>
      </c>
      <c r="W74" s="117">
        <f t="shared" si="62"/>
        <v>3526699147</v>
      </c>
      <c r="X74" s="117">
        <f t="shared" si="63"/>
        <v>0</v>
      </c>
      <c r="Y74" s="117">
        <f t="shared" si="64"/>
        <v>3526699147</v>
      </c>
      <c r="Z74" s="204">
        <f t="shared" si="14"/>
        <v>0</v>
      </c>
    </row>
    <row r="75" spans="1:26" s="113" customFormat="1" ht="24">
      <c r="A75" s="114" t="s">
        <v>474</v>
      </c>
      <c r="B75" s="115" t="s">
        <v>593</v>
      </c>
      <c r="C75" s="116" t="s">
        <v>457</v>
      </c>
      <c r="D75" s="116" t="s">
        <v>594</v>
      </c>
      <c r="E75" s="117">
        <v>4484000000</v>
      </c>
      <c r="F75" s="117"/>
      <c r="G75" s="117"/>
      <c r="H75" s="117"/>
      <c r="I75" s="117"/>
      <c r="J75" s="118">
        <f t="shared" si="57"/>
        <v>0</v>
      </c>
      <c r="K75" s="117"/>
      <c r="L75" s="117">
        <f t="shared" si="58"/>
        <v>0</v>
      </c>
      <c r="M75" s="117"/>
      <c r="N75" s="117"/>
      <c r="O75" s="117"/>
      <c r="P75" s="117">
        <f t="shared" si="59"/>
        <v>0</v>
      </c>
      <c r="Q75" s="117">
        <v>3650000000</v>
      </c>
      <c r="R75" s="117">
        <f t="shared" si="60"/>
        <v>3641375075</v>
      </c>
      <c r="S75" s="117">
        <v>3641375075</v>
      </c>
      <c r="T75" s="117"/>
      <c r="U75" s="117"/>
      <c r="V75" s="117">
        <f t="shared" si="61"/>
        <v>8624925</v>
      </c>
      <c r="W75" s="117">
        <f t="shared" si="62"/>
        <v>3641375075</v>
      </c>
      <c r="X75" s="117">
        <f t="shared" si="63"/>
        <v>0</v>
      </c>
      <c r="Y75" s="117">
        <f t="shared" si="64"/>
        <v>3641375075</v>
      </c>
      <c r="Z75" s="204">
        <f t="shared" si="14"/>
        <v>0</v>
      </c>
    </row>
    <row r="76" spans="1:26" s="113" customFormat="1" ht="24">
      <c r="A76" s="114" t="s">
        <v>477</v>
      </c>
      <c r="B76" s="115" t="s">
        <v>595</v>
      </c>
      <c r="C76" s="116" t="s">
        <v>457</v>
      </c>
      <c r="D76" s="116" t="s">
        <v>596</v>
      </c>
      <c r="E76" s="117">
        <v>2734000000</v>
      </c>
      <c r="F76" s="117"/>
      <c r="G76" s="117"/>
      <c r="H76" s="117"/>
      <c r="I76" s="117"/>
      <c r="J76" s="118">
        <f t="shared" si="57"/>
        <v>0</v>
      </c>
      <c r="K76" s="117"/>
      <c r="L76" s="117">
        <f t="shared" si="58"/>
        <v>0</v>
      </c>
      <c r="M76" s="117"/>
      <c r="N76" s="117"/>
      <c r="O76" s="117"/>
      <c r="P76" s="117">
        <f t="shared" si="59"/>
        <v>0</v>
      </c>
      <c r="Q76" s="117">
        <v>2220000000</v>
      </c>
      <c r="R76" s="117">
        <f t="shared" si="60"/>
        <v>2214787234</v>
      </c>
      <c r="S76" s="117">
        <v>2214787234</v>
      </c>
      <c r="T76" s="117"/>
      <c r="U76" s="117"/>
      <c r="V76" s="117">
        <f t="shared" si="61"/>
        <v>5212766</v>
      </c>
      <c r="W76" s="117">
        <f t="shared" si="62"/>
        <v>2214787234</v>
      </c>
      <c r="X76" s="117">
        <f t="shared" si="63"/>
        <v>0</v>
      </c>
      <c r="Y76" s="117">
        <f t="shared" si="64"/>
        <v>2214787234</v>
      </c>
      <c r="Z76" s="204">
        <f t="shared" si="14"/>
        <v>0</v>
      </c>
    </row>
    <row r="77" spans="1:26" s="113" customFormat="1">
      <c r="A77" s="114" t="s">
        <v>480</v>
      </c>
      <c r="B77" s="115" t="s">
        <v>597</v>
      </c>
      <c r="C77" s="116" t="s">
        <v>457</v>
      </c>
      <c r="D77" s="116" t="s">
        <v>598</v>
      </c>
      <c r="E77" s="117">
        <v>13967000000</v>
      </c>
      <c r="F77" s="117"/>
      <c r="G77" s="117"/>
      <c r="H77" s="117"/>
      <c r="I77" s="117"/>
      <c r="J77" s="118">
        <f t="shared" si="57"/>
        <v>0</v>
      </c>
      <c r="K77" s="117"/>
      <c r="L77" s="117">
        <f t="shared" si="58"/>
        <v>0</v>
      </c>
      <c r="M77" s="117"/>
      <c r="N77" s="117"/>
      <c r="O77" s="117"/>
      <c r="P77" s="117">
        <f t="shared" si="59"/>
        <v>0</v>
      </c>
      <c r="Q77" s="117">
        <v>4720000000</v>
      </c>
      <c r="R77" s="117">
        <f t="shared" si="60"/>
        <v>4719989000</v>
      </c>
      <c r="S77" s="117">
        <v>1971016000</v>
      </c>
      <c r="T77" s="117">
        <v>2748973000</v>
      </c>
      <c r="U77" s="117"/>
      <c r="V77" s="117">
        <f t="shared" si="61"/>
        <v>11000</v>
      </c>
      <c r="W77" s="117">
        <f t="shared" si="62"/>
        <v>1971016000</v>
      </c>
      <c r="X77" s="117">
        <f t="shared" si="63"/>
        <v>2748973000</v>
      </c>
      <c r="Y77" s="117">
        <f t="shared" si="64"/>
        <v>4719989000</v>
      </c>
      <c r="Z77" s="204">
        <f t="shared" ref="Z77:Z140" si="65">S77+M77+I77-W77</f>
        <v>0</v>
      </c>
    </row>
    <row r="78" spans="1:26" s="113" customFormat="1" ht="24">
      <c r="A78" s="114" t="s">
        <v>483</v>
      </c>
      <c r="B78" s="115" t="s">
        <v>599</v>
      </c>
      <c r="C78" s="116" t="s">
        <v>457</v>
      </c>
      <c r="D78" s="116" t="s">
        <v>600</v>
      </c>
      <c r="E78" s="117">
        <v>14848947482</v>
      </c>
      <c r="F78" s="117">
        <v>340321000</v>
      </c>
      <c r="G78" s="117"/>
      <c r="H78" s="117"/>
      <c r="I78" s="117"/>
      <c r="J78" s="118">
        <f t="shared" si="57"/>
        <v>0</v>
      </c>
      <c r="K78" s="117"/>
      <c r="L78" s="117">
        <f t="shared" si="58"/>
        <v>0</v>
      </c>
      <c r="M78" s="117"/>
      <c r="N78" s="117"/>
      <c r="O78" s="117"/>
      <c r="P78" s="117">
        <f t="shared" si="59"/>
        <v>0</v>
      </c>
      <c r="Q78" s="117">
        <v>4000000000</v>
      </c>
      <c r="R78" s="117">
        <f t="shared" si="60"/>
        <v>3927767855</v>
      </c>
      <c r="S78" s="117">
        <v>2718767855</v>
      </c>
      <c r="T78" s="117">
        <v>1209000000</v>
      </c>
      <c r="U78" s="117"/>
      <c r="V78" s="117">
        <f t="shared" si="61"/>
        <v>72232145</v>
      </c>
      <c r="W78" s="117">
        <f t="shared" si="62"/>
        <v>2718767855</v>
      </c>
      <c r="X78" s="117">
        <f t="shared" si="63"/>
        <v>1209000000</v>
      </c>
      <c r="Y78" s="117">
        <f t="shared" si="64"/>
        <v>4268088855</v>
      </c>
      <c r="Z78" s="204">
        <f t="shared" si="65"/>
        <v>0</v>
      </c>
    </row>
    <row r="79" spans="1:26" s="113" customFormat="1">
      <c r="A79" s="114" t="s">
        <v>486</v>
      </c>
      <c r="B79" s="115" t="s">
        <v>601</v>
      </c>
      <c r="C79" s="116" t="s">
        <v>457</v>
      </c>
      <c r="D79" s="116" t="s">
        <v>602</v>
      </c>
      <c r="E79" s="117">
        <v>4322000000</v>
      </c>
      <c r="F79" s="117"/>
      <c r="G79" s="117"/>
      <c r="H79" s="117"/>
      <c r="I79" s="117"/>
      <c r="J79" s="118">
        <f t="shared" si="57"/>
        <v>0</v>
      </c>
      <c r="K79" s="117"/>
      <c r="L79" s="117">
        <f t="shared" si="58"/>
        <v>0</v>
      </c>
      <c r="M79" s="117"/>
      <c r="N79" s="117"/>
      <c r="O79" s="117"/>
      <c r="P79" s="117">
        <f t="shared" si="59"/>
        <v>0</v>
      </c>
      <c r="Q79" s="117">
        <v>4300000000</v>
      </c>
      <c r="R79" s="117">
        <f t="shared" si="60"/>
        <v>4035001000</v>
      </c>
      <c r="S79" s="117">
        <v>4035001000</v>
      </c>
      <c r="T79" s="117"/>
      <c r="U79" s="117"/>
      <c r="V79" s="117">
        <f t="shared" si="61"/>
        <v>264999000</v>
      </c>
      <c r="W79" s="117">
        <f t="shared" si="62"/>
        <v>4035001000</v>
      </c>
      <c r="X79" s="117">
        <f t="shared" si="63"/>
        <v>0</v>
      </c>
      <c r="Y79" s="117">
        <f t="shared" si="64"/>
        <v>4035001000</v>
      </c>
      <c r="Z79" s="204">
        <f t="shared" si="65"/>
        <v>0</v>
      </c>
    </row>
    <row r="80" spans="1:26" s="113" customFormat="1" ht="24">
      <c r="A80" s="114" t="s">
        <v>489</v>
      </c>
      <c r="B80" s="115" t="s">
        <v>603</v>
      </c>
      <c r="C80" s="116" t="s">
        <v>457</v>
      </c>
      <c r="D80" s="116" t="s">
        <v>604</v>
      </c>
      <c r="E80" s="117">
        <v>14387000000</v>
      </c>
      <c r="F80" s="117"/>
      <c r="G80" s="117"/>
      <c r="H80" s="117"/>
      <c r="I80" s="117"/>
      <c r="J80" s="118">
        <f t="shared" si="57"/>
        <v>0</v>
      </c>
      <c r="K80" s="117"/>
      <c r="L80" s="117">
        <f t="shared" si="58"/>
        <v>0</v>
      </c>
      <c r="M80" s="117"/>
      <c r="N80" s="117"/>
      <c r="O80" s="117"/>
      <c r="P80" s="117">
        <f t="shared" si="59"/>
        <v>0</v>
      </c>
      <c r="Q80" s="117">
        <v>7000000000</v>
      </c>
      <c r="R80" s="117">
        <f t="shared" si="60"/>
        <v>6909739000</v>
      </c>
      <c r="S80" s="117">
        <v>4730507000</v>
      </c>
      <c r="T80" s="117">
        <v>2179232000</v>
      </c>
      <c r="U80" s="117"/>
      <c r="V80" s="117">
        <f t="shared" si="61"/>
        <v>90261000</v>
      </c>
      <c r="W80" s="117">
        <f t="shared" si="62"/>
        <v>4730507000</v>
      </c>
      <c r="X80" s="117">
        <f t="shared" si="63"/>
        <v>2179232000</v>
      </c>
      <c r="Y80" s="117">
        <f t="shared" si="64"/>
        <v>6909739000</v>
      </c>
      <c r="Z80" s="204">
        <f t="shared" si="65"/>
        <v>0</v>
      </c>
    </row>
    <row r="81" spans="1:26" s="113" customFormat="1" ht="24">
      <c r="A81" s="114" t="s">
        <v>553</v>
      </c>
      <c r="B81" s="115" t="s">
        <v>605</v>
      </c>
      <c r="C81" s="116" t="s">
        <v>457</v>
      </c>
      <c r="D81" s="116" t="s">
        <v>606</v>
      </c>
      <c r="E81" s="117">
        <v>3367000000</v>
      </c>
      <c r="F81" s="117"/>
      <c r="G81" s="117"/>
      <c r="H81" s="117"/>
      <c r="I81" s="117"/>
      <c r="J81" s="118">
        <f t="shared" si="57"/>
        <v>0</v>
      </c>
      <c r="K81" s="117"/>
      <c r="L81" s="117">
        <f t="shared" si="58"/>
        <v>0</v>
      </c>
      <c r="M81" s="117"/>
      <c r="N81" s="117"/>
      <c r="O81" s="117"/>
      <c r="P81" s="117">
        <f t="shared" si="59"/>
        <v>0</v>
      </c>
      <c r="Q81" s="117">
        <v>1500000000</v>
      </c>
      <c r="R81" s="117">
        <f t="shared" si="60"/>
        <v>1298387000</v>
      </c>
      <c r="S81" s="117">
        <v>148505000</v>
      </c>
      <c r="T81" s="117">
        <v>1149882000</v>
      </c>
      <c r="U81" s="117"/>
      <c r="V81" s="117">
        <f t="shared" si="61"/>
        <v>201613000</v>
      </c>
      <c r="W81" s="117">
        <f t="shared" si="62"/>
        <v>148505000</v>
      </c>
      <c r="X81" s="117">
        <f t="shared" si="63"/>
        <v>1149882000</v>
      </c>
      <c r="Y81" s="117">
        <f t="shared" si="64"/>
        <v>1298387000</v>
      </c>
      <c r="Z81" s="204">
        <f t="shared" si="65"/>
        <v>0</v>
      </c>
    </row>
    <row r="82" spans="1:26" s="113" customFormat="1" ht="24">
      <c r="A82" s="114" t="s">
        <v>556</v>
      </c>
      <c r="B82" s="115" t="s">
        <v>607</v>
      </c>
      <c r="C82" s="116" t="s">
        <v>457</v>
      </c>
      <c r="D82" s="116" t="s">
        <v>608</v>
      </c>
      <c r="E82" s="117">
        <v>4988000000</v>
      </c>
      <c r="F82" s="117"/>
      <c r="G82" s="117"/>
      <c r="H82" s="117"/>
      <c r="I82" s="117"/>
      <c r="J82" s="118">
        <f t="shared" si="57"/>
        <v>0</v>
      </c>
      <c r="K82" s="117"/>
      <c r="L82" s="117">
        <f t="shared" si="58"/>
        <v>0</v>
      </c>
      <c r="M82" s="117"/>
      <c r="N82" s="117"/>
      <c r="O82" s="117"/>
      <c r="P82" s="117">
        <f t="shared" si="59"/>
        <v>0</v>
      </c>
      <c r="Q82" s="117">
        <v>4500000000</v>
      </c>
      <c r="R82" s="117">
        <f t="shared" si="60"/>
        <v>4242686000</v>
      </c>
      <c r="S82" s="117">
        <v>4242686000</v>
      </c>
      <c r="T82" s="117"/>
      <c r="U82" s="117"/>
      <c r="V82" s="117">
        <f t="shared" si="61"/>
        <v>257314000</v>
      </c>
      <c r="W82" s="117">
        <f t="shared" si="62"/>
        <v>4242686000</v>
      </c>
      <c r="X82" s="117">
        <f t="shared" si="63"/>
        <v>0</v>
      </c>
      <c r="Y82" s="117">
        <f t="shared" si="64"/>
        <v>4242686000</v>
      </c>
      <c r="Z82" s="204">
        <f t="shared" si="65"/>
        <v>0</v>
      </c>
    </row>
    <row r="83" spans="1:26" s="113" customFormat="1" ht="24">
      <c r="A83" s="114" t="s">
        <v>559</v>
      </c>
      <c r="B83" s="115" t="s">
        <v>609</v>
      </c>
      <c r="C83" s="116" t="s">
        <v>457</v>
      </c>
      <c r="D83" s="116" t="s">
        <v>610</v>
      </c>
      <c r="E83" s="117">
        <v>2243000000</v>
      </c>
      <c r="F83" s="117"/>
      <c r="G83" s="117"/>
      <c r="H83" s="117"/>
      <c r="I83" s="117"/>
      <c r="J83" s="118">
        <f t="shared" si="57"/>
        <v>0</v>
      </c>
      <c r="K83" s="117"/>
      <c r="L83" s="117">
        <f t="shared" si="58"/>
        <v>0</v>
      </c>
      <c r="M83" s="117"/>
      <c r="N83" s="117"/>
      <c r="O83" s="117"/>
      <c r="P83" s="117">
        <f t="shared" si="59"/>
        <v>0</v>
      </c>
      <c r="Q83" s="117">
        <v>2000000000</v>
      </c>
      <c r="R83" s="117">
        <f t="shared" si="60"/>
        <v>2000000000</v>
      </c>
      <c r="S83" s="117">
        <v>2000000000</v>
      </c>
      <c r="T83" s="117"/>
      <c r="U83" s="117"/>
      <c r="V83" s="117">
        <f t="shared" si="61"/>
        <v>0</v>
      </c>
      <c r="W83" s="117">
        <f t="shared" si="62"/>
        <v>2000000000</v>
      </c>
      <c r="X83" s="117">
        <f t="shared" si="63"/>
        <v>0</v>
      </c>
      <c r="Y83" s="117">
        <f t="shared" si="64"/>
        <v>2000000000</v>
      </c>
      <c r="Z83" s="204">
        <f t="shared" si="65"/>
        <v>0</v>
      </c>
    </row>
    <row r="84" spans="1:26" s="124" customFormat="1">
      <c r="A84" s="120" t="s">
        <v>141</v>
      </c>
      <c r="B84" s="121" t="s">
        <v>611</v>
      </c>
      <c r="C84" s="122"/>
      <c r="D84" s="122"/>
      <c r="E84" s="123">
        <f t="shared" ref="E84:P84" si="66">SUM(E85:E123)</f>
        <v>6720598505435</v>
      </c>
      <c r="F84" s="123">
        <f t="shared" si="66"/>
        <v>105199639103</v>
      </c>
      <c r="G84" s="123">
        <f t="shared" si="66"/>
        <v>11402553000</v>
      </c>
      <c r="H84" s="123">
        <f t="shared" si="66"/>
        <v>0</v>
      </c>
      <c r="I84" s="123">
        <f t="shared" si="66"/>
        <v>11402553000</v>
      </c>
      <c r="J84" s="123">
        <f t="shared" si="66"/>
        <v>0</v>
      </c>
      <c r="K84" s="123">
        <f t="shared" si="66"/>
        <v>8668854782</v>
      </c>
      <c r="L84" s="123">
        <f t="shared" si="66"/>
        <v>7008178100</v>
      </c>
      <c r="M84" s="123">
        <f t="shared" si="66"/>
        <v>7008178100</v>
      </c>
      <c r="N84" s="123">
        <f t="shared" si="66"/>
        <v>0</v>
      </c>
      <c r="O84" s="123">
        <f t="shared" si="66"/>
        <v>0</v>
      </c>
      <c r="P84" s="123">
        <f t="shared" si="66"/>
        <v>1660676682</v>
      </c>
      <c r="Q84" s="123">
        <f>SUM(Q85:Q123)</f>
        <v>151994000000</v>
      </c>
      <c r="R84" s="123">
        <f t="shared" ref="R84:Y84" si="67">SUM(R85:R123)</f>
        <v>146825543447</v>
      </c>
      <c r="S84" s="123">
        <f t="shared" si="67"/>
        <v>131266650106</v>
      </c>
      <c r="T84" s="123">
        <f t="shared" si="67"/>
        <v>15558893341</v>
      </c>
      <c r="U84" s="123">
        <f t="shared" si="67"/>
        <v>0</v>
      </c>
      <c r="V84" s="123">
        <f t="shared" si="67"/>
        <v>5125456553</v>
      </c>
      <c r="W84" s="123">
        <f t="shared" si="67"/>
        <v>149677381206</v>
      </c>
      <c r="X84" s="123">
        <f t="shared" si="67"/>
        <v>15558893341</v>
      </c>
      <c r="Y84" s="123">
        <f t="shared" si="67"/>
        <v>259033360650</v>
      </c>
      <c r="Z84" s="204">
        <f t="shared" si="65"/>
        <v>0</v>
      </c>
    </row>
    <row r="85" spans="1:26" s="113" customFormat="1">
      <c r="A85" s="109"/>
      <c r="B85" s="110" t="s">
        <v>269</v>
      </c>
      <c r="C85" s="111"/>
      <c r="D85" s="109"/>
      <c r="E85" s="112"/>
      <c r="F85" s="112"/>
      <c r="G85" s="112"/>
      <c r="H85" s="112"/>
      <c r="I85" s="112"/>
      <c r="J85" s="112"/>
      <c r="K85" s="112">
        <f t="shared" ref="K85:P85" si="68">K86</f>
        <v>0</v>
      </c>
      <c r="L85" s="112">
        <f t="shared" si="68"/>
        <v>0</v>
      </c>
      <c r="M85" s="112">
        <f t="shared" si="68"/>
        <v>0</v>
      </c>
      <c r="N85" s="112">
        <f t="shared" si="68"/>
        <v>0</v>
      </c>
      <c r="O85" s="112">
        <f t="shared" si="68"/>
        <v>0</v>
      </c>
      <c r="P85" s="112">
        <f t="shared" si="68"/>
        <v>0</v>
      </c>
      <c r="Q85" s="112"/>
      <c r="R85" s="112"/>
      <c r="S85" s="112"/>
      <c r="T85" s="112"/>
      <c r="U85" s="112"/>
      <c r="V85" s="112"/>
      <c r="W85" s="112"/>
      <c r="X85" s="112"/>
      <c r="Y85" s="112"/>
      <c r="Z85" s="204">
        <f t="shared" si="65"/>
        <v>0</v>
      </c>
    </row>
    <row r="86" spans="1:26" s="113" customFormat="1">
      <c r="A86" s="114" t="s">
        <v>455</v>
      </c>
      <c r="B86" s="115" t="s">
        <v>612</v>
      </c>
      <c r="C86" s="116" t="s">
        <v>457</v>
      </c>
      <c r="D86" s="116" t="s">
        <v>613</v>
      </c>
      <c r="E86" s="117">
        <v>2350000000000</v>
      </c>
      <c r="F86" s="117"/>
      <c r="G86" s="117"/>
      <c r="H86" s="117"/>
      <c r="I86" s="117"/>
      <c r="J86" s="118">
        <f>G86-H86-I86+N86</f>
        <v>0</v>
      </c>
      <c r="K86" s="117"/>
      <c r="L86" s="117">
        <f>SUM(M86:N86)</f>
        <v>0</v>
      </c>
      <c r="M86" s="117"/>
      <c r="N86" s="117"/>
      <c r="O86" s="117"/>
      <c r="P86" s="117">
        <f>K86-L86-O86</f>
        <v>0</v>
      </c>
      <c r="Q86" s="117">
        <v>1500000000</v>
      </c>
      <c r="R86" s="117">
        <f>SUM(S86:T86)</f>
        <v>1173618678</v>
      </c>
      <c r="S86" s="117">
        <v>1173618678</v>
      </c>
      <c r="T86" s="117"/>
      <c r="U86" s="117"/>
      <c r="V86" s="117">
        <f>Q86-R86-U86</f>
        <v>326381322</v>
      </c>
      <c r="W86" s="117">
        <f>SUM(I86,M86,S86)</f>
        <v>1173618678</v>
      </c>
      <c r="X86" s="117">
        <f>G86-H86-I86+N86+T86</f>
        <v>0</v>
      </c>
      <c r="Y86" s="117">
        <f>F86+L86+R86</f>
        <v>1173618678</v>
      </c>
      <c r="Z86" s="204">
        <f t="shared" si="65"/>
        <v>0</v>
      </c>
    </row>
    <row r="87" spans="1:26" s="113" customFormat="1">
      <c r="A87" s="114"/>
      <c r="B87" s="115"/>
      <c r="C87" s="116"/>
      <c r="D87" s="116"/>
      <c r="E87" s="117"/>
      <c r="F87" s="117"/>
      <c r="G87" s="117"/>
      <c r="H87" s="117"/>
      <c r="I87" s="117"/>
      <c r="J87" s="118"/>
      <c r="K87" s="117"/>
      <c r="L87" s="117"/>
      <c r="M87" s="117"/>
      <c r="N87" s="117"/>
      <c r="O87" s="117"/>
      <c r="P87" s="117"/>
      <c r="Q87" s="117"/>
      <c r="R87" s="117"/>
      <c r="S87" s="117"/>
      <c r="T87" s="117"/>
      <c r="U87" s="117"/>
      <c r="V87" s="117"/>
      <c r="W87" s="117"/>
      <c r="X87" s="117"/>
      <c r="Y87" s="117"/>
      <c r="Z87" s="204">
        <f t="shared" si="65"/>
        <v>0</v>
      </c>
    </row>
    <row r="88" spans="1:26" s="113" customFormat="1">
      <c r="A88" s="114" t="s">
        <v>455</v>
      </c>
      <c r="B88" s="115" t="s">
        <v>614</v>
      </c>
      <c r="C88" s="116" t="s">
        <v>457</v>
      </c>
      <c r="D88" s="116" t="s">
        <v>615</v>
      </c>
      <c r="E88" s="117">
        <v>19406000000</v>
      </c>
      <c r="F88" s="117"/>
      <c r="G88" s="117"/>
      <c r="H88" s="117"/>
      <c r="I88" s="117"/>
      <c r="J88" s="118">
        <f t="shared" ref="J88:J115" si="69">G88-H88-I88+N88</f>
        <v>0</v>
      </c>
      <c r="K88" s="117"/>
      <c r="L88" s="117">
        <f t="shared" ref="L88:L115" si="70">SUM(M88:N88)</f>
        <v>0</v>
      </c>
      <c r="M88" s="117"/>
      <c r="N88" s="117"/>
      <c r="O88" s="117"/>
      <c r="P88" s="117">
        <f t="shared" ref="P88:P115" si="71">K88-L88-O88</f>
        <v>0</v>
      </c>
      <c r="Q88" s="117">
        <v>10000000000</v>
      </c>
      <c r="R88" s="117">
        <f t="shared" ref="R88:R115" si="72">SUM(S88:T88)</f>
        <v>6727085850</v>
      </c>
      <c r="S88" s="117">
        <v>4040436500</v>
      </c>
      <c r="T88" s="117">
        <v>2686649350</v>
      </c>
      <c r="U88" s="117"/>
      <c r="V88" s="117">
        <f t="shared" ref="V88:V115" si="73">Q88-R88-U88</f>
        <v>3272914150</v>
      </c>
      <c r="W88" s="117">
        <f t="shared" ref="W88:W115" si="74">SUM(I88,M88,S88)</f>
        <v>4040436500</v>
      </c>
      <c r="X88" s="117">
        <f t="shared" ref="X88:X115" si="75">G88-H88-I88+N88+T88</f>
        <v>2686649350</v>
      </c>
      <c r="Y88" s="117">
        <f t="shared" ref="Y88:Y115" si="76">F88+L88+R88</f>
        <v>6727085850</v>
      </c>
      <c r="Z88" s="204">
        <f t="shared" si="65"/>
        <v>0</v>
      </c>
    </row>
    <row r="89" spans="1:26" s="113" customFormat="1" ht="24">
      <c r="A89" s="114" t="s">
        <v>459</v>
      </c>
      <c r="B89" s="115" t="s">
        <v>616</v>
      </c>
      <c r="C89" s="116" t="s">
        <v>457</v>
      </c>
      <c r="D89" s="116" t="s">
        <v>617</v>
      </c>
      <c r="E89" s="117">
        <v>157876000000</v>
      </c>
      <c r="F89" s="117">
        <v>22500000000</v>
      </c>
      <c r="G89" s="117"/>
      <c r="H89" s="117"/>
      <c r="I89" s="117"/>
      <c r="J89" s="118">
        <f t="shared" si="69"/>
        <v>0</v>
      </c>
      <c r="K89" s="117"/>
      <c r="L89" s="117">
        <f t="shared" si="70"/>
        <v>0</v>
      </c>
      <c r="M89" s="117"/>
      <c r="N89" s="117"/>
      <c r="O89" s="117"/>
      <c r="P89" s="117">
        <f t="shared" si="71"/>
        <v>0</v>
      </c>
      <c r="Q89" s="117">
        <v>2888000000</v>
      </c>
      <c r="R89" s="117">
        <f t="shared" si="72"/>
        <v>2888000000</v>
      </c>
      <c r="S89" s="117">
        <v>2667644420</v>
      </c>
      <c r="T89" s="119">
        <v>220355580</v>
      </c>
      <c r="U89" s="117"/>
      <c r="V89" s="117">
        <f t="shared" si="73"/>
        <v>0</v>
      </c>
      <c r="W89" s="117">
        <f t="shared" si="74"/>
        <v>2667644420</v>
      </c>
      <c r="X89" s="117">
        <f t="shared" si="75"/>
        <v>220355580</v>
      </c>
      <c r="Y89" s="117">
        <f t="shared" si="76"/>
        <v>25388000000</v>
      </c>
      <c r="Z89" s="204">
        <f t="shared" si="65"/>
        <v>0</v>
      </c>
    </row>
    <row r="90" spans="1:26" s="113" customFormat="1" ht="24">
      <c r="A90" s="114" t="s">
        <v>462</v>
      </c>
      <c r="B90" s="115" t="s">
        <v>618</v>
      </c>
      <c r="C90" s="116" t="s">
        <v>457</v>
      </c>
      <c r="D90" s="116" t="s">
        <v>619</v>
      </c>
      <c r="E90" s="117">
        <v>365520000000</v>
      </c>
      <c r="F90" s="117">
        <v>10000000000</v>
      </c>
      <c r="G90" s="117">
        <v>10000000000</v>
      </c>
      <c r="H90" s="117">
        <v>0</v>
      </c>
      <c r="I90" s="117">
        <v>10000000000</v>
      </c>
      <c r="J90" s="118">
        <f t="shared" si="69"/>
        <v>0</v>
      </c>
      <c r="K90" s="117">
        <v>0</v>
      </c>
      <c r="L90" s="117">
        <f t="shared" si="70"/>
        <v>0</v>
      </c>
      <c r="M90" s="117"/>
      <c r="N90" s="117">
        <v>0</v>
      </c>
      <c r="O90" s="117"/>
      <c r="P90" s="117">
        <f t="shared" si="71"/>
        <v>0</v>
      </c>
      <c r="Q90" s="117">
        <v>30612000000</v>
      </c>
      <c r="R90" s="117">
        <f t="shared" si="72"/>
        <v>30612000000</v>
      </c>
      <c r="S90" s="117">
        <v>28473499837</v>
      </c>
      <c r="T90" s="119">
        <v>2138500163</v>
      </c>
      <c r="U90" s="117"/>
      <c r="V90" s="117">
        <f t="shared" si="73"/>
        <v>0</v>
      </c>
      <c r="W90" s="117">
        <f t="shared" si="74"/>
        <v>38473499837</v>
      </c>
      <c r="X90" s="117">
        <f t="shared" si="75"/>
        <v>2138500163</v>
      </c>
      <c r="Y90" s="117">
        <f t="shared" si="76"/>
        <v>40612000000</v>
      </c>
      <c r="Z90" s="204">
        <f t="shared" si="65"/>
        <v>0</v>
      </c>
    </row>
    <row r="91" spans="1:26" s="113" customFormat="1" ht="24">
      <c r="A91" s="114" t="s">
        <v>465</v>
      </c>
      <c r="B91" s="115" t="s">
        <v>620</v>
      </c>
      <c r="C91" s="116" t="s">
        <v>457</v>
      </c>
      <c r="D91" s="116" t="s">
        <v>621</v>
      </c>
      <c r="E91" s="117">
        <v>56219000000</v>
      </c>
      <c r="F91" s="117">
        <v>1804512000</v>
      </c>
      <c r="G91" s="117"/>
      <c r="H91" s="117"/>
      <c r="I91" s="117"/>
      <c r="J91" s="118">
        <f t="shared" si="69"/>
        <v>0</v>
      </c>
      <c r="K91" s="117"/>
      <c r="L91" s="117">
        <f t="shared" si="70"/>
        <v>0</v>
      </c>
      <c r="M91" s="117"/>
      <c r="N91" s="117"/>
      <c r="O91" s="117"/>
      <c r="P91" s="117">
        <f t="shared" si="71"/>
        <v>0</v>
      </c>
      <c r="Q91" s="117">
        <v>400000000</v>
      </c>
      <c r="R91" s="117">
        <f t="shared" si="72"/>
        <v>400000000</v>
      </c>
      <c r="S91" s="117">
        <v>400000000</v>
      </c>
      <c r="T91" s="119"/>
      <c r="U91" s="117"/>
      <c r="V91" s="117">
        <f t="shared" si="73"/>
        <v>0</v>
      </c>
      <c r="W91" s="117">
        <f t="shared" si="74"/>
        <v>400000000</v>
      </c>
      <c r="X91" s="117">
        <f t="shared" si="75"/>
        <v>0</v>
      </c>
      <c r="Y91" s="117">
        <f t="shared" si="76"/>
        <v>2204512000</v>
      </c>
      <c r="Z91" s="204">
        <f t="shared" si="65"/>
        <v>0</v>
      </c>
    </row>
    <row r="92" spans="1:26" s="113" customFormat="1" ht="24">
      <c r="A92" s="114" t="s">
        <v>468</v>
      </c>
      <c r="B92" s="115" t="s">
        <v>622</v>
      </c>
      <c r="C92" s="116" t="s">
        <v>457</v>
      </c>
      <c r="D92" s="116" t="s">
        <v>623</v>
      </c>
      <c r="E92" s="117">
        <v>329015000000</v>
      </c>
      <c r="F92" s="117"/>
      <c r="G92" s="117"/>
      <c r="H92" s="117"/>
      <c r="I92" s="117"/>
      <c r="J92" s="118">
        <f t="shared" si="69"/>
        <v>0</v>
      </c>
      <c r="K92" s="117"/>
      <c r="L92" s="117">
        <f t="shared" si="70"/>
        <v>0</v>
      </c>
      <c r="M92" s="117"/>
      <c r="N92" s="117"/>
      <c r="O92" s="117"/>
      <c r="P92" s="117">
        <f t="shared" si="71"/>
        <v>0</v>
      </c>
      <c r="Q92" s="117">
        <v>2500000000</v>
      </c>
      <c r="R92" s="117">
        <f t="shared" si="72"/>
        <v>2406482500</v>
      </c>
      <c r="S92" s="117">
        <v>2215699176</v>
      </c>
      <c r="T92" s="119">
        <v>190783324</v>
      </c>
      <c r="U92" s="117"/>
      <c r="V92" s="117">
        <f t="shared" si="73"/>
        <v>93517500</v>
      </c>
      <c r="W92" s="117">
        <f t="shared" si="74"/>
        <v>2215699176</v>
      </c>
      <c r="X92" s="117">
        <f t="shared" si="75"/>
        <v>190783324</v>
      </c>
      <c r="Y92" s="117">
        <f t="shared" si="76"/>
        <v>2406482500</v>
      </c>
      <c r="Z92" s="204">
        <f t="shared" si="65"/>
        <v>0</v>
      </c>
    </row>
    <row r="93" spans="1:26" s="113" customFormat="1" ht="24">
      <c r="A93" s="114" t="s">
        <v>471</v>
      </c>
      <c r="B93" s="115" t="s">
        <v>624</v>
      </c>
      <c r="C93" s="116" t="s">
        <v>457</v>
      </c>
      <c r="D93" s="116" t="s">
        <v>625</v>
      </c>
      <c r="E93" s="117">
        <v>1343808699235</v>
      </c>
      <c r="F93" s="117">
        <v>20000000000</v>
      </c>
      <c r="G93" s="117"/>
      <c r="H93" s="117"/>
      <c r="I93" s="117"/>
      <c r="J93" s="118">
        <f t="shared" si="69"/>
        <v>0</v>
      </c>
      <c r="K93" s="117"/>
      <c r="L93" s="117">
        <f t="shared" si="70"/>
        <v>0</v>
      </c>
      <c r="M93" s="117"/>
      <c r="N93" s="117"/>
      <c r="O93" s="117"/>
      <c r="P93" s="117">
        <f t="shared" si="71"/>
        <v>0</v>
      </c>
      <c r="Q93" s="117">
        <v>46700000000</v>
      </c>
      <c r="R93" s="117">
        <f t="shared" si="72"/>
        <v>46700000000</v>
      </c>
      <c r="S93" s="117">
        <v>46700000000</v>
      </c>
      <c r="T93" s="117"/>
      <c r="U93" s="117"/>
      <c r="V93" s="117">
        <f t="shared" si="73"/>
        <v>0</v>
      </c>
      <c r="W93" s="117">
        <f t="shared" si="74"/>
        <v>46700000000</v>
      </c>
      <c r="X93" s="117">
        <f t="shared" si="75"/>
        <v>0</v>
      </c>
      <c r="Y93" s="117">
        <f t="shared" si="76"/>
        <v>66700000000</v>
      </c>
      <c r="Z93" s="204">
        <f t="shared" si="65"/>
        <v>0</v>
      </c>
    </row>
    <row r="94" spans="1:26" s="113" customFormat="1">
      <c r="A94" s="114" t="s">
        <v>474</v>
      </c>
      <c r="B94" s="115" t="s">
        <v>626</v>
      </c>
      <c r="C94" s="116" t="s">
        <v>457</v>
      </c>
      <c r="D94" s="116" t="s">
        <v>627</v>
      </c>
      <c r="E94" s="117">
        <v>984319000000</v>
      </c>
      <c r="F94" s="117"/>
      <c r="G94" s="117"/>
      <c r="H94" s="117"/>
      <c r="I94" s="117"/>
      <c r="J94" s="118">
        <f t="shared" si="69"/>
        <v>0</v>
      </c>
      <c r="K94" s="117"/>
      <c r="L94" s="117">
        <f t="shared" si="70"/>
        <v>0</v>
      </c>
      <c r="M94" s="117"/>
      <c r="N94" s="117"/>
      <c r="O94" s="117"/>
      <c r="P94" s="117">
        <f t="shared" si="71"/>
        <v>0</v>
      </c>
      <c r="Q94" s="117">
        <v>8000000000</v>
      </c>
      <c r="R94" s="117">
        <f t="shared" si="72"/>
        <v>8000000000</v>
      </c>
      <c r="S94" s="117">
        <v>6913492104</v>
      </c>
      <c r="T94" s="119">
        <v>1086507896</v>
      </c>
      <c r="U94" s="117"/>
      <c r="V94" s="117">
        <f t="shared" si="73"/>
        <v>0</v>
      </c>
      <c r="W94" s="117">
        <f t="shared" si="74"/>
        <v>6913492104</v>
      </c>
      <c r="X94" s="117">
        <f t="shared" si="75"/>
        <v>1086507896</v>
      </c>
      <c r="Y94" s="117">
        <f t="shared" si="76"/>
        <v>8000000000</v>
      </c>
      <c r="Z94" s="204">
        <f t="shared" si="65"/>
        <v>0</v>
      </c>
    </row>
    <row r="95" spans="1:26" s="132" customFormat="1">
      <c r="A95" s="114" t="s">
        <v>477</v>
      </c>
      <c r="B95" s="126" t="s">
        <v>628</v>
      </c>
      <c r="C95" s="127" t="s">
        <v>457</v>
      </c>
      <c r="D95" s="127" t="s">
        <v>629</v>
      </c>
      <c r="E95" s="128">
        <v>272426000000</v>
      </c>
      <c r="F95" s="128"/>
      <c r="G95" s="129">
        <v>47700000</v>
      </c>
      <c r="H95" s="129">
        <v>0</v>
      </c>
      <c r="I95" s="128">
        <v>47700000</v>
      </c>
      <c r="J95" s="130">
        <f t="shared" si="69"/>
        <v>0</v>
      </c>
      <c r="K95" s="128"/>
      <c r="L95" s="128">
        <f t="shared" si="70"/>
        <v>0</v>
      </c>
      <c r="M95" s="128"/>
      <c r="N95" s="128"/>
      <c r="O95" s="128"/>
      <c r="P95" s="128">
        <f t="shared" si="71"/>
        <v>0</v>
      </c>
      <c r="Q95" s="128">
        <v>3040000000</v>
      </c>
      <c r="R95" s="128">
        <f t="shared" si="72"/>
        <v>3040000000</v>
      </c>
      <c r="S95" s="128">
        <v>2363875612</v>
      </c>
      <c r="T95" s="131">
        <v>676124388</v>
      </c>
      <c r="U95" s="128"/>
      <c r="V95" s="128">
        <f t="shared" si="73"/>
        <v>0</v>
      </c>
      <c r="W95" s="128">
        <f t="shared" si="74"/>
        <v>2411575612</v>
      </c>
      <c r="X95" s="128">
        <f t="shared" si="75"/>
        <v>676124388</v>
      </c>
      <c r="Y95" s="128">
        <f t="shared" si="76"/>
        <v>3040000000</v>
      </c>
      <c r="Z95" s="204">
        <f t="shared" si="65"/>
        <v>0</v>
      </c>
    </row>
    <row r="96" spans="1:26" s="113" customFormat="1" ht="24">
      <c r="A96" s="114" t="s">
        <v>480</v>
      </c>
      <c r="B96" s="115" t="s">
        <v>630</v>
      </c>
      <c r="C96" s="116" t="s">
        <v>457</v>
      </c>
      <c r="D96" s="116" t="s">
        <v>631</v>
      </c>
      <c r="E96" s="117">
        <v>486309000000</v>
      </c>
      <c r="F96" s="117"/>
      <c r="G96" s="117"/>
      <c r="H96" s="117"/>
      <c r="I96" s="117"/>
      <c r="J96" s="118">
        <f t="shared" si="69"/>
        <v>0</v>
      </c>
      <c r="K96" s="117"/>
      <c r="L96" s="117">
        <f t="shared" si="70"/>
        <v>0</v>
      </c>
      <c r="M96" s="117"/>
      <c r="N96" s="117"/>
      <c r="O96" s="117"/>
      <c r="P96" s="117">
        <f t="shared" si="71"/>
        <v>0</v>
      </c>
      <c r="Q96" s="117">
        <v>25000000000</v>
      </c>
      <c r="R96" s="117">
        <f t="shared" si="72"/>
        <v>25000000000</v>
      </c>
      <c r="S96" s="117">
        <v>18832884000</v>
      </c>
      <c r="T96" s="119">
        <v>6167116000</v>
      </c>
      <c r="U96" s="117"/>
      <c r="V96" s="117">
        <f t="shared" si="73"/>
        <v>0</v>
      </c>
      <c r="W96" s="117">
        <f t="shared" si="74"/>
        <v>18832884000</v>
      </c>
      <c r="X96" s="117">
        <f t="shared" si="75"/>
        <v>6167116000</v>
      </c>
      <c r="Y96" s="117">
        <f t="shared" si="76"/>
        <v>25000000000</v>
      </c>
      <c r="Z96" s="204">
        <f t="shared" si="65"/>
        <v>0</v>
      </c>
    </row>
    <row r="97" spans="1:26" s="113" customFormat="1">
      <c r="A97" s="114" t="s">
        <v>483</v>
      </c>
      <c r="B97" s="115" t="s">
        <v>632</v>
      </c>
      <c r="C97" s="116" t="s">
        <v>457</v>
      </c>
      <c r="D97" s="116" t="s">
        <v>633</v>
      </c>
      <c r="E97" s="117">
        <v>157525000000</v>
      </c>
      <c r="F97" s="117"/>
      <c r="G97" s="117"/>
      <c r="H97" s="117"/>
      <c r="I97" s="117"/>
      <c r="J97" s="118">
        <f t="shared" si="69"/>
        <v>0</v>
      </c>
      <c r="K97" s="117"/>
      <c r="L97" s="117">
        <f t="shared" si="70"/>
        <v>0</v>
      </c>
      <c r="M97" s="117"/>
      <c r="N97" s="117"/>
      <c r="O97" s="117"/>
      <c r="P97" s="117">
        <f t="shared" si="71"/>
        <v>0</v>
      </c>
      <c r="Q97" s="117">
        <v>7000000000</v>
      </c>
      <c r="R97" s="117">
        <f t="shared" si="72"/>
        <v>7000000000</v>
      </c>
      <c r="S97" s="117">
        <v>4819063000</v>
      </c>
      <c r="T97" s="119">
        <v>2180937000</v>
      </c>
      <c r="U97" s="117"/>
      <c r="V97" s="117">
        <f t="shared" si="73"/>
        <v>0</v>
      </c>
      <c r="W97" s="117">
        <f t="shared" si="74"/>
        <v>4819063000</v>
      </c>
      <c r="X97" s="117">
        <f t="shared" si="75"/>
        <v>2180937000</v>
      </c>
      <c r="Y97" s="117">
        <f t="shared" si="76"/>
        <v>7000000000</v>
      </c>
      <c r="Z97" s="204">
        <f t="shared" si="65"/>
        <v>0</v>
      </c>
    </row>
    <row r="98" spans="1:26" s="113" customFormat="1">
      <c r="A98" s="114" t="s">
        <v>486</v>
      </c>
      <c r="B98" s="115" t="s">
        <v>634</v>
      </c>
      <c r="C98" s="116" t="s">
        <v>457</v>
      </c>
      <c r="D98" s="116" t="s">
        <v>635</v>
      </c>
      <c r="E98" s="117">
        <v>4071000000</v>
      </c>
      <c r="F98" s="117"/>
      <c r="G98" s="117"/>
      <c r="H98" s="117"/>
      <c r="I98" s="117"/>
      <c r="J98" s="118">
        <f t="shared" si="69"/>
        <v>0</v>
      </c>
      <c r="K98" s="117"/>
      <c r="L98" s="117">
        <f t="shared" si="70"/>
        <v>0</v>
      </c>
      <c r="M98" s="117"/>
      <c r="N98" s="117"/>
      <c r="O98" s="117"/>
      <c r="P98" s="117">
        <f t="shared" si="71"/>
        <v>0</v>
      </c>
      <c r="Q98" s="117">
        <v>16000000</v>
      </c>
      <c r="R98" s="117">
        <f t="shared" si="72"/>
        <v>15470000</v>
      </c>
      <c r="S98" s="117">
        <v>15470000</v>
      </c>
      <c r="T98" s="119"/>
      <c r="U98" s="117"/>
      <c r="V98" s="117">
        <f t="shared" si="73"/>
        <v>530000</v>
      </c>
      <c r="W98" s="117">
        <f t="shared" si="74"/>
        <v>15470000</v>
      </c>
      <c r="X98" s="117">
        <f t="shared" si="75"/>
        <v>0</v>
      </c>
      <c r="Y98" s="117">
        <f t="shared" si="76"/>
        <v>15470000</v>
      </c>
      <c r="Z98" s="204">
        <f t="shared" si="65"/>
        <v>0</v>
      </c>
    </row>
    <row r="99" spans="1:26" s="113" customFormat="1">
      <c r="A99" s="114" t="s">
        <v>489</v>
      </c>
      <c r="B99" s="115" t="s">
        <v>636</v>
      </c>
      <c r="C99" s="116" t="s">
        <v>457</v>
      </c>
      <c r="D99" s="116" t="s">
        <v>637</v>
      </c>
      <c r="E99" s="117">
        <v>897000000</v>
      </c>
      <c r="F99" s="117">
        <v>714694000</v>
      </c>
      <c r="G99" s="117"/>
      <c r="H99" s="117"/>
      <c r="I99" s="117"/>
      <c r="J99" s="118">
        <f t="shared" si="69"/>
        <v>0</v>
      </c>
      <c r="K99" s="117"/>
      <c r="L99" s="117">
        <f t="shared" si="70"/>
        <v>0</v>
      </c>
      <c r="M99" s="117"/>
      <c r="N99" s="117"/>
      <c r="O99" s="117"/>
      <c r="P99" s="117">
        <f t="shared" si="71"/>
        <v>0</v>
      </c>
      <c r="Q99" s="117">
        <v>11000000</v>
      </c>
      <c r="R99" s="117">
        <f t="shared" si="72"/>
        <v>10203167</v>
      </c>
      <c r="S99" s="117">
        <v>10203167</v>
      </c>
      <c r="T99" s="119"/>
      <c r="U99" s="117"/>
      <c r="V99" s="117">
        <f t="shared" si="73"/>
        <v>796833</v>
      </c>
      <c r="W99" s="117">
        <f t="shared" si="74"/>
        <v>10203167</v>
      </c>
      <c r="X99" s="117">
        <f t="shared" si="75"/>
        <v>0</v>
      </c>
      <c r="Y99" s="117">
        <f t="shared" si="76"/>
        <v>724897167</v>
      </c>
      <c r="Z99" s="204">
        <f t="shared" si="65"/>
        <v>0</v>
      </c>
    </row>
    <row r="100" spans="1:26" s="113" customFormat="1">
      <c r="A100" s="114" t="s">
        <v>553</v>
      </c>
      <c r="B100" s="115" t="s">
        <v>638</v>
      </c>
      <c r="C100" s="116" t="s">
        <v>457</v>
      </c>
      <c r="D100" s="116" t="s">
        <v>639</v>
      </c>
      <c r="E100" s="117">
        <v>2874000000</v>
      </c>
      <c r="F100" s="117"/>
      <c r="G100" s="117"/>
      <c r="H100" s="117"/>
      <c r="I100" s="117"/>
      <c r="J100" s="118">
        <f t="shared" si="69"/>
        <v>0</v>
      </c>
      <c r="K100" s="117"/>
      <c r="L100" s="117">
        <f t="shared" si="70"/>
        <v>0</v>
      </c>
      <c r="M100" s="117"/>
      <c r="N100" s="117"/>
      <c r="O100" s="117"/>
      <c r="P100" s="117">
        <f t="shared" si="71"/>
        <v>0</v>
      </c>
      <c r="Q100" s="117">
        <v>79000000</v>
      </c>
      <c r="R100" s="117">
        <f t="shared" si="72"/>
        <v>78083000</v>
      </c>
      <c r="S100" s="117">
        <v>78083000</v>
      </c>
      <c r="T100" s="117"/>
      <c r="U100" s="117"/>
      <c r="V100" s="117">
        <f t="shared" si="73"/>
        <v>917000</v>
      </c>
      <c r="W100" s="117">
        <f t="shared" si="74"/>
        <v>78083000</v>
      </c>
      <c r="X100" s="117">
        <f t="shared" si="75"/>
        <v>0</v>
      </c>
      <c r="Y100" s="117">
        <f t="shared" si="76"/>
        <v>78083000</v>
      </c>
      <c r="Z100" s="204">
        <f t="shared" si="65"/>
        <v>0</v>
      </c>
    </row>
    <row r="101" spans="1:26" s="113" customFormat="1">
      <c r="A101" s="114" t="s">
        <v>556</v>
      </c>
      <c r="B101" s="115" t="s">
        <v>640</v>
      </c>
      <c r="C101" s="116" t="s">
        <v>457</v>
      </c>
      <c r="D101" s="116" t="s">
        <v>641</v>
      </c>
      <c r="E101" s="117">
        <v>1235000000</v>
      </c>
      <c r="F101" s="117"/>
      <c r="G101" s="117"/>
      <c r="H101" s="117"/>
      <c r="I101" s="117"/>
      <c r="J101" s="118">
        <f t="shared" si="69"/>
        <v>0</v>
      </c>
      <c r="K101" s="117"/>
      <c r="L101" s="117">
        <f t="shared" si="70"/>
        <v>0</v>
      </c>
      <c r="M101" s="117"/>
      <c r="N101" s="117"/>
      <c r="O101" s="117"/>
      <c r="P101" s="117">
        <f t="shared" si="71"/>
        <v>0</v>
      </c>
      <c r="Q101" s="117">
        <v>4000000</v>
      </c>
      <c r="R101" s="117">
        <f t="shared" si="72"/>
        <v>3951000</v>
      </c>
      <c r="S101" s="117">
        <v>3951000</v>
      </c>
      <c r="T101" s="117"/>
      <c r="U101" s="117"/>
      <c r="V101" s="117">
        <f t="shared" si="73"/>
        <v>49000</v>
      </c>
      <c r="W101" s="117">
        <f t="shared" si="74"/>
        <v>3951000</v>
      </c>
      <c r="X101" s="117">
        <f t="shared" si="75"/>
        <v>0</v>
      </c>
      <c r="Y101" s="117">
        <f t="shared" si="76"/>
        <v>3951000</v>
      </c>
      <c r="Z101" s="204">
        <f t="shared" si="65"/>
        <v>0</v>
      </c>
    </row>
    <row r="102" spans="1:26" s="113" customFormat="1">
      <c r="A102" s="114" t="s">
        <v>559</v>
      </c>
      <c r="B102" s="115" t="s">
        <v>642</v>
      </c>
      <c r="C102" s="116" t="s">
        <v>457</v>
      </c>
      <c r="D102" s="116" t="s">
        <v>643</v>
      </c>
      <c r="E102" s="117">
        <v>820000000</v>
      </c>
      <c r="F102" s="117"/>
      <c r="G102" s="117"/>
      <c r="H102" s="117"/>
      <c r="I102" s="117"/>
      <c r="J102" s="118">
        <f t="shared" si="69"/>
        <v>0</v>
      </c>
      <c r="K102" s="117"/>
      <c r="L102" s="117">
        <f t="shared" si="70"/>
        <v>0</v>
      </c>
      <c r="M102" s="117"/>
      <c r="N102" s="117"/>
      <c r="O102" s="117"/>
      <c r="P102" s="117">
        <f t="shared" si="71"/>
        <v>0</v>
      </c>
      <c r="Q102" s="117">
        <v>3000000</v>
      </c>
      <c r="R102" s="117">
        <f t="shared" si="72"/>
        <v>2622000</v>
      </c>
      <c r="S102" s="117">
        <v>2622000</v>
      </c>
      <c r="T102" s="117"/>
      <c r="U102" s="117"/>
      <c r="V102" s="117">
        <f t="shared" si="73"/>
        <v>378000</v>
      </c>
      <c r="W102" s="117">
        <f t="shared" si="74"/>
        <v>2622000</v>
      </c>
      <c r="X102" s="117">
        <f t="shared" si="75"/>
        <v>0</v>
      </c>
      <c r="Y102" s="117">
        <f t="shared" si="76"/>
        <v>2622000</v>
      </c>
      <c r="Z102" s="204">
        <f t="shared" si="65"/>
        <v>0</v>
      </c>
    </row>
    <row r="103" spans="1:26" s="113" customFormat="1" ht="24">
      <c r="A103" s="114" t="s">
        <v>562</v>
      </c>
      <c r="B103" s="115" t="s">
        <v>644</v>
      </c>
      <c r="C103" s="116" t="s">
        <v>457</v>
      </c>
      <c r="D103" s="116" t="s">
        <v>645</v>
      </c>
      <c r="E103" s="117">
        <v>3362000000</v>
      </c>
      <c r="F103" s="117"/>
      <c r="G103" s="117"/>
      <c r="H103" s="117"/>
      <c r="I103" s="117"/>
      <c r="J103" s="118">
        <f t="shared" si="69"/>
        <v>0</v>
      </c>
      <c r="K103" s="117"/>
      <c r="L103" s="117">
        <f t="shared" si="70"/>
        <v>0</v>
      </c>
      <c r="M103" s="117"/>
      <c r="N103" s="117"/>
      <c r="O103" s="117"/>
      <c r="P103" s="117">
        <f t="shared" si="71"/>
        <v>0</v>
      </c>
      <c r="Q103" s="117">
        <v>13000000</v>
      </c>
      <c r="R103" s="117">
        <f t="shared" si="72"/>
        <v>12772000</v>
      </c>
      <c r="S103" s="117">
        <v>12772000</v>
      </c>
      <c r="T103" s="117"/>
      <c r="U103" s="117"/>
      <c r="V103" s="117">
        <f t="shared" si="73"/>
        <v>228000</v>
      </c>
      <c r="W103" s="117">
        <f t="shared" si="74"/>
        <v>12772000</v>
      </c>
      <c r="X103" s="117">
        <f t="shared" si="75"/>
        <v>0</v>
      </c>
      <c r="Y103" s="117">
        <f t="shared" si="76"/>
        <v>12772000</v>
      </c>
      <c r="Z103" s="204">
        <f t="shared" si="65"/>
        <v>0</v>
      </c>
    </row>
    <row r="104" spans="1:26" s="113" customFormat="1" ht="24">
      <c r="A104" s="114" t="s">
        <v>565</v>
      </c>
      <c r="B104" s="115" t="s">
        <v>646</v>
      </c>
      <c r="C104" s="116" t="s">
        <v>457</v>
      </c>
      <c r="D104" s="116" t="s">
        <v>647</v>
      </c>
      <c r="E104" s="117">
        <v>14986000000</v>
      </c>
      <c r="F104" s="117">
        <v>4416485000</v>
      </c>
      <c r="G104" s="125">
        <v>706800000</v>
      </c>
      <c r="H104" s="117"/>
      <c r="I104" s="117">
        <v>706800000</v>
      </c>
      <c r="J104" s="118">
        <f t="shared" si="69"/>
        <v>0</v>
      </c>
      <c r="K104" s="117"/>
      <c r="L104" s="117">
        <f t="shared" si="70"/>
        <v>0</v>
      </c>
      <c r="M104" s="117"/>
      <c r="N104" s="117"/>
      <c r="O104" s="117"/>
      <c r="P104" s="117">
        <f t="shared" si="71"/>
        <v>0</v>
      </c>
      <c r="Q104" s="117">
        <v>656000000</v>
      </c>
      <c r="R104" s="117">
        <f t="shared" si="72"/>
        <v>607300000</v>
      </c>
      <c r="S104" s="117">
        <v>607300000</v>
      </c>
      <c r="T104" s="117"/>
      <c r="U104" s="117"/>
      <c r="V104" s="117">
        <f t="shared" si="73"/>
        <v>48700000</v>
      </c>
      <c r="W104" s="117">
        <f t="shared" si="74"/>
        <v>1314100000</v>
      </c>
      <c r="X104" s="117">
        <f t="shared" si="75"/>
        <v>0</v>
      </c>
      <c r="Y104" s="117">
        <f t="shared" si="76"/>
        <v>5023785000</v>
      </c>
      <c r="Z104" s="204">
        <f t="shared" si="65"/>
        <v>0</v>
      </c>
    </row>
    <row r="105" spans="1:26" s="113" customFormat="1">
      <c r="A105" s="114" t="s">
        <v>568</v>
      </c>
      <c r="B105" s="115" t="s">
        <v>648</v>
      </c>
      <c r="C105" s="116" t="s">
        <v>457</v>
      </c>
      <c r="D105" s="116" t="s">
        <v>649</v>
      </c>
      <c r="E105" s="117">
        <v>4823194353</v>
      </c>
      <c r="F105" s="117">
        <v>4103657600</v>
      </c>
      <c r="G105" s="117">
        <v>0</v>
      </c>
      <c r="H105" s="117"/>
      <c r="I105" s="117"/>
      <c r="J105" s="118">
        <f t="shared" si="69"/>
        <v>0</v>
      </c>
      <c r="K105" s="117"/>
      <c r="L105" s="117">
        <f t="shared" si="70"/>
        <v>0</v>
      </c>
      <c r="M105" s="117"/>
      <c r="N105" s="117"/>
      <c r="O105" s="117"/>
      <c r="P105" s="117">
        <f t="shared" si="71"/>
        <v>0</v>
      </c>
      <c r="Q105" s="117">
        <v>46000000</v>
      </c>
      <c r="R105" s="117">
        <f t="shared" si="72"/>
        <v>45819000</v>
      </c>
      <c r="S105" s="117">
        <v>45819000</v>
      </c>
      <c r="T105" s="119"/>
      <c r="U105" s="117"/>
      <c r="V105" s="117">
        <f t="shared" si="73"/>
        <v>181000</v>
      </c>
      <c r="W105" s="117">
        <f t="shared" si="74"/>
        <v>45819000</v>
      </c>
      <c r="X105" s="117">
        <f t="shared" si="75"/>
        <v>0</v>
      </c>
      <c r="Y105" s="117">
        <f t="shared" si="76"/>
        <v>4149476600</v>
      </c>
      <c r="Z105" s="204">
        <f t="shared" si="65"/>
        <v>0</v>
      </c>
    </row>
    <row r="106" spans="1:26" s="113" customFormat="1" ht="24">
      <c r="A106" s="114" t="s">
        <v>571</v>
      </c>
      <c r="B106" s="115" t="s">
        <v>650</v>
      </c>
      <c r="C106" s="116" t="s">
        <v>457</v>
      </c>
      <c r="D106" s="116" t="s">
        <v>651</v>
      </c>
      <c r="E106" s="117">
        <v>360000000</v>
      </c>
      <c r="F106" s="117">
        <v>315589000</v>
      </c>
      <c r="G106" s="117"/>
      <c r="H106" s="117"/>
      <c r="I106" s="117"/>
      <c r="J106" s="118">
        <f t="shared" si="69"/>
        <v>0</v>
      </c>
      <c r="K106" s="117"/>
      <c r="L106" s="117">
        <f t="shared" si="70"/>
        <v>0</v>
      </c>
      <c r="M106" s="117"/>
      <c r="N106" s="117"/>
      <c r="O106" s="117"/>
      <c r="P106" s="117">
        <f t="shared" si="71"/>
        <v>0</v>
      </c>
      <c r="Q106" s="117">
        <v>4000000</v>
      </c>
      <c r="R106" s="117">
        <f t="shared" si="72"/>
        <v>3400000</v>
      </c>
      <c r="S106" s="117">
        <v>3400000</v>
      </c>
      <c r="T106" s="119"/>
      <c r="U106" s="117"/>
      <c r="V106" s="117">
        <f t="shared" si="73"/>
        <v>600000</v>
      </c>
      <c r="W106" s="117">
        <f t="shared" si="74"/>
        <v>3400000</v>
      </c>
      <c r="X106" s="117">
        <f t="shared" si="75"/>
        <v>0</v>
      </c>
      <c r="Y106" s="117">
        <f t="shared" si="76"/>
        <v>318989000</v>
      </c>
      <c r="Z106" s="204">
        <f t="shared" si="65"/>
        <v>0</v>
      </c>
    </row>
    <row r="107" spans="1:26" s="113" customFormat="1" ht="24">
      <c r="A107" s="114" t="s">
        <v>574</v>
      </c>
      <c r="B107" s="115" t="s">
        <v>652</v>
      </c>
      <c r="C107" s="116" t="s">
        <v>457</v>
      </c>
      <c r="D107" s="116" t="s">
        <v>653</v>
      </c>
      <c r="E107" s="117">
        <v>2752000000</v>
      </c>
      <c r="F107" s="117"/>
      <c r="G107" s="117"/>
      <c r="H107" s="117"/>
      <c r="I107" s="117"/>
      <c r="J107" s="118">
        <f t="shared" si="69"/>
        <v>0</v>
      </c>
      <c r="K107" s="117"/>
      <c r="L107" s="117">
        <f t="shared" si="70"/>
        <v>0</v>
      </c>
      <c r="M107" s="117"/>
      <c r="N107" s="117"/>
      <c r="O107" s="117"/>
      <c r="P107" s="117">
        <f t="shared" si="71"/>
        <v>0</v>
      </c>
      <c r="Q107" s="117">
        <v>17000000</v>
      </c>
      <c r="R107" s="117">
        <f t="shared" si="72"/>
        <v>16458873</v>
      </c>
      <c r="S107" s="117">
        <v>16458873</v>
      </c>
      <c r="T107" s="119"/>
      <c r="U107" s="117"/>
      <c r="V107" s="117">
        <f t="shared" si="73"/>
        <v>541127</v>
      </c>
      <c r="W107" s="117">
        <f t="shared" si="74"/>
        <v>16458873</v>
      </c>
      <c r="X107" s="117">
        <f t="shared" si="75"/>
        <v>0</v>
      </c>
      <c r="Y107" s="117">
        <f t="shared" si="76"/>
        <v>16458873</v>
      </c>
      <c r="Z107" s="204">
        <f t="shared" si="65"/>
        <v>0</v>
      </c>
    </row>
    <row r="108" spans="1:26" s="113" customFormat="1" ht="24">
      <c r="A108" s="114" t="s">
        <v>577</v>
      </c>
      <c r="B108" s="115" t="s">
        <v>654</v>
      </c>
      <c r="C108" s="116" t="s">
        <v>457</v>
      </c>
      <c r="D108" s="116" t="s">
        <v>655</v>
      </c>
      <c r="E108" s="117">
        <v>4140000000</v>
      </c>
      <c r="F108" s="117"/>
      <c r="G108" s="117"/>
      <c r="H108" s="117"/>
      <c r="I108" s="117"/>
      <c r="J108" s="118">
        <f t="shared" si="69"/>
        <v>0</v>
      </c>
      <c r="K108" s="117"/>
      <c r="L108" s="117">
        <f t="shared" si="70"/>
        <v>0</v>
      </c>
      <c r="M108" s="117"/>
      <c r="N108" s="117"/>
      <c r="O108" s="117"/>
      <c r="P108" s="117">
        <f t="shared" si="71"/>
        <v>0</v>
      </c>
      <c r="Q108" s="117">
        <v>17000000</v>
      </c>
      <c r="R108" s="117">
        <f t="shared" si="72"/>
        <v>16447000</v>
      </c>
      <c r="S108" s="117">
        <v>16447000</v>
      </c>
      <c r="T108" s="119"/>
      <c r="U108" s="117"/>
      <c r="V108" s="117">
        <f t="shared" si="73"/>
        <v>553000</v>
      </c>
      <c r="W108" s="117">
        <f t="shared" si="74"/>
        <v>16447000</v>
      </c>
      <c r="X108" s="117">
        <f t="shared" si="75"/>
        <v>0</v>
      </c>
      <c r="Y108" s="117">
        <f t="shared" si="76"/>
        <v>16447000</v>
      </c>
      <c r="Z108" s="204">
        <f t="shared" si="65"/>
        <v>0</v>
      </c>
    </row>
    <row r="109" spans="1:26" s="113" customFormat="1" ht="24">
      <c r="A109" s="114" t="s">
        <v>656</v>
      </c>
      <c r="B109" s="115" t="s">
        <v>657</v>
      </c>
      <c r="C109" s="116" t="s">
        <v>457</v>
      </c>
      <c r="D109" s="116" t="s">
        <v>658</v>
      </c>
      <c r="E109" s="117">
        <v>2825000000</v>
      </c>
      <c r="F109" s="117"/>
      <c r="G109" s="117"/>
      <c r="H109" s="117"/>
      <c r="I109" s="117"/>
      <c r="J109" s="118">
        <f t="shared" si="69"/>
        <v>0</v>
      </c>
      <c r="K109" s="117"/>
      <c r="L109" s="117">
        <f t="shared" si="70"/>
        <v>0</v>
      </c>
      <c r="M109" s="117"/>
      <c r="N109" s="117"/>
      <c r="O109" s="117"/>
      <c r="P109" s="117">
        <f t="shared" si="71"/>
        <v>0</v>
      </c>
      <c r="Q109" s="117">
        <v>12000000</v>
      </c>
      <c r="R109" s="117">
        <f t="shared" si="72"/>
        <v>11270750</v>
      </c>
      <c r="S109" s="117">
        <v>11270750</v>
      </c>
      <c r="T109" s="119"/>
      <c r="U109" s="117"/>
      <c r="V109" s="117">
        <f t="shared" si="73"/>
        <v>729250</v>
      </c>
      <c r="W109" s="117">
        <f t="shared" si="74"/>
        <v>11270750</v>
      </c>
      <c r="X109" s="117">
        <f t="shared" si="75"/>
        <v>0</v>
      </c>
      <c r="Y109" s="117">
        <f t="shared" si="76"/>
        <v>11270750</v>
      </c>
      <c r="Z109" s="204">
        <f t="shared" si="65"/>
        <v>0</v>
      </c>
    </row>
    <row r="110" spans="1:26" s="113" customFormat="1" ht="24">
      <c r="A110" s="114" t="s">
        <v>659</v>
      </c>
      <c r="B110" s="115" t="s">
        <v>660</v>
      </c>
      <c r="C110" s="116" t="s">
        <v>457</v>
      </c>
      <c r="D110" s="116" t="s">
        <v>661</v>
      </c>
      <c r="E110" s="117">
        <v>523000000</v>
      </c>
      <c r="F110" s="117">
        <v>494841000</v>
      </c>
      <c r="G110" s="117"/>
      <c r="H110" s="117"/>
      <c r="I110" s="117"/>
      <c r="J110" s="118">
        <f t="shared" si="69"/>
        <v>0</v>
      </c>
      <c r="K110" s="117"/>
      <c r="L110" s="117">
        <f t="shared" si="70"/>
        <v>0</v>
      </c>
      <c r="M110" s="117"/>
      <c r="N110" s="117"/>
      <c r="O110" s="117"/>
      <c r="P110" s="117">
        <f t="shared" si="71"/>
        <v>0</v>
      </c>
      <c r="Q110" s="117">
        <v>7000000</v>
      </c>
      <c r="R110" s="117">
        <f t="shared" si="72"/>
        <v>4969000</v>
      </c>
      <c r="S110" s="117">
        <v>4969000</v>
      </c>
      <c r="T110" s="119"/>
      <c r="U110" s="117"/>
      <c r="V110" s="117">
        <f t="shared" si="73"/>
        <v>2031000</v>
      </c>
      <c r="W110" s="117">
        <f t="shared" si="74"/>
        <v>4969000</v>
      </c>
      <c r="X110" s="117">
        <f t="shared" si="75"/>
        <v>0</v>
      </c>
      <c r="Y110" s="117">
        <f t="shared" si="76"/>
        <v>499810000</v>
      </c>
      <c r="Z110" s="204">
        <f t="shared" si="65"/>
        <v>0</v>
      </c>
    </row>
    <row r="111" spans="1:26" s="113" customFormat="1" ht="24">
      <c r="A111" s="114" t="s">
        <v>662</v>
      </c>
      <c r="B111" s="115" t="s">
        <v>663</v>
      </c>
      <c r="C111" s="116" t="s">
        <v>457</v>
      </c>
      <c r="D111" s="116" t="s">
        <v>664</v>
      </c>
      <c r="E111" s="117">
        <v>3259000000</v>
      </c>
      <c r="F111" s="117"/>
      <c r="G111" s="117"/>
      <c r="H111" s="117"/>
      <c r="I111" s="117"/>
      <c r="J111" s="118">
        <f t="shared" si="69"/>
        <v>0</v>
      </c>
      <c r="K111" s="117"/>
      <c r="L111" s="117">
        <f t="shared" si="70"/>
        <v>0</v>
      </c>
      <c r="M111" s="117"/>
      <c r="N111" s="117"/>
      <c r="O111" s="117"/>
      <c r="P111" s="117">
        <f t="shared" si="71"/>
        <v>0</v>
      </c>
      <c r="Q111" s="117">
        <v>12000000</v>
      </c>
      <c r="R111" s="117">
        <f t="shared" si="72"/>
        <v>11661832</v>
      </c>
      <c r="S111" s="117">
        <v>11661832</v>
      </c>
      <c r="T111" s="119"/>
      <c r="U111" s="117"/>
      <c r="V111" s="117">
        <f t="shared" si="73"/>
        <v>338168</v>
      </c>
      <c r="W111" s="117">
        <f t="shared" si="74"/>
        <v>11661832</v>
      </c>
      <c r="X111" s="117">
        <f t="shared" si="75"/>
        <v>0</v>
      </c>
      <c r="Y111" s="117">
        <f t="shared" si="76"/>
        <v>11661832</v>
      </c>
      <c r="Z111" s="204">
        <f t="shared" si="65"/>
        <v>0</v>
      </c>
    </row>
    <row r="112" spans="1:26" s="113" customFormat="1">
      <c r="A112" s="114" t="s">
        <v>665</v>
      </c>
      <c r="B112" s="115" t="s">
        <v>666</v>
      </c>
      <c r="C112" s="116" t="s">
        <v>457</v>
      </c>
      <c r="D112" s="116" t="s">
        <v>667</v>
      </c>
      <c r="E112" s="117">
        <v>10817000000</v>
      </c>
      <c r="F112" s="117"/>
      <c r="G112" s="117"/>
      <c r="H112" s="117"/>
      <c r="I112" s="117"/>
      <c r="J112" s="118">
        <f t="shared" si="69"/>
        <v>0</v>
      </c>
      <c r="K112" s="117"/>
      <c r="L112" s="117">
        <f t="shared" si="70"/>
        <v>0</v>
      </c>
      <c r="M112" s="117"/>
      <c r="N112" s="117"/>
      <c r="O112" s="117"/>
      <c r="P112" s="117">
        <f t="shared" si="71"/>
        <v>0</v>
      </c>
      <c r="Q112" s="117">
        <v>163000000</v>
      </c>
      <c r="R112" s="117">
        <f t="shared" si="72"/>
        <v>162155000</v>
      </c>
      <c r="S112" s="117">
        <v>162155000</v>
      </c>
      <c r="T112" s="119"/>
      <c r="U112" s="117"/>
      <c r="V112" s="117">
        <f t="shared" si="73"/>
        <v>845000</v>
      </c>
      <c r="W112" s="117">
        <f t="shared" si="74"/>
        <v>162155000</v>
      </c>
      <c r="X112" s="117">
        <f t="shared" si="75"/>
        <v>0</v>
      </c>
      <c r="Y112" s="117">
        <f t="shared" si="76"/>
        <v>162155000</v>
      </c>
      <c r="Z112" s="204">
        <f t="shared" si="65"/>
        <v>0</v>
      </c>
    </row>
    <row r="113" spans="1:26" s="113" customFormat="1" ht="24">
      <c r="A113" s="114" t="s">
        <v>668</v>
      </c>
      <c r="B113" s="115" t="s">
        <v>669</v>
      </c>
      <c r="C113" s="116" t="s">
        <v>457</v>
      </c>
      <c r="D113" s="116" t="s">
        <v>670</v>
      </c>
      <c r="E113" s="117">
        <v>10380000000</v>
      </c>
      <c r="F113" s="117">
        <v>5086158000</v>
      </c>
      <c r="G113" s="117">
        <v>0</v>
      </c>
      <c r="H113" s="117"/>
      <c r="I113" s="117"/>
      <c r="J113" s="118">
        <f t="shared" si="69"/>
        <v>0</v>
      </c>
      <c r="K113" s="117"/>
      <c r="L113" s="117">
        <f t="shared" si="70"/>
        <v>0</v>
      </c>
      <c r="M113" s="117"/>
      <c r="N113" s="117"/>
      <c r="O113" s="117"/>
      <c r="P113" s="117">
        <f t="shared" si="71"/>
        <v>0</v>
      </c>
      <c r="Q113" s="117">
        <v>259000000</v>
      </c>
      <c r="R113" s="117">
        <f t="shared" si="72"/>
        <v>258126000</v>
      </c>
      <c r="S113" s="117">
        <v>258126000</v>
      </c>
      <c r="T113" s="119"/>
      <c r="U113" s="117"/>
      <c r="V113" s="117">
        <f t="shared" si="73"/>
        <v>874000</v>
      </c>
      <c r="W113" s="117">
        <f t="shared" si="74"/>
        <v>258126000</v>
      </c>
      <c r="X113" s="117">
        <f t="shared" si="75"/>
        <v>0</v>
      </c>
      <c r="Y113" s="117">
        <f t="shared" si="76"/>
        <v>5344284000</v>
      </c>
      <c r="Z113" s="204">
        <f t="shared" si="65"/>
        <v>0</v>
      </c>
    </row>
    <row r="114" spans="1:26" s="113" customFormat="1">
      <c r="A114" s="114" t="s">
        <v>671</v>
      </c>
      <c r="B114" s="115" t="s">
        <v>672</v>
      </c>
      <c r="C114" s="116" t="s">
        <v>457</v>
      </c>
      <c r="D114" s="116" t="s">
        <v>673</v>
      </c>
      <c r="E114" s="117">
        <v>21159000000</v>
      </c>
      <c r="F114" s="117"/>
      <c r="G114" s="117"/>
      <c r="H114" s="117"/>
      <c r="I114" s="117"/>
      <c r="J114" s="118">
        <f t="shared" si="69"/>
        <v>0</v>
      </c>
      <c r="K114" s="117"/>
      <c r="L114" s="117">
        <f t="shared" si="70"/>
        <v>0</v>
      </c>
      <c r="M114" s="117"/>
      <c r="N114" s="117"/>
      <c r="O114" s="117"/>
      <c r="P114" s="117">
        <f t="shared" si="71"/>
        <v>0</v>
      </c>
      <c r="Q114" s="117">
        <v>192000000</v>
      </c>
      <c r="R114" s="117">
        <f t="shared" si="72"/>
        <v>191553798</v>
      </c>
      <c r="S114" s="117">
        <v>191553798</v>
      </c>
      <c r="T114" s="119"/>
      <c r="U114" s="117"/>
      <c r="V114" s="117">
        <f t="shared" si="73"/>
        <v>446202</v>
      </c>
      <c r="W114" s="117">
        <f t="shared" si="74"/>
        <v>191553798</v>
      </c>
      <c r="X114" s="117">
        <f t="shared" si="75"/>
        <v>0</v>
      </c>
      <c r="Y114" s="117">
        <f t="shared" si="76"/>
        <v>191553798</v>
      </c>
      <c r="Z114" s="204">
        <f t="shared" si="65"/>
        <v>0</v>
      </c>
    </row>
    <row r="115" spans="1:26" s="113" customFormat="1">
      <c r="A115" s="114" t="s">
        <v>674</v>
      </c>
      <c r="B115" s="115" t="s">
        <v>675</v>
      </c>
      <c r="C115" s="116" t="s">
        <v>457</v>
      </c>
      <c r="D115" s="116" t="s">
        <v>676</v>
      </c>
      <c r="E115" s="117">
        <v>32233000000</v>
      </c>
      <c r="F115" s="117"/>
      <c r="G115" s="117"/>
      <c r="H115" s="117"/>
      <c r="I115" s="117"/>
      <c r="J115" s="118">
        <f t="shared" si="69"/>
        <v>0</v>
      </c>
      <c r="K115" s="117"/>
      <c r="L115" s="117">
        <f t="shared" si="70"/>
        <v>0</v>
      </c>
      <c r="M115" s="117"/>
      <c r="N115" s="117"/>
      <c r="O115" s="117"/>
      <c r="P115" s="117">
        <f t="shared" si="71"/>
        <v>0</v>
      </c>
      <c r="Q115" s="117">
        <v>12800000000</v>
      </c>
      <c r="R115" s="117">
        <f t="shared" si="72"/>
        <v>11426093999</v>
      </c>
      <c r="S115" s="117">
        <v>11214174359</v>
      </c>
      <c r="T115" s="119">
        <v>211919640</v>
      </c>
      <c r="U115" s="117"/>
      <c r="V115" s="117">
        <f t="shared" si="73"/>
        <v>1373906001</v>
      </c>
      <c r="W115" s="117">
        <f t="shared" si="74"/>
        <v>11214174359</v>
      </c>
      <c r="X115" s="117">
        <f t="shared" si="75"/>
        <v>211919640</v>
      </c>
      <c r="Y115" s="117">
        <f t="shared" si="76"/>
        <v>11426093999</v>
      </c>
      <c r="Z115" s="204">
        <f t="shared" si="65"/>
        <v>0</v>
      </c>
    </row>
    <row r="116" spans="1:26" s="124" customFormat="1">
      <c r="A116" s="120"/>
      <c r="B116" s="121" t="s">
        <v>611</v>
      </c>
      <c r="C116" s="122"/>
      <c r="D116" s="122"/>
      <c r="E116" s="123"/>
      <c r="F116" s="123"/>
      <c r="G116" s="123"/>
      <c r="H116" s="123"/>
      <c r="I116" s="123"/>
      <c r="J116" s="133"/>
      <c r="K116" s="123"/>
      <c r="L116" s="123"/>
      <c r="M116" s="123"/>
      <c r="N116" s="123"/>
      <c r="O116" s="123"/>
      <c r="P116" s="123"/>
      <c r="Q116" s="123">
        <v>43000000</v>
      </c>
      <c r="R116" s="123"/>
      <c r="S116" s="123"/>
      <c r="T116" s="134"/>
      <c r="U116" s="123"/>
      <c r="V116" s="123"/>
      <c r="W116" s="123"/>
      <c r="X116" s="123"/>
      <c r="Y116" s="123"/>
      <c r="Z116" s="204">
        <f t="shared" si="65"/>
        <v>0</v>
      </c>
    </row>
    <row r="117" spans="1:26" s="113" customFormat="1" ht="24">
      <c r="A117" s="114" t="s">
        <v>455</v>
      </c>
      <c r="B117" s="115" t="s">
        <v>677</v>
      </c>
      <c r="C117" s="116" t="s">
        <v>457</v>
      </c>
      <c r="D117" s="116" t="s">
        <v>678</v>
      </c>
      <c r="E117" s="117">
        <v>6118000000</v>
      </c>
      <c r="F117" s="117">
        <v>202290000</v>
      </c>
      <c r="G117" s="117"/>
      <c r="H117" s="117"/>
      <c r="I117" s="117"/>
      <c r="J117" s="118">
        <f t="shared" ref="J117:J123" si="77">G117-H117-I117+N117</f>
        <v>0</v>
      </c>
      <c r="K117" s="117">
        <v>1900000000</v>
      </c>
      <c r="L117" s="117">
        <f t="shared" ref="L117:L123" si="78">SUM(M117:N117)</f>
        <v>1890324000</v>
      </c>
      <c r="M117" s="117">
        <v>1890324000</v>
      </c>
      <c r="N117" s="117"/>
      <c r="O117" s="117"/>
      <c r="P117" s="117">
        <f>K117-L117-O117</f>
        <v>9676000</v>
      </c>
      <c r="Q117" s="117"/>
      <c r="R117" s="117">
        <f>SUM(S117:T117)</f>
        <v>0</v>
      </c>
      <c r="S117" s="117"/>
      <c r="T117" s="117"/>
      <c r="U117" s="117"/>
      <c r="V117" s="117">
        <f t="shared" ref="V117:V123" si="79">Q117-R117-U117</f>
        <v>0</v>
      </c>
      <c r="W117" s="117">
        <f t="shared" ref="W117:W123" si="80">SUM(I117,M117,S117)</f>
        <v>1890324000</v>
      </c>
      <c r="X117" s="117">
        <f t="shared" ref="X117:X123" si="81">G117-H117-I117+N117+T117</f>
        <v>0</v>
      </c>
      <c r="Y117" s="117">
        <f t="shared" ref="Y117:Y123" si="82">F117+L117+R117</f>
        <v>2092614000</v>
      </c>
      <c r="Z117" s="204">
        <f t="shared" si="65"/>
        <v>0</v>
      </c>
    </row>
    <row r="118" spans="1:26" s="113" customFormat="1">
      <c r="A118" s="114" t="s">
        <v>459</v>
      </c>
      <c r="B118" s="115" t="s">
        <v>679</v>
      </c>
      <c r="C118" s="116" t="s">
        <v>457</v>
      </c>
      <c r="D118" s="116" t="s">
        <v>680</v>
      </c>
      <c r="E118" s="117">
        <v>12225000000</v>
      </c>
      <c r="F118" s="117">
        <v>11636568085</v>
      </c>
      <c r="G118" s="117">
        <v>0</v>
      </c>
      <c r="H118" s="117"/>
      <c r="I118" s="117"/>
      <c r="J118" s="118">
        <f t="shared" si="77"/>
        <v>0</v>
      </c>
      <c r="K118" s="117">
        <v>359000000</v>
      </c>
      <c r="L118" s="117">
        <f t="shared" si="78"/>
        <v>0</v>
      </c>
      <c r="M118" s="117"/>
      <c r="N118" s="117"/>
      <c r="O118" s="117"/>
      <c r="P118" s="117">
        <f>K118-L118-O118</f>
        <v>359000000</v>
      </c>
      <c r="Q118" s="117"/>
      <c r="R118" s="117">
        <f>SUM(S118:T118)</f>
        <v>0</v>
      </c>
      <c r="S118" s="117"/>
      <c r="T118" s="117"/>
      <c r="U118" s="117"/>
      <c r="V118" s="117">
        <f t="shared" si="79"/>
        <v>0</v>
      </c>
      <c r="W118" s="117">
        <f t="shared" si="80"/>
        <v>0</v>
      </c>
      <c r="X118" s="117">
        <f t="shared" si="81"/>
        <v>0</v>
      </c>
      <c r="Y118" s="117">
        <f t="shared" si="82"/>
        <v>11636568085</v>
      </c>
      <c r="Z118" s="204">
        <f t="shared" si="65"/>
        <v>0</v>
      </c>
    </row>
    <row r="119" spans="1:26" s="113" customFormat="1" ht="24">
      <c r="A119" s="114" t="s">
        <v>462</v>
      </c>
      <c r="B119" s="115" t="s">
        <v>681</v>
      </c>
      <c r="C119" s="116" t="s">
        <v>457</v>
      </c>
      <c r="D119" s="116" t="s">
        <v>682</v>
      </c>
      <c r="E119" s="117">
        <v>12577000000</v>
      </c>
      <c r="F119" s="117">
        <v>10524475000</v>
      </c>
      <c r="G119" s="117">
        <v>0</v>
      </c>
      <c r="H119" s="117"/>
      <c r="I119" s="117"/>
      <c r="J119" s="118">
        <f t="shared" si="77"/>
        <v>0</v>
      </c>
      <c r="K119" s="117">
        <v>456000000</v>
      </c>
      <c r="L119" s="117">
        <f t="shared" si="78"/>
        <v>269522000</v>
      </c>
      <c r="M119" s="117">
        <v>269522000</v>
      </c>
      <c r="N119" s="117"/>
      <c r="O119" s="117"/>
      <c r="P119" s="117">
        <f>K119-L119-O119</f>
        <v>186478000</v>
      </c>
      <c r="Q119" s="117"/>
      <c r="R119" s="117">
        <f>SUM(S119:T119)</f>
        <v>0</v>
      </c>
      <c r="S119" s="117"/>
      <c r="T119" s="117"/>
      <c r="U119" s="117"/>
      <c r="V119" s="117">
        <f t="shared" si="79"/>
        <v>0</v>
      </c>
      <c r="W119" s="117">
        <f t="shared" si="80"/>
        <v>269522000</v>
      </c>
      <c r="X119" s="117">
        <f t="shared" si="81"/>
        <v>0</v>
      </c>
      <c r="Y119" s="117">
        <f t="shared" si="82"/>
        <v>10793997000</v>
      </c>
      <c r="Z119" s="204">
        <f t="shared" si="65"/>
        <v>0</v>
      </c>
    </row>
    <row r="120" spans="1:26" s="113" customFormat="1" ht="24">
      <c r="A120" s="114" t="s">
        <v>465</v>
      </c>
      <c r="B120" s="115" t="s">
        <v>683</v>
      </c>
      <c r="C120" s="116" t="s">
        <v>457</v>
      </c>
      <c r="D120" s="116" t="s">
        <v>684</v>
      </c>
      <c r="E120" s="117">
        <v>3262611847</v>
      </c>
      <c r="F120" s="117">
        <v>800000000</v>
      </c>
      <c r="G120" s="117">
        <v>48775000</v>
      </c>
      <c r="H120" s="117">
        <v>0</v>
      </c>
      <c r="I120" s="117">
        <v>48775000</v>
      </c>
      <c r="J120" s="118">
        <f t="shared" si="77"/>
        <v>0</v>
      </c>
      <c r="K120" s="117">
        <v>51000000</v>
      </c>
      <c r="L120" s="117">
        <f t="shared" si="78"/>
        <v>50291000</v>
      </c>
      <c r="M120" s="117">
        <v>50291000</v>
      </c>
      <c r="N120" s="117"/>
      <c r="O120" s="117"/>
      <c r="P120" s="117">
        <f>K120-L120</f>
        <v>709000</v>
      </c>
      <c r="Q120" s="117"/>
      <c r="R120" s="117"/>
      <c r="S120" s="117"/>
      <c r="T120" s="117"/>
      <c r="U120" s="117"/>
      <c r="V120" s="117">
        <f t="shared" si="79"/>
        <v>0</v>
      </c>
      <c r="W120" s="117">
        <f t="shared" si="80"/>
        <v>99066000</v>
      </c>
      <c r="X120" s="117">
        <f t="shared" si="81"/>
        <v>0</v>
      </c>
      <c r="Y120" s="117">
        <f t="shared" si="82"/>
        <v>850291000</v>
      </c>
      <c r="Z120" s="204">
        <f t="shared" si="65"/>
        <v>0</v>
      </c>
    </row>
    <row r="121" spans="1:26" s="113" customFormat="1" ht="24">
      <c r="A121" s="114" t="s">
        <v>468</v>
      </c>
      <c r="B121" s="115" t="s">
        <v>685</v>
      </c>
      <c r="C121" s="116" t="s">
        <v>457</v>
      </c>
      <c r="D121" s="116" t="s">
        <v>686</v>
      </c>
      <c r="E121" s="117">
        <v>5522000000</v>
      </c>
      <c r="F121" s="117">
        <v>4892656000</v>
      </c>
      <c r="G121" s="117"/>
      <c r="H121" s="117"/>
      <c r="I121" s="117"/>
      <c r="J121" s="118">
        <f t="shared" si="77"/>
        <v>0</v>
      </c>
      <c r="K121" s="117">
        <v>162000000</v>
      </c>
      <c r="L121" s="117">
        <f t="shared" si="78"/>
        <v>162000000</v>
      </c>
      <c r="M121" s="117">
        <v>162000000</v>
      </c>
      <c r="N121" s="117"/>
      <c r="O121" s="117"/>
      <c r="P121" s="117">
        <f>K121-L121-O121</f>
        <v>0</v>
      </c>
      <c r="Q121" s="117"/>
      <c r="R121" s="117">
        <f>SUM(S121:T121)</f>
        <v>0</v>
      </c>
      <c r="S121" s="117"/>
      <c r="T121" s="119"/>
      <c r="U121" s="117"/>
      <c r="V121" s="117">
        <f t="shared" si="79"/>
        <v>0</v>
      </c>
      <c r="W121" s="117">
        <f t="shared" si="80"/>
        <v>162000000</v>
      </c>
      <c r="X121" s="117">
        <f t="shared" si="81"/>
        <v>0</v>
      </c>
      <c r="Y121" s="117">
        <f t="shared" si="82"/>
        <v>5054656000</v>
      </c>
      <c r="Z121" s="204">
        <f t="shared" si="65"/>
        <v>0</v>
      </c>
    </row>
    <row r="122" spans="1:26" s="113" customFormat="1">
      <c r="A122" s="114" t="s">
        <v>471</v>
      </c>
      <c r="B122" s="115" t="s">
        <v>687</v>
      </c>
      <c r="C122" s="116" t="s">
        <v>457</v>
      </c>
      <c r="D122" s="116" t="s">
        <v>688</v>
      </c>
      <c r="E122" s="117">
        <v>5525000000</v>
      </c>
      <c r="F122" s="117">
        <v>4647032218</v>
      </c>
      <c r="G122" s="117">
        <v>599278000</v>
      </c>
      <c r="H122" s="117">
        <v>0</v>
      </c>
      <c r="I122" s="117">
        <v>599278000</v>
      </c>
      <c r="J122" s="118">
        <f t="shared" si="77"/>
        <v>0</v>
      </c>
      <c r="K122" s="117">
        <v>670854782</v>
      </c>
      <c r="L122" s="117">
        <f t="shared" si="78"/>
        <v>440440000</v>
      </c>
      <c r="M122" s="117">
        <v>440440000</v>
      </c>
      <c r="N122" s="117"/>
      <c r="O122" s="117"/>
      <c r="P122" s="117">
        <f>K122-L122-O122</f>
        <v>230414782</v>
      </c>
      <c r="Q122" s="117"/>
      <c r="R122" s="117">
        <f>SUM(S122:T122)</f>
        <v>0</v>
      </c>
      <c r="S122" s="117"/>
      <c r="T122" s="119"/>
      <c r="U122" s="117"/>
      <c r="V122" s="117">
        <f t="shared" si="79"/>
        <v>0</v>
      </c>
      <c r="W122" s="117">
        <f t="shared" si="80"/>
        <v>1039718000</v>
      </c>
      <c r="X122" s="117">
        <f t="shared" si="81"/>
        <v>0</v>
      </c>
      <c r="Y122" s="117">
        <f t="shared" si="82"/>
        <v>5087472218</v>
      </c>
      <c r="Z122" s="204">
        <f t="shared" si="65"/>
        <v>0</v>
      </c>
    </row>
    <row r="123" spans="1:26" s="113" customFormat="1" ht="24">
      <c r="A123" s="114" t="s">
        <v>474</v>
      </c>
      <c r="B123" s="115" t="s">
        <v>689</v>
      </c>
      <c r="C123" s="116" t="s">
        <v>457</v>
      </c>
      <c r="D123" s="116" t="s">
        <v>690</v>
      </c>
      <c r="E123" s="117">
        <v>31429000000</v>
      </c>
      <c r="F123" s="117">
        <v>3060681200</v>
      </c>
      <c r="G123" s="117"/>
      <c r="H123" s="117"/>
      <c r="I123" s="117"/>
      <c r="J123" s="118">
        <f t="shared" si="77"/>
        <v>0</v>
      </c>
      <c r="K123" s="117">
        <v>5070000000</v>
      </c>
      <c r="L123" s="117">
        <f t="shared" si="78"/>
        <v>4195601100</v>
      </c>
      <c r="M123" s="117">
        <v>4195601100</v>
      </c>
      <c r="N123" s="117"/>
      <c r="O123" s="117"/>
      <c r="P123" s="117">
        <f>K123-L123-O123</f>
        <v>874398900</v>
      </c>
      <c r="Q123" s="117"/>
      <c r="R123" s="117">
        <f>SUM(S123:T123)</f>
        <v>0</v>
      </c>
      <c r="S123" s="117"/>
      <c r="T123" s="119"/>
      <c r="U123" s="117"/>
      <c r="V123" s="117">
        <f t="shared" si="79"/>
        <v>0</v>
      </c>
      <c r="W123" s="117">
        <f t="shared" si="80"/>
        <v>4195601100</v>
      </c>
      <c r="X123" s="117">
        <f t="shared" si="81"/>
        <v>0</v>
      </c>
      <c r="Y123" s="117">
        <f t="shared" si="82"/>
        <v>7256282300</v>
      </c>
      <c r="Z123" s="204">
        <f t="shared" si="65"/>
        <v>0</v>
      </c>
    </row>
    <row r="124" spans="1:26" s="139" customFormat="1">
      <c r="A124" s="135" t="s">
        <v>8</v>
      </c>
      <c r="B124" s="136" t="s">
        <v>691</v>
      </c>
      <c r="C124" s="137"/>
      <c r="D124" s="138">
        <f t="shared" ref="D124:P124" si="83">D125+D222+D231+D239+D244+D253+D292+D294</f>
        <v>14679309</v>
      </c>
      <c r="E124" s="138">
        <f t="shared" si="83"/>
        <v>7601488795091</v>
      </c>
      <c r="F124" s="138">
        <f t="shared" si="83"/>
        <v>998861340732</v>
      </c>
      <c r="G124" s="138">
        <f t="shared" si="83"/>
        <v>186528920247</v>
      </c>
      <c r="H124" s="138">
        <f t="shared" si="83"/>
        <v>201901000</v>
      </c>
      <c r="I124" s="138">
        <f t="shared" si="83"/>
        <v>105748557816</v>
      </c>
      <c r="J124" s="138">
        <f t="shared" si="83"/>
        <v>81335917858</v>
      </c>
      <c r="K124" s="138">
        <f t="shared" si="83"/>
        <v>70977910673</v>
      </c>
      <c r="L124" s="138">
        <f t="shared" si="83"/>
        <v>41241319818</v>
      </c>
      <c r="M124" s="138">
        <f t="shared" si="83"/>
        <v>40483863391</v>
      </c>
      <c r="N124" s="138">
        <f t="shared" si="83"/>
        <v>757456427</v>
      </c>
      <c r="O124" s="138">
        <f t="shared" si="83"/>
        <v>0</v>
      </c>
      <c r="P124" s="138">
        <f t="shared" si="83"/>
        <v>29736590855</v>
      </c>
      <c r="Q124" s="138">
        <f>Q125+Q222+Q231+Q239+Q244+Q253+Q292+Q294</f>
        <v>883564000000</v>
      </c>
      <c r="R124" s="138">
        <f t="shared" ref="R124:Y124" si="84">R125+R222+R231+R239+R244+R253+R292+R294</f>
        <v>817262997518</v>
      </c>
      <c r="S124" s="138">
        <f t="shared" si="84"/>
        <v>690278354969</v>
      </c>
      <c r="T124" s="138">
        <f t="shared" si="84"/>
        <v>126984642549</v>
      </c>
      <c r="U124" s="138">
        <f t="shared" si="84"/>
        <v>0</v>
      </c>
      <c r="V124" s="138">
        <f t="shared" si="84"/>
        <v>46748002482</v>
      </c>
      <c r="W124" s="138">
        <f t="shared" si="84"/>
        <v>836510776176</v>
      </c>
      <c r="X124" s="138">
        <f t="shared" si="84"/>
        <v>208320560407</v>
      </c>
      <c r="Y124" s="138">
        <f t="shared" si="84"/>
        <v>1857365658068</v>
      </c>
      <c r="Z124" s="204">
        <f t="shared" si="65"/>
        <v>0</v>
      </c>
    </row>
    <row r="125" spans="1:26" s="124" customFormat="1">
      <c r="A125" s="120" t="s">
        <v>11</v>
      </c>
      <c r="B125" s="121" t="s">
        <v>692</v>
      </c>
      <c r="C125" s="122"/>
      <c r="D125" s="122"/>
      <c r="E125" s="123">
        <f t="shared" ref="E125:P125" si="85">SUM(E126:E221)</f>
        <v>2704673797400</v>
      </c>
      <c r="F125" s="123">
        <f t="shared" si="85"/>
        <v>501954351442</v>
      </c>
      <c r="G125" s="123">
        <f t="shared" si="85"/>
        <v>160685099831</v>
      </c>
      <c r="H125" s="123">
        <f t="shared" si="85"/>
        <v>0</v>
      </c>
      <c r="I125" s="123">
        <f t="shared" si="85"/>
        <v>82988943875</v>
      </c>
      <c r="J125" s="123">
        <f t="shared" si="85"/>
        <v>77929999956</v>
      </c>
      <c r="K125" s="123">
        <f t="shared" si="85"/>
        <v>26915924391</v>
      </c>
      <c r="L125" s="123">
        <f t="shared" si="85"/>
        <v>22262265883</v>
      </c>
      <c r="M125" s="123">
        <f t="shared" si="85"/>
        <v>22028421883</v>
      </c>
      <c r="N125" s="123">
        <f t="shared" si="85"/>
        <v>233844000</v>
      </c>
      <c r="O125" s="123">
        <f t="shared" si="85"/>
        <v>0</v>
      </c>
      <c r="P125" s="123">
        <f t="shared" si="85"/>
        <v>4653658508</v>
      </c>
      <c r="Q125" s="123">
        <f>SUM(Q126:Q221)</f>
        <v>440805000000</v>
      </c>
      <c r="R125" s="123">
        <f t="shared" ref="R125:Y125" si="86">SUM(R126:R221)</f>
        <v>419934971282</v>
      </c>
      <c r="S125" s="123">
        <f t="shared" si="86"/>
        <v>366020441952</v>
      </c>
      <c r="T125" s="123">
        <f t="shared" si="86"/>
        <v>53914529330</v>
      </c>
      <c r="U125" s="123">
        <f t="shared" si="86"/>
        <v>0</v>
      </c>
      <c r="V125" s="123">
        <f t="shared" si="86"/>
        <v>4732028718</v>
      </c>
      <c r="W125" s="123">
        <f t="shared" si="86"/>
        <v>471037807710</v>
      </c>
      <c r="X125" s="123">
        <f t="shared" si="86"/>
        <v>131844529286</v>
      </c>
      <c r="Y125" s="123">
        <f t="shared" si="86"/>
        <v>944151588607</v>
      </c>
      <c r="Z125" s="204">
        <f t="shared" si="65"/>
        <v>0</v>
      </c>
    </row>
    <row r="126" spans="1:26" s="113" customFormat="1">
      <c r="A126" s="114" t="s">
        <v>455</v>
      </c>
      <c r="B126" s="115" t="s">
        <v>693</v>
      </c>
      <c r="C126" s="116" t="s">
        <v>457</v>
      </c>
      <c r="D126" s="116" t="s">
        <v>694</v>
      </c>
      <c r="E126" s="117">
        <v>154740000000</v>
      </c>
      <c r="F126" s="117">
        <v>67988749000</v>
      </c>
      <c r="G126" s="117">
        <v>6911638000</v>
      </c>
      <c r="H126" s="117">
        <v>0</v>
      </c>
      <c r="I126" s="117">
        <v>6911638000</v>
      </c>
      <c r="J126" s="118">
        <f t="shared" ref="J126:J131" si="87">G126-H126-I126+N126</f>
        <v>0</v>
      </c>
      <c r="K126" s="117"/>
      <c r="L126" s="117">
        <f t="shared" ref="L126:L131" si="88">SUM(M126:N126)</f>
        <v>0</v>
      </c>
      <c r="M126" s="117"/>
      <c r="N126" s="117"/>
      <c r="O126" s="117"/>
      <c r="P126" s="117">
        <f t="shared" ref="P126:P131" si="89">K126-L126-O126</f>
        <v>0</v>
      </c>
      <c r="Q126" s="140">
        <v>20853000000</v>
      </c>
      <c r="R126" s="117">
        <f t="shared" ref="R126:R131" si="90">SUM(S126:T126)</f>
        <v>20853000000</v>
      </c>
      <c r="S126" s="117">
        <v>19980798859</v>
      </c>
      <c r="T126" s="117">
        <v>872201141</v>
      </c>
      <c r="U126" s="117"/>
      <c r="V126" s="117">
        <f t="shared" ref="V126:V131" si="91">Q126-R126-U126</f>
        <v>0</v>
      </c>
      <c r="W126" s="117">
        <f t="shared" ref="W126:W131" si="92">SUM(I126,M126,S126)</f>
        <v>26892436859</v>
      </c>
      <c r="X126" s="117">
        <f t="shared" ref="X126:X131" si="93">G126-H126-I126+N126+T126</f>
        <v>872201141</v>
      </c>
      <c r="Y126" s="117">
        <f t="shared" ref="Y126:Y131" si="94">F126+L126+R126</f>
        <v>88841749000</v>
      </c>
      <c r="Z126" s="204">
        <f t="shared" si="65"/>
        <v>0</v>
      </c>
    </row>
    <row r="127" spans="1:26" s="113" customFormat="1" ht="24">
      <c r="A127" s="114" t="s">
        <v>459</v>
      </c>
      <c r="B127" s="115" t="s">
        <v>695</v>
      </c>
      <c r="C127" s="116" t="s">
        <v>457</v>
      </c>
      <c r="D127" s="116" t="s">
        <v>696</v>
      </c>
      <c r="E127" s="117">
        <v>14224000000</v>
      </c>
      <c r="F127" s="117">
        <v>9322218000</v>
      </c>
      <c r="G127" s="117">
        <v>0</v>
      </c>
      <c r="H127" s="117"/>
      <c r="I127" s="117"/>
      <c r="J127" s="118">
        <f t="shared" si="87"/>
        <v>0</v>
      </c>
      <c r="K127" s="117"/>
      <c r="L127" s="117">
        <f t="shared" si="88"/>
        <v>0</v>
      </c>
      <c r="M127" s="117"/>
      <c r="N127" s="117"/>
      <c r="O127" s="117"/>
      <c r="P127" s="117">
        <f t="shared" si="89"/>
        <v>0</v>
      </c>
      <c r="Q127" s="140">
        <v>1783000000</v>
      </c>
      <c r="R127" s="117">
        <f t="shared" si="90"/>
        <v>1756242882</v>
      </c>
      <c r="S127" s="117">
        <v>1756242882</v>
      </c>
      <c r="T127" s="117"/>
      <c r="U127" s="117"/>
      <c r="V127" s="117">
        <f t="shared" si="91"/>
        <v>26757118</v>
      </c>
      <c r="W127" s="117">
        <f t="shared" si="92"/>
        <v>1756242882</v>
      </c>
      <c r="X127" s="117">
        <f t="shared" si="93"/>
        <v>0</v>
      </c>
      <c r="Y127" s="117">
        <f t="shared" si="94"/>
        <v>11078460882</v>
      </c>
      <c r="Z127" s="204">
        <f t="shared" si="65"/>
        <v>0</v>
      </c>
    </row>
    <row r="128" spans="1:26" s="113" customFormat="1">
      <c r="A128" s="114" t="s">
        <v>462</v>
      </c>
      <c r="B128" s="115" t="s">
        <v>697</v>
      </c>
      <c r="C128" s="116" t="s">
        <v>457</v>
      </c>
      <c r="D128" s="116" t="s">
        <v>698</v>
      </c>
      <c r="E128" s="117">
        <v>25484000000</v>
      </c>
      <c r="F128" s="117">
        <v>5924441770</v>
      </c>
      <c r="G128" s="117">
        <v>0</v>
      </c>
      <c r="H128" s="117"/>
      <c r="I128" s="117"/>
      <c r="J128" s="118">
        <f t="shared" si="87"/>
        <v>0</v>
      </c>
      <c r="K128" s="140">
        <v>765000000</v>
      </c>
      <c r="L128" s="117">
        <f t="shared" si="88"/>
        <v>765000000</v>
      </c>
      <c r="M128" s="117">
        <v>765000000</v>
      </c>
      <c r="N128" s="117"/>
      <c r="O128" s="117"/>
      <c r="P128" s="117">
        <f t="shared" si="89"/>
        <v>0</v>
      </c>
      <c r="Q128" s="140">
        <v>3700000000</v>
      </c>
      <c r="R128" s="117">
        <f t="shared" si="90"/>
        <v>3700000000</v>
      </c>
      <c r="S128" s="117">
        <v>3700000000</v>
      </c>
      <c r="T128" s="117"/>
      <c r="U128" s="117"/>
      <c r="V128" s="117">
        <f t="shared" si="91"/>
        <v>0</v>
      </c>
      <c r="W128" s="117">
        <f t="shared" si="92"/>
        <v>4465000000</v>
      </c>
      <c r="X128" s="117">
        <f t="shared" si="93"/>
        <v>0</v>
      </c>
      <c r="Y128" s="117">
        <f t="shared" si="94"/>
        <v>10389441770</v>
      </c>
      <c r="Z128" s="204">
        <f t="shared" si="65"/>
        <v>0</v>
      </c>
    </row>
    <row r="129" spans="1:26" s="113" customFormat="1">
      <c r="A129" s="114" t="s">
        <v>465</v>
      </c>
      <c r="B129" s="115" t="s">
        <v>699</v>
      </c>
      <c r="C129" s="116" t="s">
        <v>457</v>
      </c>
      <c r="D129" s="116" t="s">
        <v>700</v>
      </c>
      <c r="E129" s="117">
        <v>47081000000</v>
      </c>
      <c r="F129" s="117">
        <v>18194370831</v>
      </c>
      <c r="G129" s="117">
        <v>0</v>
      </c>
      <c r="H129" s="117"/>
      <c r="I129" s="117"/>
      <c r="J129" s="118">
        <f t="shared" si="87"/>
        <v>0</v>
      </c>
      <c r="K129" s="140">
        <v>1067948543</v>
      </c>
      <c r="L129" s="117">
        <f t="shared" si="88"/>
        <v>0</v>
      </c>
      <c r="M129" s="117"/>
      <c r="N129" s="117"/>
      <c r="O129" s="117"/>
      <c r="P129" s="117">
        <f t="shared" si="89"/>
        <v>1067948543</v>
      </c>
      <c r="Q129" s="140">
        <v>4700000000</v>
      </c>
      <c r="R129" s="117">
        <f t="shared" si="90"/>
        <v>4692748000</v>
      </c>
      <c r="S129" s="117">
        <v>4692748000</v>
      </c>
      <c r="T129" s="117"/>
      <c r="U129" s="117"/>
      <c r="V129" s="117">
        <f t="shared" si="91"/>
        <v>7252000</v>
      </c>
      <c r="W129" s="117">
        <f t="shared" si="92"/>
        <v>4692748000</v>
      </c>
      <c r="X129" s="117">
        <f t="shared" si="93"/>
        <v>0</v>
      </c>
      <c r="Y129" s="117">
        <f t="shared" si="94"/>
        <v>22887118831</v>
      </c>
      <c r="Z129" s="204">
        <f t="shared" si="65"/>
        <v>0</v>
      </c>
    </row>
    <row r="130" spans="1:26" s="113" customFormat="1">
      <c r="A130" s="114" t="s">
        <v>468</v>
      </c>
      <c r="B130" s="115" t="s">
        <v>701</v>
      </c>
      <c r="C130" s="116" t="s">
        <v>457</v>
      </c>
      <c r="D130" s="116" t="s">
        <v>702</v>
      </c>
      <c r="E130" s="117">
        <v>28445000000</v>
      </c>
      <c r="F130" s="117">
        <v>13581037250</v>
      </c>
      <c r="G130" s="117">
        <v>1725845700</v>
      </c>
      <c r="H130" s="117">
        <v>0</v>
      </c>
      <c r="I130" s="117">
        <v>1725845700</v>
      </c>
      <c r="J130" s="118">
        <f t="shared" si="87"/>
        <v>0</v>
      </c>
      <c r="K130" s="140">
        <v>1345000000</v>
      </c>
      <c r="L130" s="117">
        <f t="shared" si="88"/>
        <v>1345000000</v>
      </c>
      <c r="M130" s="117">
        <v>1345000000</v>
      </c>
      <c r="N130" s="117"/>
      <c r="O130" s="117"/>
      <c r="P130" s="117">
        <f t="shared" si="89"/>
        <v>0</v>
      </c>
      <c r="Q130" s="140">
        <v>2700000000</v>
      </c>
      <c r="R130" s="117">
        <f t="shared" si="90"/>
        <v>2622430698</v>
      </c>
      <c r="S130" s="117">
        <v>2547324494</v>
      </c>
      <c r="T130" s="117">
        <v>75106204</v>
      </c>
      <c r="U130" s="117"/>
      <c r="V130" s="117">
        <f t="shared" si="91"/>
        <v>77569302</v>
      </c>
      <c r="W130" s="117">
        <f t="shared" si="92"/>
        <v>5618170194</v>
      </c>
      <c r="X130" s="117">
        <f t="shared" si="93"/>
        <v>75106204</v>
      </c>
      <c r="Y130" s="117">
        <f t="shared" si="94"/>
        <v>17548467948</v>
      </c>
      <c r="Z130" s="204">
        <f t="shared" si="65"/>
        <v>0</v>
      </c>
    </row>
    <row r="131" spans="1:26" s="113" customFormat="1">
      <c r="A131" s="114" t="s">
        <v>471</v>
      </c>
      <c r="B131" s="115" t="s">
        <v>703</v>
      </c>
      <c r="C131" s="116" t="s">
        <v>457</v>
      </c>
      <c r="D131" s="116" t="s">
        <v>704</v>
      </c>
      <c r="E131" s="117">
        <v>51213000000</v>
      </c>
      <c r="F131" s="117">
        <v>18576831700</v>
      </c>
      <c r="G131" s="117">
        <v>233625700</v>
      </c>
      <c r="H131" s="117">
        <v>0</v>
      </c>
      <c r="I131" s="117">
        <v>233625700</v>
      </c>
      <c r="J131" s="118">
        <f t="shared" si="87"/>
        <v>0</v>
      </c>
      <c r="K131" s="140">
        <v>3926545376</v>
      </c>
      <c r="L131" s="117">
        <f t="shared" si="88"/>
        <v>2934297700</v>
      </c>
      <c r="M131" s="117">
        <v>2934297700</v>
      </c>
      <c r="N131" s="117"/>
      <c r="O131" s="117"/>
      <c r="P131" s="117">
        <f t="shared" si="89"/>
        <v>992247676</v>
      </c>
      <c r="Q131" s="140">
        <v>7500000000</v>
      </c>
      <c r="R131" s="117">
        <f t="shared" si="90"/>
        <v>7500000000</v>
      </c>
      <c r="S131" s="117">
        <v>7193909300</v>
      </c>
      <c r="T131" s="117">
        <v>306090700</v>
      </c>
      <c r="U131" s="117"/>
      <c r="V131" s="117">
        <f t="shared" si="91"/>
        <v>0</v>
      </c>
      <c r="W131" s="117">
        <f t="shared" si="92"/>
        <v>10361832700</v>
      </c>
      <c r="X131" s="117">
        <f t="shared" si="93"/>
        <v>306090700</v>
      </c>
      <c r="Y131" s="117">
        <f t="shared" si="94"/>
        <v>29011129400</v>
      </c>
      <c r="Z131" s="204">
        <f t="shared" si="65"/>
        <v>0</v>
      </c>
    </row>
    <row r="132" spans="1:26" s="113" customFormat="1">
      <c r="A132" s="114" t="s">
        <v>474</v>
      </c>
      <c r="B132" s="115" t="s">
        <v>705</v>
      </c>
      <c r="C132" s="116" t="s">
        <v>457</v>
      </c>
      <c r="D132" s="116" t="s">
        <v>706</v>
      </c>
      <c r="E132" s="117">
        <v>54849000000</v>
      </c>
      <c r="F132" s="117">
        <v>18504194000</v>
      </c>
      <c r="G132" s="117">
        <v>1934527000</v>
      </c>
      <c r="H132" s="117">
        <v>0</v>
      </c>
      <c r="I132" s="117">
        <v>1934527000</v>
      </c>
      <c r="J132" s="118">
        <f>G132-H132-I132+N132</f>
        <v>0</v>
      </c>
      <c r="K132" s="117"/>
      <c r="L132" s="117">
        <f>SUM(M132:N132)</f>
        <v>0</v>
      </c>
      <c r="M132" s="117"/>
      <c r="N132" s="117"/>
      <c r="O132" s="117"/>
      <c r="P132" s="117">
        <f>K132-L132-O132</f>
        <v>0</v>
      </c>
      <c r="Q132" s="140">
        <v>13182000000</v>
      </c>
      <c r="R132" s="117">
        <f>SUM(S132:T132)</f>
        <v>13181258000</v>
      </c>
      <c r="S132" s="117">
        <v>13181258000</v>
      </c>
      <c r="T132" s="117"/>
      <c r="U132" s="117"/>
      <c r="V132" s="117">
        <f>Q132-R132-U132</f>
        <v>742000</v>
      </c>
      <c r="W132" s="117">
        <f>SUM(I132,M132,S132)</f>
        <v>15115785000</v>
      </c>
      <c r="X132" s="117">
        <f>G132-H132-I132+N132+T132</f>
        <v>0</v>
      </c>
      <c r="Y132" s="117">
        <f>F132+L132+R132</f>
        <v>31685452000</v>
      </c>
      <c r="Z132" s="204">
        <f t="shared" si="65"/>
        <v>0</v>
      </c>
    </row>
    <row r="133" spans="1:26" s="113" customFormat="1">
      <c r="A133" s="114" t="s">
        <v>477</v>
      </c>
      <c r="B133" s="115" t="s">
        <v>707</v>
      </c>
      <c r="C133" s="116" t="s">
        <v>457</v>
      </c>
      <c r="D133" s="116" t="s">
        <v>708</v>
      </c>
      <c r="E133" s="117">
        <v>19194000000</v>
      </c>
      <c r="F133" s="117">
        <v>6613238628</v>
      </c>
      <c r="G133" s="117">
        <f>1707427686+1186591314</f>
        <v>2894019000</v>
      </c>
      <c r="H133" s="117">
        <v>0</v>
      </c>
      <c r="I133" s="117">
        <f>1707427686+1186591314</f>
        <v>2894019000</v>
      </c>
      <c r="J133" s="118">
        <f t="shared" ref="J133:J178" si="95">G133-H133-I133+N133</f>
        <v>0</v>
      </c>
      <c r="K133" s="140">
        <v>1871000000</v>
      </c>
      <c r="L133" s="117">
        <f t="shared" ref="L133:L178" si="96">SUM(M133:N133)</f>
        <v>1871000000</v>
      </c>
      <c r="M133" s="117">
        <v>1871000000</v>
      </c>
      <c r="N133" s="117"/>
      <c r="O133" s="117"/>
      <c r="P133" s="117">
        <f t="shared" ref="P133:P178" si="97">K133-L133-O133</f>
        <v>0</v>
      </c>
      <c r="Q133" s="140">
        <v>4500000000</v>
      </c>
      <c r="R133" s="117">
        <f t="shared" ref="R133:R178" si="98">SUM(S133:T133)</f>
        <v>4437509000</v>
      </c>
      <c r="S133" s="117">
        <v>4437509000</v>
      </c>
      <c r="T133" s="117"/>
      <c r="U133" s="117"/>
      <c r="V133" s="117">
        <f t="shared" ref="V133:V178" si="99">Q133-R133-U133</f>
        <v>62491000</v>
      </c>
      <c r="W133" s="117">
        <f t="shared" ref="W133:W178" si="100">SUM(I133,M133,S133)</f>
        <v>9202528000</v>
      </c>
      <c r="X133" s="117">
        <f t="shared" ref="X133:X178" si="101">G133-H133-I133+N133+T133</f>
        <v>0</v>
      </c>
      <c r="Y133" s="117">
        <f t="shared" ref="Y133:Y178" si="102">F133+L133+R133</f>
        <v>12921747628</v>
      </c>
      <c r="Z133" s="204">
        <f t="shared" si="65"/>
        <v>0</v>
      </c>
    </row>
    <row r="134" spans="1:26" s="113" customFormat="1">
      <c r="A134" s="114" t="s">
        <v>480</v>
      </c>
      <c r="B134" s="115" t="s">
        <v>709</v>
      </c>
      <c r="C134" s="116" t="s">
        <v>457</v>
      </c>
      <c r="D134" s="116" t="s">
        <v>710</v>
      </c>
      <c r="E134" s="117">
        <v>26562000000</v>
      </c>
      <c r="F134" s="117">
        <v>14871090700</v>
      </c>
      <c r="G134" s="117">
        <f>4757351500+1481121200</f>
        <v>6238472700</v>
      </c>
      <c r="H134" s="117"/>
      <c r="I134" s="117">
        <f>4757351500+1481121200</f>
        <v>6238472700</v>
      </c>
      <c r="J134" s="118">
        <f t="shared" si="95"/>
        <v>0</v>
      </c>
      <c r="K134" s="140">
        <v>943995300</v>
      </c>
      <c r="L134" s="117">
        <f t="shared" si="96"/>
        <v>943995300</v>
      </c>
      <c r="M134" s="117">
        <v>943995300</v>
      </c>
      <c r="N134" s="117"/>
      <c r="O134" s="117"/>
      <c r="P134" s="117">
        <f t="shared" si="97"/>
        <v>0</v>
      </c>
      <c r="Q134" s="140">
        <v>7000000000</v>
      </c>
      <c r="R134" s="117">
        <f t="shared" si="98"/>
        <v>6713075000</v>
      </c>
      <c r="S134" s="117">
        <v>6713075000</v>
      </c>
      <c r="T134" s="117"/>
      <c r="U134" s="117"/>
      <c r="V134" s="117">
        <f t="shared" si="99"/>
        <v>286925000</v>
      </c>
      <c r="W134" s="117">
        <f t="shared" si="100"/>
        <v>13895543000</v>
      </c>
      <c r="X134" s="117">
        <f t="shared" si="101"/>
        <v>0</v>
      </c>
      <c r="Y134" s="117">
        <f t="shared" si="102"/>
        <v>22528161000</v>
      </c>
      <c r="Z134" s="204">
        <f t="shared" si="65"/>
        <v>0</v>
      </c>
    </row>
    <row r="135" spans="1:26" s="144" customFormat="1">
      <c r="A135" s="114" t="s">
        <v>483</v>
      </c>
      <c r="B135" s="141" t="s">
        <v>711</v>
      </c>
      <c r="C135" s="142" t="s">
        <v>457</v>
      </c>
      <c r="D135" s="142" t="s">
        <v>712</v>
      </c>
      <c r="E135" s="140">
        <v>83431000000</v>
      </c>
      <c r="F135" s="140">
        <v>6212302600</v>
      </c>
      <c r="G135" s="140"/>
      <c r="H135" s="140"/>
      <c r="I135" s="140"/>
      <c r="J135" s="143">
        <f t="shared" si="95"/>
        <v>233844000</v>
      </c>
      <c r="K135" s="140">
        <v>7287697400</v>
      </c>
      <c r="L135" s="140">
        <f t="shared" si="96"/>
        <v>6473503400</v>
      </c>
      <c r="M135" s="140">
        <v>6239659400</v>
      </c>
      <c r="N135" s="140">
        <v>233844000</v>
      </c>
      <c r="O135" s="140"/>
      <c r="P135" s="140">
        <f t="shared" si="97"/>
        <v>814194000</v>
      </c>
      <c r="Q135" s="140">
        <v>7523000000</v>
      </c>
      <c r="R135" s="117">
        <f t="shared" si="98"/>
        <v>7522554000</v>
      </c>
      <c r="S135" s="140">
        <v>7522554000</v>
      </c>
      <c r="T135" s="140"/>
      <c r="U135" s="140"/>
      <c r="V135" s="140">
        <f t="shared" si="99"/>
        <v>446000</v>
      </c>
      <c r="W135" s="117">
        <f t="shared" si="100"/>
        <v>13762213400</v>
      </c>
      <c r="X135" s="117">
        <f t="shared" si="101"/>
        <v>233844000</v>
      </c>
      <c r="Y135" s="117">
        <f t="shared" si="102"/>
        <v>20208360000</v>
      </c>
      <c r="Z135" s="204">
        <f t="shared" si="65"/>
        <v>0</v>
      </c>
    </row>
    <row r="136" spans="1:26" s="113" customFormat="1" ht="24">
      <c r="A136" s="114" t="s">
        <v>486</v>
      </c>
      <c r="B136" s="115" t="s">
        <v>713</v>
      </c>
      <c r="C136" s="116" t="s">
        <v>457</v>
      </c>
      <c r="D136" s="116" t="s">
        <v>714</v>
      </c>
      <c r="E136" s="117">
        <v>40880000000</v>
      </c>
      <c r="F136" s="117">
        <v>5125000000</v>
      </c>
      <c r="G136" s="117">
        <v>2915000000</v>
      </c>
      <c r="H136" s="117"/>
      <c r="I136" s="117">
        <v>1941000000</v>
      </c>
      <c r="J136" s="118">
        <f t="shared" si="95"/>
        <v>974000000</v>
      </c>
      <c r="K136" s="117"/>
      <c r="L136" s="117">
        <f t="shared" si="96"/>
        <v>0</v>
      </c>
      <c r="M136" s="117"/>
      <c r="N136" s="117"/>
      <c r="O136" s="117"/>
      <c r="P136" s="117">
        <f t="shared" si="97"/>
        <v>0</v>
      </c>
      <c r="Q136" s="140">
        <v>6000000000</v>
      </c>
      <c r="R136" s="117">
        <f t="shared" si="98"/>
        <v>6000000000</v>
      </c>
      <c r="S136" s="117">
        <v>5638956000</v>
      </c>
      <c r="T136" s="117">
        <v>361044000</v>
      </c>
      <c r="U136" s="117"/>
      <c r="V136" s="117">
        <f t="shared" si="99"/>
        <v>0</v>
      </c>
      <c r="W136" s="117">
        <f t="shared" si="100"/>
        <v>7579956000</v>
      </c>
      <c r="X136" s="117">
        <f t="shared" si="101"/>
        <v>1335044000</v>
      </c>
      <c r="Y136" s="117">
        <f t="shared" si="102"/>
        <v>11125000000</v>
      </c>
      <c r="Z136" s="204">
        <f t="shared" si="65"/>
        <v>0</v>
      </c>
    </row>
    <row r="137" spans="1:26" s="113" customFormat="1">
      <c r="A137" s="114" t="s">
        <v>489</v>
      </c>
      <c r="B137" s="115" t="s">
        <v>715</v>
      </c>
      <c r="C137" s="116" t="s">
        <v>457</v>
      </c>
      <c r="D137" s="116" t="s">
        <v>716</v>
      </c>
      <c r="E137" s="117">
        <v>14499000000</v>
      </c>
      <c r="F137" s="117">
        <v>2813869000</v>
      </c>
      <c r="G137" s="117">
        <v>783869000</v>
      </c>
      <c r="H137" s="117">
        <v>0</v>
      </c>
      <c r="I137" s="117">
        <v>783869000</v>
      </c>
      <c r="J137" s="118">
        <f t="shared" si="95"/>
        <v>0</v>
      </c>
      <c r="K137" s="117"/>
      <c r="L137" s="117">
        <f t="shared" si="96"/>
        <v>0</v>
      </c>
      <c r="M137" s="117"/>
      <c r="N137" s="117"/>
      <c r="O137" s="117"/>
      <c r="P137" s="117">
        <f t="shared" si="97"/>
        <v>0</v>
      </c>
      <c r="Q137" s="140">
        <v>3700000000</v>
      </c>
      <c r="R137" s="117">
        <f t="shared" si="98"/>
        <v>3682448000</v>
      </c>
      <c r="S137" s="117">
        <v>3523903000</v>
      </c>
      <c r="T137" s="117">
        <v>158545000</v>
      </c>
      <c r="U137" s="117"/>
      <c r="V137" s="117">
        <f t="shared" si="99"/>
        <v>17552000</v>
      </c>
      <c r="W137" s="117">
        <f t="shared" si="100"/>
        <v>4307772000</v>
      </c>
      <c r="X137" s="117">
        <f t="shared" si="101"/>
        <v>158545000</v>
      </c>
      <c r="Y137" s="117">
        <f t="shared" si="102"/>
        <v>6496317000</v>
      </c>
      <c r="Z137" s="204">
        <f t="shared" si="65"/>
        <v>0</v>
      </c>
    </row>
    <row r="138" spans="1:26" s="113" customFormat="1">
      <c r="A138" s="114" t="s">
        <v>553</v>
      </c>
      <c r="B138" s="115" t="s">
        <v>717</v>
      </c>
      <c r="C138" s="116" t="s">
        <v>457</v>
      </c>
      <c r="D138" s="116" t="s">
        <v>718</v>
      </c>
      <c r="E138" s="117">
        <v>98280000000</v>
      </c>
      <c r="F138" s="117">
        <v>20414000000</v>
      </c>
      <c r="G138" s="117">
        <v>15345443156</v>
      </c>
      <c r="H138" s="117">
        <v>0</v>
      </c>
      <c r="I138" s="117">
        <v>8938114200</v>
      </c>
      <c r="J138" s="118">
        <f t="shared" si="95"/>
        <v>6407328956</v>
      </c>
      <c r="K138" s="117"/>
      <c r="L138" s="117">
        <f t="shared" si="96"/>
        <v>0</v>
      </c>
      <c r="M138" s="117"/>
      <c r="N138" s="117"/>
      <c r="O138" s="117"/>
      <c r="P138" s="117">
        <f t="shared" si="97"/>
        <v>0</v>
      </c>
      <c r="Q138" s="140">
        <v>25000000000</v>
      </c>
      <c r="R138" s="117">
        <f t="shared" si="98"/>
        <v>25000000000</v>
      </c>
      <c r="S138" s="117">
        <v>25000000000</v>
      </c>
      <c r="T138" s="117"/>
      <c r="U138" s="117"/>
      <c r="V138" s="117">
        <f t="shared" si="99"/>
        <v>0</v>
      </c>
      <c r="W138" s="117">
        <f t="shared" si="100"/>
        <v>33938114200</v>
      </c>
      <c r="X138" s="117">
        <f t="shared" si="101"/>
        <v>6407328956</v>
      </c>
      <c r="Y138" s="117">
        <f t="shared" si="102"/>
        <v>45414000000</v>
      </c>
      <c r="Z138" s="204">
        <f t="shared" si="65"/>
        <v>0</v>
      </c>
    </row>
    <row r="139" spans="1:26" s="113" customFormat="1" ht="24">
      <c r="A139" s="114" t="s">
        <v>556</v>
      </c>
      <c r="B139" s="115" t="s">
        <v>719</v>
      </c>
      <c r="C139" s="116" t="s">
        <v>457</v>
      </c>
      <c r="D139" s="116" t="s">
        <v>720</v>
      </c>
      <c r="E139" s="117">
        <v>44752000000</v>
      </c>
      <c r="F139" s="117">
        <v>8546000000</v>
      </c>
      <c r="G139" s="117">
        <v>3046000000</v>
      </c>
      <c r="H139" s="117"/>
      <c r="I139" s="117">
        <v>1984493000</v>
      </c>
      <c r="J139" s="118">
        <f t="shared" si="95"/>
        <v>1061507000</v>
      </c>
      <c r="K139" s="117"/>
      <c r="L139" s="117">
        <f t="shared" si="96"/>
        <v>0</v>
      </c>
      <c r="M139" s="117"/>
      <c r="N139" s="117"/>
      <c r="O139" s="117"/>
      <c r="P139" s="117">
        <f t="shared" si="97"/>
        <v>0</v>
      </c>
      <c r="Q139" s="140">
        <v>12526000000</v>
      </c>
      <c r="R139" s="117">
        <f t="shared" si="98"/>
        <v>12498771000</v>
      </c>
      <c r="S139" s="117">
        <v>6583356000</v>
      </c>
      <c r="T139" s="117">
        <v>5915415000</v>
      </c>
      <c r="U139" s="117"/>
      <c r="V139" s="117">
        <f t="shared" si="99"/>
        <v>27229000</v>
      </c>
      <c r="W139" s="117">
        <f t="shared" si="100"/>
        <v>8567849000</v>
      </c>
      <c r="X139" s="117">
        <f t="shared" si="101"/>
        <v>6976922000</v>
      </c>
      <c r="Y139" s="117">
        <f t="shared" si="102"/>
        <v>21044771000</v>
      </c>
      <c r="Z139" s="204">
        <f t="shared" si="65"/>
        <v>0</v>
      </c>
    </row>
    <row r="140" spans="1:26" s="113" customFormat="1" ht="24">
      <c r="A140" s="114" t="s">
        <v>559</v>
      </c>
      <c r="B140" s="115" t="s">
        <v>721</v>
      </c>
      <c r="C140" s="116" t="s">
        <v>457</v>
      </c>
      <c r="D140" s="116" t="s">
        <v>722</v>
      </c>
      <c r="E140" s="117">
        <v>14293664860</v>
      </c>
      <c r="F140" s="117">
        <v>4921785000</v>
      </c>
      <c r="G140" s="117">
        <v>2291785000</v>
      </c>
      <c r="H140" s="117">
        <v>0</v>
      </c>
      <c r="I140" s="117">
        <v>2291785000</v>
      </c>
      <c r="J140" s="118">
        <f t="shared" si="95"/>
        <v>0</v>
      </c>
      <c r="K140" s="117"/>
      <c r="L140" s="117">
        <f t="shared" si="96"/>
        <v>0</v>
      </c>
      <c r="M140" s="117"/>
      <c r="N140" s="117"/>
      <c r="O140" s="117"/>
      <c r="P140" s="117">
        <f t="shared" si="97"/>
        <v>0</v>
      </c>
      <c r="Q140" s="140">
        <v>7249000000</v>
      </c>
      <c r="R140" s="117">
        <f t="shared" si="98"/>
        <v>7248533000</v>
      </c>
      <c r="S140" s="117">
        <v>7124194000</v>
      </c>
      <c r="T140" s="117">
        <v>124339000</v>
      </c>
      <c r="U140" s="117"/>
      <c r="V140" s="117">
        <f t="shared" si="99"/>
        <v>467000</v>
      </c>
      <c r="W140" s="117">
        <f t="shared" si="100"/>
        <v>9415979000</v>
      </c>
      <c r="X140" s="117">
        <f t="shared" si="101"/>
        <v>124339000</v>
      </c>
      <c r="Y140" s="117">
        <f t="shared" si="102"/>
        <v>12170318000</v>
      </c>
      <c r="Z140" s="204">
        <f t="shared" si="65"/>
        <v>0</v>
      </c>
    </row>
    <row r="141" spans="1:26" s="113" customFormat="1" ht="24">
      <c r="A141" s="114" t="s">
        <v>562</v>
      </c>
      <c r="B141" s="115" t="s">
        <v>723</v>
      </c>
      <c r="C141" s="116" t="s">
        <v>457</v>
      </c>
      <c r="D141" s="116" t="s">
        <v>724</v>
      </c>
      <c r="E141" s="117">
        <v>36998000000</v>
      </c>
      <c r="F141" s="117">
        <v>3742052432</v>
      </c>
      <c r="G141" s="117">
        <v>3220000000</v>
      </c>
      <c r="H141" s="117">
        <v>0</v>
      </c>
      <c r="I141" s="117">
        <v>3220000000</v>
      </c>
      <c r="J141" s="118">
        <f t="shared" si="95"/>
        <v>0</v>
      </c>
      <c r="K141" s="117"/>
      <c r="L141" s="117">
        <f t="shared" si="96"/>
        <v>0</v>
      </c>
      <c r="M141" s="117"/>
      <c r="N141" s="117"/>
      <c r="O141" s="117"/>
      <c r="P141" s="117">
        <f t="shared" si="97"/>
        <v>0</v>
      </c>
      <c r="Q141" s="140">
        <v>9500000000</v>
      </c>
      <c r="R141" s="117">
        <f t="shared" si="98"/>
        <v>9500000000</v>
      </c>
      <c r="S141" s="117">
        <v>9316182000</v>
      </c>
      <c r="T141" s="117">
        <v>183818000</v>
      </c>
      <c r="U141" s="117"/>
      <c r="V141" s="117">
        <f t="shared" si="99"/>
        <v>0</v>
      </c>
      <c r="W141" s="117">
        <f t="shared" si="100"/>
        <v>12536182000</v>
      </c>
      <c r="X141" s="117">
        <f t="shared" si="101"/>
        <v>183818000</v>
      </c>
      <c r="Y141" s="117">
        <f t="shared" si="102"/>
        <v>13242052432</v>
      </c>
      <c r="Z141" s="204">
        <f t="shared" ref="Z141:Z204" si="103">S141+M141+I141-W141</f>
        <v>0</v>
      </c>
    </row>
    <row r="142" spans="1:26" s="113" customFormat="1">
      <c r="A142" s="114" t="s">
        <v>565</v>
      </c>
      <c r="B142" s="115" t="s">
        <v>725</v>
      </c>
      <c r="C142" s="116" t="s">
        <v>457</v>
      </c>
      <c r="D142" s="116" t="s">
        <v>726</v>
      </c>
      <c r="E142" s="117">
        <v>14322291201</v>
      </c>
      <c r="F142" s="117">
        <v>5013757000</v>
      </c>
      <c r="G142" s="117">
        <v>0</v>
      </c>
      <c r="H142" s="117"/>
      <c r="I142" s="117"/>
      <c r="J142" s="118">
        <f t="shared" si="95"/>
        <v>0</v>
      </c>
      <c r="K142" s="117"/>
      <c r="L142" s="117">
        <f t="shared" si="96"/>
        <v>0</v>
      </c>
      <c r="M142" s="117"/>
      <c r="N142" s="117"/>
      <c r="O142" s="117"/>
      <c r="P142" s="117">
        <f t="shared" si="97"/>
        <v>0</v>
      </c>
      <c r="Q142" s="140">
        <v>5575000000</v>
      </c>
      <c r="R142" s="117">
        <f t="shared" si="98"/>
        <v>5575000000</v>
      </c>
      <c r="S142" s="117">
        <v>5575000000</v>
      </c>
      <c r="T142" s="117"/>
      <c r="U142" s="117"/>
      <c r="V142" s="117">
        <f t="shared" si="99"/>
        <v>0</v>
      </c>
      <c r="W142" s="117">
        <f t="shared" si="100"/>
        <v>5575000000</v>
      </c>
      <c r="X142" s="117">
        <f t="shared" si="101"/>
        <v>0</v>
      </c>
      <c r="Y142" s="117">
        <f t="shared" si="102"/>
        <v>10588757000</v>
      </c>
      <c r="Z142" s="204">
        <f t="shared" si="103"/>
        <v>0</v>
      </c>
    </row>
    <row r="143" spans="1:26" s="113" customFormat="1">
      <c r="A143" s="114" t="s">
        <v>568</v>
      </c>
      <c r="B143" s="115" t="s">
        <v>727</v>
      </c>
      <c r="C143" s="116" t="s">
        <v>457</v>
      </c>
      <c r="D143" s="116" t="s">
        <v>728</v>
      </c>
      <c r="E143" s="117">
        <v>12459745792</v>
      </c>
      <c r="F143" s="117">
        <v>1858403000</v>
      </c>
      <c r="G143" s="117">
        <v>1798682000</v>
      </c>
      <c r="H143" s="117">
        <v>0</v>
      </c>
      <c r="I143" s="117">
        <v>1798682000</v>
      </c>
      <c r="J143" s="118">
        <f t="shared" si="95"/>
        <v>0</v>
      </c>
      <c r="K143" s="117"/>
      <c r="L143" s="117">
        <f t="shared" si="96"/>
        <v>0</v>
      </c>
      <c r="M143" s="117"/>
      <c r="N143" s="117"/>
      <c r="O143" s="117"/>
      <c r="P143" s="117">
        <f t="shared" si="97"/>
        <v>0</v>
      </c>
      <c r="Q143" s="140">
        <v>5700000000</v>
      </c>
      <c r="R143" s="117">
        <f t="shared" si="98"/>
        <v>5682211757</v>
      </c>
      <c r="S143" s="117">
        <v>5682211757</v>
      </c>
      <c r="T143" s="117"/>
      <c r="U143" s="117"/>
      <c r="V143" s="117">
        <f t="shared" si="99"/>
        <v>17788243</v>
      </c>
      <c r="W143" s="117">
        <f t="shared" si="100"/>
        <v>7480893757</v>
      </c>
      <c r="X143" s="117">
        <f t="shared" si="101"/>
        <v>0</v>
      </c>
      <c r="Y143" s="117">
        <f t="shared" si="102"/>
        <v>7540614757</v>
      </c>
      <c r="Z143" s="204">
        <f t="shared" si="103"/>
        <v>0</v>
      </c>
    </row>
    <row r="144" spans="1:26" s="113" customFormat="1">
      <c r="A144" s="114" t="s">
        <v>571</v>
      </c>
      <c r="B144" s="115" t="s">
        <v>729</v>
      </c>
      <c r="C144" s="116" t="s">
        <v>457</v>
      </c>
      <c r="D144" s="116" t="s">
        <v>730</v>
      </c>
      <c r="E144" s="117">
        <v>11973299037</v>
      </c>
      <c r="F144" s="117">
        <v>4597956657</v>
      </c>
      <c r="G144" s="117">
        <v>1483368000</v>
      </c>
      <c r="H144" s="117">
        <v>0</v>
      </c>
      <c r="I144" s="117">
        <v>1483368000</v>
      </c>
      <c r="J144" s="118">
        <f t="shared" si="95"/>
        <v>0</v>
      </c>
      <c r="K144" s="117"/>
      <c r="L144" s="117">
        <f t="shared" si="96"/>
        <v>0</v>
      </c>
      <c r="M144" s="117"/>
      <c r="N144" s="117"/>
      <c r="O144" s="117"/>
      <c r="P144" s="117">
        <f t="shared" si="97"/>
        <v>0</v>
      </c>
      <c r="Q144" s="140">
        <v>5370000000</v>
      </c>
      <c r="R144" s="117">
        <f t="shared" si="98"/>
        <v>5264587343</v>
      </c>
      <c r="S144" s="117">
        <v>5264587343</v>
      </c>
      <c r="T144" s="117"/>
      <c r="U144" s="117"/>
      <c r="V144" s="117">
        <f t="shared" si="99"/>
        <v>105412657</v>
      </c>
      <c r="W144" s="117">
        <f t="shared" si="100"/>
        <v>6747955343</v>
      </c>
      <c r="X144" s="117">
        <f t="shared" si="101"/>
        <v>0</v>
      </c>
      <c r="Y144" s="117">
        <f t="shared" si="102"/>
        <v>9862544000</v>
      </c>
      <c r="Z144" s="204">
        <f t="shared" si="103"/>
        <v>0</v>
      </c>
    </row>
    <row r="145" spans="1:26" s="113" customFormat="1">
      <c r="A145" s="114" t="s">
        <v>574</v>
      </c>
      <c r="B145" s="115" t="s">
        <v>731</v>
      </c>
      <c r="C145" s="116" t="s">
        <v>457</v>
      </c>
      <c r="D145" s="116" t="s">
        <v>732</v>
      </c>
      <c r="E145" s="117">
        <v>7823678713</v>
      </c>
      <c r="F145" s="117">
        <v>2544867000</v>
      </c>
      <c r="G145" s="117">
        <v>1200989000</v>
      </c>
      <c r="H145" s="117">
        <v>0</v>
      </c>
      <c r="I145" s="117">
        <v>1200989000</v>
      </c>
      <c r="J145" s="118">
        <f t="shared" si="95"/>
        <v>0</v>
      </c>
      <c r="K145" s="117"/>
      <c r="L145" s="117">
        <f t="shared" si="96"/>
        <v>0</v>
      </c>
      <c r="M145" s="117"/>
      <c r="N145" s="117"/>
      <c r="O145" s="117"/>
      <c r="P145" s="117">
        <f t="shared" si="97"/>
        <v>0</v>
      </c>
      <c r="Q145" s="140">
        <v>4000000000</v>
      </c>
      <c r="R145" s="117">
        <f t="shared" si="98"/>
        <v>3674619000</v>
      </c>
      <c r="S145" s="117">
        <v>3518866000</v>
      </c>
      <c r="T145" s="117">
        <v>155753000</v>
      </c>
      <c r="U145" s="117"/>
      <c r="V145" s="117">
        <f t="shared" si="99"/>
        <v>325381000</v>
      </c>
      <c r="W145" s="117">
        <f t="shared" si="100"/>
        <v>4719855000</v>
      </c>
      <c r="X145" s="117">
        <f t="shared" si="101"/>
        <v>155753000</v>
      </c>
      <c r="Y145" s="117">
        <f t="shared" si="102"/>
        <v>6219486000</v>
      </c>
      <c r="Z145" s="204">
        <f t="shared" si="103"/>
        <v>0</v>
      </c>
    </row>
    <row r="146" spans="1:26" s="113" customFormat="1">
      <c r="A146" s="114" t="s">
        <v>577</v>
      </c>
      <c r="B146" s="115" t="s">
        <v>733</v>
      </c>
      <c r="C146" s="116" t="s">
        <v>457</v>
      </c>
      <c r="D146" s="116" t="s">
        <v>734</v>
      </c>
      <c r="E146" s="117">
        <v>8455461937</v>
      </c>
      <c r="F146" s="117">
        <v>2498755000</v>
      </c>
      <c r="G146" s="117">
        <v>1247175000</v>
      </c>
      <c r="H146" s="117">
        <v>0</v>
      </c>
      <c r="I146" s="117">
        <v>1247175000</v>
      </c>
      <c r="J146" s="118">
        <f t="shared" si="95"/>
        <v>0</v>
      </c>
      <c r="K146" s="117"/>
      <c r="L146" s="117">
        <f t="shared" si="96"/>
        <v>0</v>
      </c>
      <c r="M146" s="117"/>
      <c r="N146" s="117"/>
      <c r="O146" s="117"/>
      <c r="P146" s="117">
        <f t="shared" si="97"/>
        <v>0</v>
      </c>
      <c r="Q146" s="140">
        <v>4500000000</v>
      </c>
      <c r="R146" s="117">
        <f t="shared" si="98"/>
        <v>4090785000</v>
      </c>
      <c r="S146" s="117">
        <v>3908833000</v>
      </c>
      <c r="T146" s="117">
        <v>181952000</v>
      </c>
      <c r="U146" s="117"/>
      <c r="V146" s="117">
        <f t="shared" si="99"/>
        <v>409215000</v>
      </c>
      <c r="W146" s="117">
        <f t="shared" si="100"/>
        <v>5156008000</v>
      </c>
      <c r="X146" s="117">
        <f t="shared" si="101"/>
        <v>181952000</v>
      </c>
      <c r="Y146" s="117">
        <f t="shared" si="102"/>
        <v>6589540000</v>
      </c>
      <c r="Z146" s="204">
        <f t="shared" si="103"/>
        <v>0</v>
      </c>
    </row>
    <row r="147" spans="1:26" s="113" customFormat="1" ht="24">
      <c r="A147" s="114" t="s">
        <v>656</v>
      </c>
      <c r="B147" s="115" t="s">
        <v>735</v>
      </c>
      <c r="C147" s="116" t="s">
        <v>457</v>
      </c>
      <c r="D147" s="116" t="s">
        <v>736</v>
      </c>
      <c r="E147" s="117">
        <v>8698092547</v>
      </c>
      <c r="F147" s="117">
        <v>4000000000</v>
      </c>
      <c r="G147" s="117">
        <v>3730558445</v>
      </c>
      <c r="H147" s="117">
        <v>0</v>
      </c>
      <c r="I147" s="117">
        <v>3730558445</v>
      </c>
      <c r="J147" s="118">
        <f t="shared" si="95"/>
        <v>0</v>
      </c>
      <c r="K147" s="117"/>
      <c r="L147" s="117">
        <f t="shared" si="96"/>
        <v>0</v>
      </c>
      <c r="M147" s="117"/>
      <c r="N147" s="117"/>
      <c r="O147" s="117"/>
      <c r="P147" s="117">
        <f t="shared" si="97"/>
        <v>0</v>
      </c>
      <c r="Q147" s="140">
        <v>4000000000</v>
      </c>
      <c r="R147" s="117">
        <f t="shared" si="98"/>
        <v>4000000000</v>
      </c>
      <c r="S147" s="117">
        <v>4000000000</v>
      </c>
      <c r="T147" s="117"/>
      <c r="U147" s="117"/>
      <c r="V147" s="117">
        <f t="shared" si="99"/>
        <v>0</v>
      </c>
      <c r="W147" s="117">
        <f t="shared" si="100"/>
        <v>7730558445</v>
      </c>
      <c r="X147" s="117">
        <f t="shared" si="101"/>
        <v>0</v>
      </c>
      <c r="Y147" s="117">
        <f t="shared" si="102"/>
        <v>8000000000</v>
      </c>
      <c r="Z147" s="204">
        <f t="shared" si="103"/>
        <v>0</v>
      </c>
    </row>
    <row r="148" spans="1:26" s="113" customFormat="1">
      <c r="A148" s="114" t="s">
        <v>659</v>
      </c>
      <c r="B148" s="115" t="s">
        <v>737</v>
      </c>
      <c r="C148" s="116" t="s">
        <v>457</v>
      </c>
      <c r="D148" s="116" t="s">
        <v>738</v>
      </c>
      <c r="E148" s="117">
        <v>7583401248</v>
      </c>
      <c r="F148" s="117">
        <v>3842080000</v>
      </c>
      <c r="G148" s="117">
        <v>3221587000</v>
      </c>
      <c r="H148" s="117">
        <v>0</v>
      </c>
      <c r="I148" s="117">
        <v>3221587000</v>
      </c>
      <c r="J148" s="118">
        <f t="shared" si="95"/>
        <v>0</v>
      </c>
      <c r="K148" s="117"/>
      <c r="L148" s="117">
        <f t="shared" si="96"/>
        <v>0</v>
      </c>
      <c r="M148" s="117"/>
      <c r="N148" s="117"/>
      <c r="O148" s="117"/>
      <c r="P148" s="117">
        <f t="shared" si="97"/>
        <v>0</v>
      </c>
      <c r="Q148" s="140">
        <v>3000000000</v>
      </c>
      <c r="R148" s="117">
        <f t="shared" si="98"/>
        <v>2983876207</v>
      </c>
      <c r="S148" s="117">
        <v>2983876207</v>
      </c>
      <c r="T148" s="117"/>
      <c r="U148" s="117"/>
      <c r="V148" s="117">
        <f t="shared" si="99"/>
        <v>16123793</v>
      </c>
      <c r="W148" s="117">
        <f t="shared" si="100"/>
        <v>6205463207</v>
      </c>
      <c r="X148" s="117">
        <f t="shared" si="101"/>
        <v>0</v>
      </c>
      <c r="Y148" s="117">
        <f t="shared" si="102"/>
        <v>6825956207</v>
      </c>
      <c r="Z148" s="204">
        <f t="shared" si="103"/>
        <v>0</v>
      </c>
    </row>
    <row r="149" spans="1:26" s="113" customFormat="1">
      <c r="A149" s="114" t="s">
        <v>662</v>
      </c>
      <c r="B149" s="115" t="s">
        <v>739</v>
      </c>
      <c r="C149" s="116" t="s">
        <v>457</v>
      </c>
      <c r="D149" s="116" t="s">
        <v>740</v>
      </c>
      <c r="E149" s="117">
        <v>13509965839</v>
      </c>
      <c r="F149" s="117">
        <v>4380000000</v>
      </c>
      <c r="G149" s="117">
        <v>880000000</v>
      </c>
      <c r="H149" s="117">
        <v>0</v>
      </c>
      <c r="I149" s="117">
        <v>880000000</v>
      </c>
      <c r="J149" s="118">
        <f t="shared" si="95"/>
        <v>0</v>
      </c>
      <c r="K149" s="117"/>
      <c r="L149" s="117">
        <f t="shared" si="96"/>
        <v>0</v>
      </c>
      <c r="M149" s="117"/>
      <c r="N149" s="117"/>
      <c r="O149" s="117"/>
      <c r="P149" s="117">
        <f t="shared" si="97"/>
        <v>0</v>
      </c>
      <c r="Q149" s="140">
        <v>5700000000</v>
      </c>
      <c r="R149" s="117">
        <f t="shared" si="98"/>
        <v>5091995507</v>
      </c>
      <c r="S149" s="117">
        <v>5091995507</v>
      </c>
      <c r="T149" s="117"/>
      <c r="U149" s="117"/>
      <c r="V149" s="117">
        <f t="shared" si="99"/>
        <v>608004493</v>
      </c>
      <c r="W149" s="117">
        <f t="shared" si="100"/>
        <v>5971995507</v>
      </c>
      <c r="X149" s="117">
        <f t="shared" si="101"/>
        <v>0</v>
      </c>
      <c r="Y149" s="117">
        <f t="shared" si="102"/>
        <v>9471995507</v>
      </c>
      <c r="Z149" s="204">
        <f t="shared" si="103"/>
        <v>0</v>
      </c>
    </row>
    <row r="150" spans="1:26" s="113" customFormat="1">
      <c r="A150" s="114" t="s">
        <v>665</v>
      </c>
      <c r="B150" s="115" t="s">
        <v>741</v>
      </c>
      <c r="C150" s="116" t="s">
        <v>457</v>
      </c>
      <c r="D150" s="116" t="s">
        <v>742</v>
      </c>
      <c r="E150" s="117">
        <v>12899590762</v>
      </c>
      <c r="F150" s="117">
        <v>3640375000</v>
      </c>
      <c r="G150" s="117">
        <v>2947772000</v>
      </c>
      <c r="H150" s="117">
        <v>0</v>
      </c>
      <c r="I150" s="117">
        <v>2947772000</v>
      </c>
      <c r="J150" s="118">
        <f t="shared" si="95"/>
        <v>0</v>
      </c>
      <c r="K150" s="117"/>
      <c r="L150" s="117">
        <f t="shared" si="96"/>
        <v>0</v>
      </c>
      <c r="M150" s="117"/>
      <c r="N150" s="117"/>
      <c r="O150" s="117"/>
      <c r="P150" s="117">
        <f t="shared" si="97"/>
        <v>0</v>
      </c>
      <c r="Q150" s="140">
        <v>5500000000</v>
      </c>
      <c r="R150" s="117">
        <f t="shared" si="98"/>
        <v>5364320791</v>
      </c>
      <c r="S150" s="117">
        <v>5364320791</v>
      </c>
      <c r="T150" s="117"/>
      <c r="U150" s="117"/>
      <c r="V150" s="117">
        <f t="shared" si="99"/>
        <v>135679209</v>
      </c>
      <c r="W150" s="117">
        <f t="shared" si="100"/>
        <v>8312092791</v>
      </c>
      <c r="X150" s="117">
        <f t="shared" si="101"/>
        <v>0</v>
      </c>
      <c r="Y150" s="117">
        <f t="shared" si="102"/>
        <v>9004695791</v>
      </c>
      <c r="Z150" s="204">
        <f t="shared" si="103"/>
        <v>0</v>
      </c>
    </row>
    <row r="151" spans="1:26" s="113" customFormat="1">
      <c r="A151" s="114" t="s">
        <v>668</v>
      </c>
      <c r="B151" s="115" t="s">
        <v>743</v>
      </c>
      <c r="C151" s="116" t="s">
        <v>457</v>
      </c>
      <c r="D151" s="116" t="s">
        <v>744</v>
      </c>
      <c r="E151" s="117">
        <v>14076000000</v>
      </c>
      <c r="F151" s="117"/>
      <c r="G151" s="117"/>
      <c r="H151" s="117"/>
      <c r="I151" s="117"/>
      <c r="J151" s="118">
        <f>G151-H151-I151+N151</f>
        <v>0</v>
      </c>
      <c r="K151" s="117"/>
      <c r="L151" s="117">
        <f>SUM(M151:N151)</f>
        <v>0</v>
      </c>
      <c r="M151" s="117"/>
      <c r="N151" s="117"/>
      <c r="O151" s="117"/>
      <c r="P151" s="117">
        <f>K151-L151-O151</f>
        <v>0</v>
      </c>
      <c r="Q151" s="140">
        <v>6500000000</v>
      </c>
      <c r="R151" s="117">
        <f>SUM(S151:T151)</f>
        <v>6500000000</v>
      </c>
      <c r="S151" s="117">
        <v>3363047990</v>
      </c>
      <c r="T151" s="117">
        <v>3136952010</v>
      </c>
      <c r="U151" s="117"/>
      <c r="V151" s="117">
        <f>Q151-R151-U151</f>
        <v>0</v>
      </c>
      <c r="W151" s="117">
        <f>SUM(I151,M151,S151)</f>
        <v>3363047990</v>
      </c>
      <c r="X151" s="117">
        <f>G151-H151-I151+N151+T151</f>
        <v>3136952010</v>
      </c>
      <c r="Y151" s="117">
        <f>F151+L151+R151</f>
        <v>6500000000</v>
      </c>
      <c r="Z151" s="204">
        <f t="shared" si="103"/>
        <v>0</v>
      </c>
    </row>
    <row r="152" spans="1:26" s="113" customFormat="1">
      <c r="A152" s="114" t="s">
        <v>671</v>
      </c>
      <c r="B152" s="115" t="s">
        <v>745</v>
      </c>
      <c r="C152" s="116" t="s">
        <v>457</v>
      </c>
      <c r="D152" s="116" t="s">
        <v>746</v>
      </c>
      <c r="E152" s="117">
        <v>13843517033</v>
      </c>
      <c r="F152" s="117">
        <v>4348168000</v>
      </c>
      <c r="G152" s="117">
        <v>3198168000</v>
      </c>
      <c r="H152" s="117">
        <v>0</v>
      </c>
      <c r="I152" s="117">
        <v>3198168000</v>
      </c>
      <c r="J152" s="118">
        <f t="shared" si="95"/>
        <v>0</v>
      </c>
      <c r="K152" s="117"/>
      <c r="L152" s="117">
        <f t="shared" si="96"/>
        <v>0</v>
      </c>
      <c r="M152" s="117"/>
      <c r="N152" s="117"/>
      <c r="O152" s="117"/>
      <c r="P152" s="117">
        <f t="shared" si="97"/>
        <v>0</v>
      </c>
      <c r="Q152" s="140">
        <v>6000000000</v>
      </c>
      <c r="R152" s="117">
        <f t="shared" si="98"/>
        <v>6000000000</v>
      </c>
      <c r="S152" s="117">
        <v>6000000000</v>
      </c>
      <c r="T152" s="117"/>
      <c r="U152" s="117"/>
      <c r="V152" s="117">
        <f t="shared" si="99"/>
        <v>0</v>
      </c>
      <c r="W152" s="117">
        <f t="shared" si="100"/>
        <v>9198168000</v>
      </c>
      <c r="X152" s="117">
        <f t="shared" si="101"/>
        <v>0</v>
      </c>
      <c r="Y152" s="117">
        <f t="shared" si="102"/>
        <v>10348168000</v>
      </c>
      <c r="Z152" s="204">
        <f t="shared" si="103"/>
        <v>0</v>
      </c>
    </row>
    <row r="153" spans="1:26" s="113" customFormat="1" ht="24">
      <c r="A153" s="114" t="s">
        <v>674</v>
      </c>
      <c r="B153" s="115" t="s">
        <v>747</v>
      </c>
      <c r="C153" s="116" t="s">
        <v>457</v>
      </c>
      <c r="D153" s="116" t="s">
        <v>748</v>
      </c>
      <c r="E153" s="117">
        <v>28885000000</v>
      </c>
      <c r="F153" s="117">
        <v>6884659200</v>
      </c>
      <c r="G153" s="117">
        <v>4394703000</v>
      </c>
      <c r="H153" s="117">
        <v>0</v>
      </c>
      <c r="I153" s="117">
        <v>4394703000</v>
      </c>
      <c r="J153" s="118">
        <f t="shared" si="95"/>
        <v>0</v>
      </c>
      <c r="K153" s="117"/>
      <c r="L153" s="117">
        <f t="shared" si="96"/>
        <v>0</v>
      </c>
      <c r="M153" s="117"/>
      <c r="N153" s="117"/>
      <c r="O153" s="117"/>
      <c r="P153" s="117">
        <f t="shared" si="97"/>
        <v>0</v>
      </c>
      <c r="Q153" s="140">
        <v>10000000000</v>
      </c>
      <c r="R153" s="117">
        <f t="shared" si="98"/>
        <v>10000000000</v>
      </c>
      <c r="S153" s="117">
        <v>9546043000</v>
      </c>
      <c r="T153" s="117">
        <v>453957000</v>
      </c>
      <c r="U153" s="117"/>
      <c r="V153" s="117">
        <f t="shared" si="99"/>
        <v>0</v>
      </c>
      <c r="W153" s="117">
        <f t="shared" si="100"/>
        <v>13940746000</v>
      </c>
      <c r="X153" s="117">
        <f t="shared" si="101"/>
        <v>453957000</v>
      </c>
      <c r="Y153" s="117">
        <f t="shared" si="102"/>
        <v>16884659200</v>
      </c>
      <c r="Z153" s="204">
        <f t="shared" si="103"/>
        <v>0</v>
      </c>
    </row>
    <row r="154" spans="1:26" s="113" customFormat="1">
      <c r="A154" s="114" t="s">
        <v>749</v>
      </c>
      <c r="B154" s="115" t="s">
        <v>750</v>
      </c>
      <c r="C154" s="116" t="s">
        <v>457</v>
      </c>
      <c r="D154" s="116" t="s">
        <v>751</v>
      </c>
      <c r="E154" s="117">
        <v>42276883907</v>
      </c>
      <c r="F154" s="117">
        <v>7083750896</v>
      </c>
      <c r="G154" s="117">
        <v>6006163646</v>
      </c>
      <c r="H154" s="117"/>
      <c r="I154" s="117">
        <v>3252843646</v>
      </c>
      <c r="J154" s="118">
        <f t="shared" si="95"/>
        <v>2753320000</v>
      </c>
      <c r="K154" s="117"/>
      <c r="L154" s="117">
        <f t="shared" si="96"/>
        <v>0</v>
      </c>
      <c r="M154" s="117"/>
      <c r="N154" s="117"/>
      <c r="O154" s="117"/>
      <c r="P154" s="117">
        <f t="shared" si="97"/>
        <v>0</v>
      </c>
      <c r="Q154" s="140">
        <v>10000000000</v>
      </c>
      <c r="R154" s="117">
        <f t="shared" si="98"/>
        <v>10000000000</v>
      </c>
      <c r="S154" s="117">
        <v>9401300000</v>
      </c>
      <c r="T154" s="117">
        <v>598700000</v>
      </c>
      <c r="U154" s="117"/>
      <c r="V154" s="117">
        <f t="shared" si="99"/>
        <v>0</v>
      </c>
      <c r="W154" s="117">
        <f t="shared" si="100"/>
        <v>12654143646</v>
      </c>
      <c r="X154" s="117">
        <f t="shared" si="101"/>
        <v>3352020000</v>
      </c>
      <c r="Y154" s="117">
        <f t="shared" si="102"/>
        <v>17083750896</v>
      </c>
      <c r="Z154" s="204">
        <f t="shared" si="103"/>
        <v>0</v>
      </c>
    </row>
    <row r="155" spans="1:26" s="113" customFormat="1">
      <c r="A155" s="114" t="s">
        <v>752</v>
      </c>
      <c r="B155" s="115" t="s">
        <v>753</v>
      </c>
      <c r="C155" s="116" t="s">
        <v>457</v>
      </c>
      <c r="D155" s="116" t="s">
        <v>754</v>
      </c>
      <c r="E155" s="117">
        <v>11052631849</v>
      </c>
      <c r="F155" s="117">
        <v>3297086913</v>
      </c>
      <c r="G155" s="117">
        <v>1303820000</v>
      </c>
      <c r="H155" s="117">
        <v>0</v>
      </c>
      <c r="I155" s="117">
        <v>1303820000</v>
      </c>
      <c r="J155" s="118">
        <f t="shared" si="95"/>
        <v>0</v>
      </c>
      <c r="K155" s="117"/>
      <c r="L155" s="117">
        <f t="shared" si="96"/>
        <v>0</v>
      </c>
      <c r="M155" s="117"/>
      <c r="N155" s="117"/>
      <c r="O155" s="117"/>
      <c r="P155" s="117">
        <f t="shared" si="97"/>
        <v>0</v>
      </c>
      <c r="Q155" s="140">
        <v>4450000000</v>
      </c>
      <c r="R155" s="117">
        <f t="shared" si="98"/>
        <v>4450000000</v>
      </c>
      <c r="S155" s="117">
        <v>4450000000</v>
      </c>
      <c r="T155" s="117"/>
      <c r="U155" s="117"/>
      <c r="V155" s="117">
        <f t="shared" si="99"/>
        <v>0</v>
      </c>
      <c r="W155" s="117">
        <f t="shared" si="100"/>
        <v>5753820000</v>
      </c>
      <c r="X155" s="117">
        <f t="shared" si="101"/>
        <v>0</v>
      </c>
      <c r="Y155" s="117">
        <f t="shared" si="102"/>
        <v>7747086913</v>
      </c>
      <c r="Z155" s="204">
        <f t="shared" si="103"/>
        <v>0</v>
      </c>
    </row>
    <row r="156" spans="1:26" s="113" customFormat="1">
      <c r="A156" s="114" t="s">
        <v>755</v>
      </c>
      <c r="B156" s="115" t="s">
        <v>756</v>
      </c>
      <c r="C156" s="116" t="s">
        <v>457</v>
      </c>
      <c r="D156" s="116" t="s">
        <v>757</v>
      </c>
      <c r="E156" s="117">
        <v>10291106026</v>
      </c>
      <c r="F156" s="117">
        <v>2554000000</v>
      </c>
      <c r="G156" s="117">
        <v>2239000000</v>
      </c>
      <c r="H156" s="117">
        <v>0</v>
      </c>
      <c r="I156" s="117">
        <v>2239000000</v>
      </c>
      <c r="J156" s="118">
        <f t="shared" si="95"/>
        <v>0</v>
      </c>
      <c r="K156" s="117"/>
      <c r="L156" s="117">
        <f t="shared" si="96"/>
        <v>0</v>
      </c>
      <c r="M156" s="117"/>
      <c r="N156" s="117"/>
      <c r="O156" s="117"/>
      <c r="P156" s="117">
        <f t="shared" si="97"/>
        <v>0</v>
      </c>
      <c r="Q156" s="140">
        <v>6000000000</v>
      </c>
      <c r="R156" s="117">
        <f t="shared" si="98"/>
        <v>6000000000</v>
      </c>
      <c r="S156" s="117">
        <v>6000000000</v>
      </c>
      <c r="T156" s="117"/>
      <c r="U156" s="117"/>
      <c r="V156" s="117">
        <f t="shared" si="99"/>
        <v>0</v>
      </c>
      <c r="W156" s="117">
        <f t="shared" si="100"/>
        <v>8239000000</v>
      </c>
      <c r="X156" s="117">
        <f t="shared" si="101"/>
        <v>0</v>
      </c>
      <c r="Y156" s="117">
        <f t="shared" si="102"/>
        <v>8554000000</v>
      </c>
      <c r="Z156" s="204">
        <f t="shared" si="103"/>
        <v>0</v>
      </c>
    </row>
    <row r="157" spans="1:26" s="113" customFormat="1" ht="24">
      <c r="A157" s="114" t="s">
        <v>758</v>
      </c>
      <c r="B157" s="115" t="s">
        <v>759</v>
      </c>
      <c r="C157" s="116" t="s">
        <v>457</v>
      </c>
      <c r="D157" s="116" t="s">
        <v>760</v>
      </c>
      <c r="E157" s="117">
        <v>31499841216</v>
      </c>
      <c r="F157" s="117"/>
      <c r="G157" s="117"/>
      <c r="H157" s="117"/>
      <c r="I157" s="117"/>
      <c r="J157" s="118">
        <f t="shared" si="95"/>
        <v>0</v>
      </c>
      <c r="K157" s="117"/>
      <c r="L157" s="117">
        <f t="shared" si="96"/>
        <v>0</v>
      </c>
      <c r="M157" s="117"/>
      <c r="N157" s="117"/>
      <c r="O157" s="117"/>
      <c r="P157" s="117">
        <f t="shared" si="97"/>
        <v>0</v>
      </c>
      <c r="Q157" s="140">
        <v>8000000000</v>
      </c>
      <c r="R157" s="117">
        <f t="shared" si="98"/>
        <v>7881711653</v>
      </c>
      <c r="S157" s="117">
        <v>7881711653</v>
      </c>
      <c r="T157" s="117"/>
      <c r="U157" s="117"/>
      <c r="V157" s="117">
        <f t="shared" si="99"/>
        <v>118288347</v>
      </c>
      <c r="W157" s="117">
        <f t="shared" si="100"/>
        <v>7881711653</v>
      </c>
      <c r="X157" s="117">
        <f t="shared" si="101"/>
        <v>0</v>
      </c>
      <c r="Y157" s="117">
        <f t="shared" si="102"/>
        <v>7881711653</v>
      </c>
      <c r="Z157" s="204">
        <f t="shared" si="103"/>
        <v>0</v>
      </c>
    </row>
    <row r="158" spans="1:26" s="113" customFormat="1" ht="24">
      <c r="A158" s="114" t="s">
        <v>761</v>
      </c>
      <c r="B158" s="115" t="s">
        <v>762</v>
      </c>
      <c r="C158" s="116" t="s">
        <v>457</v>
      </c>
      <c r="D158" s="116" t="s">
        <v>763</v>
      </c>
      <c r="E158" s="117">
        <v>89271000000</v>
      </c>
      <c r="F158" s="117">
        <v>1682016528</v>
      </c>
      <c r="G158" s="117"/>
      <c r="H158" s="117"/>
      <c r="I158" s="117"/>
      <c r="J158" s="118">
        <f t="shared" si="95"/>
        <v>0</v>
      </c>
      <c r="K158" s="140">
        <v>2822983472</v>
      </c>
      <c r="L158" s="117">
        <f t="shared" si="96"/>
        <v>2822983472</v>
      </c>
      <c r="M158" s="117">
        <v>2822983472</v>
      </c>
      <c r="N158" s="117"/>
      <c r="O158" s="117"/>
      <c r="P158" s="117">
        <f t="shared" si="97"/>
        <v>0</v>
      </c>
      <c r="Q158" s="140">
        <v>29000000000</v>
      </c>
      <c r="R158" s="117">
        <f t="shared" si="98"/>
        <v>28926568528</v>
      </c>
      <c r="S158" s="117">
        <v>25053024528</v>
      </c>
      <c r="T158" s="117">
        <v>3873544000</v>
      </c>
      <c r="U158" s="117"/>
      <c r="V158" s="117">
        <f t="shared" si="99"/>
        <v>73431472</v>
      </c>
      <c r="W158" s="117">
        <f t="shared" si="100"/>
        <v>27876008000</v>
      </c>
      <c r="X158" s="117">
        <f t="shared" si="101"/>
        <v>3873544000</v>
      </c>
      <c r="Y158" s="117">
        <f t="shared" si="102"/>
        <v>33431568528</v>
      </c>
      <c r="Z158" s="204">
        <f t="shared" si="103"/>
        <v>0</v>
      </c>
    </row>
    <row r="159" spans="1:26" s="113" customFormat="1" ht="24">
      <c r="A159" s="114" t="s">
        <v>764</v>
      </c>
      <c r="B159" s="115" t="s">
        <v>765</v>
      </c>
      <c r="C159" s="116" t="s">
        <v>457</v>
      </c>
      <c r="D159" s="116" t="s">
        <v>766</v>
      </c>
      <c r="E159" s="117">
        <v>49982000000</v>
      </c>
      <c r="F159" s="117">
        <v>3534451000</v>
      </c>
      <c r="G159" s="117">
        <v>2736975270</v>
      </c>
      <c r="H159" s="117">
        <v>0</v>
      </c>
      <c r="I159" s="117">
        <v>2736975270</v>
      </c>
      <c r="J159" s="118">
        <f t="shared" si="95"/>
        <v>0</v>
      </c>
      <c r="K159" s="117"/>
      <c r="L159" s="117">
        <f t="shared" si="96"/>
        <v>0</v>
      </c>
      <c r="M159" s="117"/>
      <c r="N159" s="117"/>
      <c r="O159" s="117"/>
      <c r="P159" s="117">
        <f t="shared" si="97"/>
        <v>0</v>
      </c>
      <c r="Q159" s="140">
        <v>19000000000</v>
      </c>
      <c r="R159" s="117">
        <f t="shared" si="98"/>
        <v>19000000000</v>
      </c>
      <c r="S159" s="117">
        <v>16753937300</v>
      </c>
      <c r="T159" s="117">
        <v>2246062700</v>
      </c>
      <c r="U159" s="117"/>
      <c r="V159" s="117">
        <f t="shared" si="99"/>
        <v>0</v>
      </c>
      <c r="W159" s="117">
        <f t="shared" si="100"/>
        <v>19490912570</v>
      </c>
      <c r="X159" s="117">
        <f t="shared" si="101"/>
        <v>2246062700</v>
      </c>
      <c r="Y159" s="117">
        <f t="shared" si="102"/>
        <v>22534451000</v>
      </c>
      <c r="Z159" s="204">
        <f t="shared" si="103"/>
        <v>0</v>
      </c>
    </row>
    <row r="160" spans="1:26" s="113" customFormat="1">
      <c r="A160" s="114" t="s">
        <v>767</v>
      </c>
      <c r="B160" s="115" t="s">
        <v>768</v>
      </c>
      <c r="C160" s="116" t="s">
        <v>457</v>
      </c>
      <c r="D160" s="116" t="s">
        <v>769</v>
      </c>
      <c r="E160" s="117">
        <v>29765000000</v>
      </c>
      <c r="F160" s="117"/>
      <c r="G160" s="117"/>
      <c r="H160" s="117"/>
      <c r="I160" s="117"/>
      <c r="J160" s="118">
        <f t="shared" si="95"/>
        <v>0</v>
      </c>
      <c r="K160" s="117"/>
      <c r="L160" s="117">
        <f t="shared" si="96"/>
        <v>0</v>
      </c>
      <c r="M160" s="117"/>
      <c r="N160" s="117"/>
      <c r="O160" s="117"/>
      <c r="P160" s="117">
        <f t="shared" si="97"/>
        <v>0</v>
      </c>
      <c r="Q160" s="140">
        <v>4192000000</v>
      </c>
      <c r="R160" s="117">
        <f t="shared" si="98"/>
        <v>4191599000</v>
      </c>
      <c r="S160" s="117">
        <v>2444932000</v>
      </c>
      <c r="T160" s="117">
        <v>1746667000</v>
      </c>
      <c r="U160" s="117"/>
      <c r="V160" s="117">
        <f t="shared" si="99"/>
        <v>401000</v>
      </c>
      <c r="W160" s="117">
        <f t="shared" si="100"/>
        <v>2444932000</v>
      </c>
      <c r="X160" s="117">
        <f t="shared" si="101"/>
        <v>1746667000</v>
      </c>
      <c r="Y160" s="117">
        <f t="shared" si="102"/>
        <v>4191599000</v>
      </c>
      <c r="Z160" s="204">
        <f t="shared" si="103"/>
        <v>0</v>
      </c>
    </row>
    <row r="161" spans="1:26" s="113" customFormat="1" ht="24">
      <c r="A161" s="114" t="s">
        <v>770</v>
      </c>
      <c r="B161" s="115" t="s">
        <v>771</v>
      </c>
      <c r="C161" s="116" t="s">
        <v>457</v>
      </c>
      <c r="D161" s="116" t="s">
        <v>772</v>
      </c>
      <c r="E161" s="117">
        <v>25616000000</v>
      </c>
      <c r="F161" s="117"/>
      <c r="G161" s="117"/>
      <c r="H161" s="117"/>
      <c r="I161" s="117"/>
      <c r="J161" s="118">
        <f t="shared" si="95"/>
        <v>0</v>
      </c>
      <c r="K161" s="117"/>
      <c r="L161" s="117">
        <f t="shared" si="96"/>
        <v>0</v>
      </c>
      <c r="M161" s="117"/>
      <c r="N161" s="117"/>
      <c r="O161" s="117"/>
      <c r="P161" s="117">
        <f t="shared" si="97"/>
        <v>0</v>
      </c>
      <c r="Q161" s="140">
        <v>5000000000</v>
      </c>
      <c r="R161" s="117">
        <f t="shared" si="98"/>
        <v>4672106000</v>
      </c>
      <c r="S161" s="117">
        <v>2518106000</v>
      </c>
      <c r="T161" s="117">
        <v>2154000000</v>
      </c>
      <c r="U161" s="117"/>
      <c r="V161" s="117">
        <f t="shared" si="99"/>
        <v>327894000</v>
      </c>
      <c r="W161" s="117">
        <f t="shared" si="100"/>
        <v>2518106000</v>
      </c>
      <c r="X161" s="117">
        <f t="shared" si="101"/>
        <v>2154000000</v>
      </c>
      <c r="Y161" s="117">
        <f t="shared" si="102"/>
        <v>4672106000</v>
      </c>
      <c r="Z161" s="204">
        <f t="shared" si="103"/>
        <v>0</v>
      </c>
    </row>
    <row r="162" spans="1:26" s="113" customFormat="1" ht="24">
      <c r="A162" s="114" t="s">
        <v>773</v>
      </c>
      <c r="B162" s="115" t="s">
        <v>774</v>
      </c>
      <c r="C162" s="116" t="s">
        <v>457</v>
      </c>
      <c r="D162" s="116" t="s">
        <v>775</v>
      </c>
      <c r="E162" s="117">
        <v>13435000000</v>
      </c>
      <c r="F162" s="117"/>
      <c r="G162" s="117"/>
      <c r="H162" s="117"/>
      <c r="I162" s="117"/>
      <c r="J162" s="118">
        <f t="shared" si="95"/>
        <v>0</v>
      </c>
      <c r="K162" s="117"/>
      <c r="L162" s="117">
        <f t="shared" si="96"/>
        <v>0</v>
      </c>
      <c r="M162" s="117"/>
      <c r="N162" s="117"/>
      <c r="O162" s="117"/>
      <c r="P162" s="117">
        <f t="shared" si="97"/>
        <v>0</v>
      </c>
      <c r="Q162" s="140">
        <v>8998000000</v>
      </c>
      <c r="R162" s="117">
        <f t="shared" si="98"/>
        <v>8998000000</v>
      </c>
      <c r="S162" s="117">
        <v>8826564000</v>
      </c>
      <c r="T162" s="117">
        <v>171436000</v>
      </c>
      <c r="U162" s="117"/>
      <c r="V162" s="117">
        <f t="shared" si="99"/>
        <v>0</v>
      </c>
      <c r="W162" s="117">
        <f t="shared" si="100"/>
        <v>8826564000</v>
      </c>
      <c r="X162" s="117">
        <f t="shared" si="101"/>
        <v>171436000</v>
      </c>
      <c r="Y162" s="117">
        <f t="shared" si="102"/>
        <v>8998000000</v>
      </c>
      <c r="Z162" s="204">
        <f t="shared" si="103"/>
        <v>0</v>
      </c>
    </row>
    <row r="163" spans="1:26" s="113" customFormat="1" ht="24">
      <c r="A163" s="114" t="s">
        <v>776</v>
      </c>
      <c r="B163" s="115" t="s">
        <v>777</v>
      </c>
      <c r="C163" s="116" t="s">
        <v>457</v>
      </c>
      <c r="D163" s="116" t="s">
        <v>778</v>
      </c>
      <c r="E163" s="117">
        <v>29985000000</v>
      </c>
      <c r="F163" s="117"/>
      <c r="G163" s="117"/>
      <c r="H163" s="117"/>
      <c r="I163" s="117"/>
      <c r="J163" s="118">
        <f t="shared" si="95"/>
        <v>0</v>
      </c>
      <c r="K163" s="117"/>
      <c r="L163" s="117">
        <f t="shared" si="96"/>
        <v>0</v>
      </c>
      <c r="M163" s="117"/>
      <c r="N163" s="117"/>
      <c r="O163" s="117"/>
      <c r="P163" s="117">
        <f t="shared" si="97"/>
        <v>0</v>
      </c>
      <c r="Q163" s="140">
        <v>5000000000</v>
      </c>
      <c r="R163" s="117">
        <f t="shared" si="98"/>
        <v>5000000000</v>
      </c>
      <c r="S163" s="117">
        <v>2631009000</v>
      </c>
      <c r="T163" s="117">
        <v>2368991000</v>
      </c>
      <c r="U163" s="117"/>
      <c r="V163" s="117">
        <f t="shared" si="99"/>
        <v>0</v>
      </c>
      <c r="W163" s="117">
        <f t="shared" si="100"/>
        <v>2631009000</v>
      </c>
      <c r="X163" s="117">
        <f t="shared" si="101"/>
        <v>2368991000</v>
      </c>
      <c r="Y163" s="117">
        <f t="shared" si="102"/>
        <v>5000000000</v>
      </c>
      <c r="Z163" s="204">
        <f t="shared" si="103"/>
        <v>0</v>
      </c>
    </row>
    <row r="164" spans="1:26" s="113" customFormat="1">
      <c r="A164" s="114" t="s">
        <v>779</v>
      </c>
      <c r="B164" s="115" t="s">
        <v>780</v>
      </c>
      <c r="C164" s="116" t="s">
        <v>457</v>
      </c>
      <c r="D164" s="116" t="s">
        <v>781</v>
      </c>
      <c r="E164" s="117">
        <v>14542000000</v>
      </c>
      <c r="F164" s="117"/>
      <c r="G164" s="117"/>
      <c r="H164" s="117"/>
      <c r="I164" s="117"/>
      <c r="J164" s="118">
        <f t="shared" si="95"/>
        <v>0</v>
      </c>
      <c r="K164" s="117"/>
      <c r="L164" s="117">
        <f t="shared" si="96"/>
        <v>0</v>
      </c>
      <c r="M164" s="117"/>
      <c r="N164" s="117"/>
      <c r="O164" s="117"/>
      <c r="P164" s="117">
        <f t="shared" si="97"/>
        <v>0</v>
      </c>
      <c r="Q164" s="140">
        <v>6500000000</v>
      </c>
      <c r="R164" s="117">
        <f t="shared" si="98"/>
        <v>6500000000</v>
      </c>
      <c r="S164" s="117">
        <v>5249420000</v>
      </c>
      <c r="T164" s="117">
        <v>1250580000</v>
      </c>
      <c r="U164" s="117"/>
      <c r="V164" s="117">
        <f t="shared" si="99"/>
        <v>0</v>
      </c>
      <c r="W164" s="117">
        <f t="shared" si="100"/>
        <v>5249420000</v>
      </c>
      <c r="X164" s="117">
        <f t="shared" si="101"/>
        <v>1250580000</v>
      </c>
      <c r="Y164" s="117">
        <f t="shared" si="102"/>
        <v>6500000000</v>
      </c>
      <c r="Z164" s="204">
        <f t="shared" si="103"/>
        <v>0</v>
      </c>
    </row>
    <row r="165" spans="1:26" s="113" customFormat="1">
      <c r="A165" s="114" t="s">
        <v>782</v>
      </c>
      <c r="B165" s="115" t="s">
        <v>783</v>
      </c>
      <c r="C165" s="116" t="s">
        <v>457</v>
      </c>
      <c r="D165" s="116" t="s">
        <v>784</v>
      </c>
      <c r="E165" s="117">
        <v>14311000000</v>
      </c>
      <c r="F165" s="117"/>
      <c r="G165" s="117"/>
      <c r="H165" s="117"/>
      <c r="I165" s="117"/>
      <c r="J165" s="118">
        <f t="shared" si="95"/>
        <v>0</v>
      </c>
      <c r="K165" s="117"/>
      <c r="L165" s="117">
        <f t="shared" si="96"/>
        <v>0</v>
      </c>
      <c r="M165" s="117"/>
      <c r="N165" s="117"/>
      <c r="O165" s="117"/>
      <c r="P165" s="117">
        <f t="shared" si="97"/>
        <v>0</v>
      </c>
      <c r="Q165" s="140">
        <v>6500000000</v>
      </c>
      <c r="R165" s="117">
        <f t="shared" si="98"/>
        <v>6500000000</v>
      </c>
      <c r="S165" s="117">
        <v>5195975000</v>
      </c>
      <c r="T165" s="117">
        <v>1304025000</v>
      </c>
      <c r="U165" s="117"/>
      <c r="V165" s="117">
        <f t="shared" si="99"/>
        <v>0</v>
      </c>
      <c r="W165" s="117">
        <f t="shared" si="100"/>
        <v>5195975000</v>
      </c>
      <c r="X165" s="117">
        <f t="shared" si="101"/>
        <v>1304025000</v>
      </c>
      <c r="Y165" s="117">
        <f t="shared" si="102"/>
        <v>6500000000</v>
      </c>
      <c r="Z165" s="204">
        <f t="shared" si="103"/>
        <v>0</v>
      </c>
    </row>
    <row r="166" spans="1:26" s="113" customFormat="1" ht="24">
      <c r="A166" s="114" t="s">
        <v>785</v>
      </c>
      <c r="B166" s="115" t="s">
        <v>786</v>
      </c>
      <c r="C166" s="116" t="s">
        <v>457</v>
      </c>
      <c r="D166" s="116" t="s">
        <v>787</v>
      </c>
      <c r="E166" s="117">
        <v>14993000000</v>
      </c>
      <c r="F166" s="117"/>
      <c r="G166" s="117"/>
      <c r="H166" s="117"/>
      <c r="I166" s="117"/>
      <c r="J166" s="118">
        <f t="shared" si="95"/>
        <v>0</v>
      </c>
      <c r="K166" s="117"/>
      <c r="L166" s="117">
        <f t="shared" si="96"/>
        <v>0</v>
      </c>
      <c r="M166" s="117"/>
      <c r="N166" s="117"/>
      <c r="O166" s="117"/>
      <c r="P166" s="117">
        <f t="shared" si="97"/>
        <v>0</v>
      </c>
      <c r="Q166" s="140">
        <v>5300000000</v>
      </c>
      <c r="R166" s="117">
        <f t="shared" si="98"/>
        <v>5300000000</v>
      </c>
      <c r="S166" s="117">
        <v>4661000000</v>
      </c>
      <c r="T166" s="117">
        <v>639000000</v>
      </c>
      <c r="U166" s="117"/>
      <c r="V166" s="117">
        <f t="shared" si="99"/>
        <v>0</v>
      </c>
      <c r="W166" s="117">
        <f t="shared" si="100"/>
        <v>4661000000</v>
      </c>
      <c r="X166" s="117">
        <f t="shared" si="101"/>
        <v>639000000</v>
      </c>
      <c r="Y166" s="117">
        <f t="shared" si="102"/>
        <v>5300000000</v>
      </c>
      <c r="Z166" s="204">
        <f t="shared" si="103"/>
        <v>0</v>
      </c>
    </row>
    <row r="167" spans="1:26" s="113" customFormat="1">
      <c r="A167" s="114" t="s">
        <v>788</v>
      </c>
      <c r="B167" s="115" t="s">
        <v>789</v>
      </c>
      <c r="C167" s="116" t="s">
        <v>457</v>
      </c>
      <c r="D167" s="116" t="s">
        <v>790</v>
      </c>
      <c r="E167" s="117">
        <v>14408000000</v>
      </c>
      <c r="F167" s="117"/>
      <c r="G167" s="117"/>
      <c r="H167" s="117"/>
      <c r="I167" s="117"/>
      <c r="J167" s="118">
        <f t="shared" si="95"/>
        <v>0</v>
      </c>
      <c r="K167" s="117"/>
      <c r="L167" s="117">
        <f t="shared" si="96"/>
        <v>0</v>
      </c>
      <c r="M167" s="117"/>
      <c r="N167" s="117"/>
      <c r="O167" s="117"/>
      <c r="P167" s="117">
        <f t="shared" si="97"/>
        <v>0</v>
      </c>
      <c r="Q167" s="140">
        <v>3500000000</v>
      </c>
      <c r="R167" s="117">
        <f t="shared" si="98"/>
        <v>3321950000</v>
      </c>
      <c r="S167" s="117">
        <v>2610950000</v>
      </c>
      <c r="T167" s="117">
        <v>711000000</v>
      </c>
      <c r="U167" s="117"/>
      <c r="V167" s="117">
        <f t="shared" si="99"/>
        <v>178050000</v>
      </c>
      <c r="W167" s="117">
        <f t="shared" si="100"/>
        <v>2610950000</v>
      </c>
      <c r="X167" s="117">
        <f t="shared" si="101"/>
        <v>711000000</v>
      </c>
      <c r="Y167" s="117">
        <f t="shared" si="102"/>
        <v>3321950000</v>
      </c>
      <c r="Z167" s="204">
        <f t="shared" si="103"/>
        <v>0</v>
      </c>
    </row>
    <row r="168" spans="1:26" s="113" customFormat="1" ht="24">
      <c r="A168" s="114" t="s">
        <v>791</v>
      </c>
      <c r="B168" s="115" t="s">
        <v>792</v>
      </c>
      <c r="C168" s="116" t="s">
        <v>457</v>
      </c>
      <c r="D168" s="116" t="s">
        <v>793</v>
      </c>
      <c r="E168" s="117">
        <v>8196000000</v>
      </c>
      <c r="F168" s="117"/>
      <c r="G168" s="117"/>
      <c r="H168" s="117"/>
      <c r="I168" s="117"/>
      <c r="J168" s="118">
        <f t="shared" si="95"/>
        <v>0</v>
      </c>
      <c r="K168" s="117"/>
      <c r="L168" s="117">
        <f t="shared" si="96"/>
        <v>0</v>
      </c>
      <c r="M168" s="117"/>
      <c r="N168" s="117"/>
      <c r="O168" s="117"/>
      <c r="P168" s="117">
        <f t="shared" si="97"/>
        <v>0</v>
      </c>
      <c r="Q168" s="140">
        <v>4000000000</v>
      </c>
      <c r="R168" s="117">
        <f t="shared" si="98"/>
        <v>4000000000</v>
      </c>
      <c r="S168" s="117">
        <v>1383161000</v>
      </c>
      <c r="T168" s="117">
        <v>2616839000</v>
      </c>
      <c r="U168" s="117"/>
      <c r="V168" s="117">
        <f t="shared" si="99"/>
        <v>0</v>
      </c>
      <c r="W168" s="117">
        <f t="shared" si="100"/>
        <v>1383161000</v>
      </c>
      <c r="X168" s="117">
        <f t="shared" si="101"/>
        <v>2616839000</v>
      </c>
      <c r="Y168" s="117">
        <f t="shared" si="102"/>
        <v>4000000000</v>
      </c>
      <c r="Z168" s="204">
        <f t="shared" si="103"/>
        <v>0</v>
      </c>
    </row>
    <row r="169" spans="1:26" s="113" customFormat="1">
      <c r="A169" s="114" t="s">
        <v>794</v>
      </c>
      <c r="B169" s="115" t="s">
        <v>795</v>
      </c>
      <c r="C169" s="116" t="s">
        <v>457</v>
      </c>
      <c r="D169" s="116" t="s">
        <v>796</v>
      </c>
      <c r="E169" s="117">
        <v>29934000000</v>
      </c>
      <c r="F169" s="117"/>
      <c r="G169" s="117"/>
      <c r="H169" s="117"/>
      <c r="I169" s="117"/>
      <c r="J169" s="118">
        <f t="shared" si="95"/>
        <v>0</v>
      </c>
      <c r="K169" s="117"/>
      <c r="L169" s="117">
        <f t="shared" si="96"/>
        <v>0</v>
      </c>
      <c r="M169" s="117"/>
      <c r="N169" s="117"/>
      <c r="O169" s="117"/>
      <c r="P169" s="117">
        <f t="shared" si="97"/>
        <v>0</v>
      </c>
      <c r="Q169" s="140">
        <v>7200000000</v>
      </c>
      <c r="R169" s="117">
        <f t="shared" si="98"/>
        <v>7200000000</v>
      </c>
      <c r="S169" s="117">
        <v>5533256000</v>
      </c>
      <c r="T169" s="117">
        <v>1666744000</v>
      </c>
      <c r="U169" s="117"/>
      <c r="V169" s="117">
        <f t="shared" si="99"/>
        <v>0</v>
      </c>
      <c r="W169" s="117">
        <f t="shared" si="100"/>
        <v>5533256000</v>
      </c>
      <c r="X169" s="117">
        <f t="shared" si="101"/>
        <v>1666744000</v>
      </c>
      <c r="Y169" s="117">
        <f t="shared" si="102"/>
        <v>7200000000</v>
      </c>
      <c r="Z169" s="204">
        <f t="shared" si="103"/>
        <v>0</v>
      </c>
    </row>
    <row r="170" spans="1:26" s="113" customFormat="1">
      <c r="A170" s="114" t="s">
        <v>797</v>
      </c>
      <c r="B170" s="115" t="s">
        <v>798</v>
      </c>
      <c r="C170" s="116" t="s">
        <v>457</v>
      </c>
      <c r="D170" s="116" t="s">
        <v>799</v>
      </c>
      <c r="E170" s="117">
        <v>10166000000</v>
      </c>
      <c r="F170" s="117"/>
      <c r="G170" s="117"/>
      <c r="H170" s="117"/>
      <c r="I170" s="117"/>
      <c r="J170" s="118">
        <f t="shared" si="95"/>
        <v>0</v>
      </c>
      <c r="K170" s="117"/>
      <c r="L170" s="117">
        <f t="shared" si="96"/>
        <v>0</v>
      </c>
      <c r="M170" s="117"/>
      <c r="N170" s="117"/>
      <c r="O170" s="117"/>
      <c r="P170" s="117">
        <f t="shared" si="97"/>
        <v>0</v>
      </c>
      <c r="Q170" s="140">
        <v>5400000000</v>
      </c>
      <c r="R170" s="117">
        <f t="shared" si="98"/>
        <v>5148138052</v>
      </c>
      <c r="S170" s="117">
        <v>4880650052</v>
      </c>
      <c r="T170" s="117">
        <v>267488000</v>
      </c>
      <c r="U170" s="117"/>
      <c r="V170" s="117">
        <f t="shared" si="99"/>
        <v>251861948</v>
      </c>
      <c r="W170" s="117">
        <f t="shared" si="100"/>
        <v>4880650052</v>
      </c>
      <c r="X170" s="117">
        <f t="shared" si="101"/>
        <v>267488000</v>
      </c>
      <c r="Y170" s="117">
        <f t="shared" si="102"/>
        <v>5148138052</v>
      </c>
      <c r="Z170" s="204">
        <f t="shared" si="103"/>
        <v>0</v>
      </c>
    </row>
    <row r="171" spans="1:26" s="113" customFormat="1">
      <c r="A171" s="114" t="s">
        <v>800</v>
      </c>
      <c r="B171" s="115" t="s">
        <v>801</v>
      </c>
      <c r="C171" s="116" t="s">
        <v>457</v>
      </c>
      <c r="D171" s="116" t="s">
        <v>802</v>
      </c>
      <c r="E171" s="117">
        <v>49870000000</v>
      </c>
      <c r="F171" s="117"/>
      <c r="G171" s="117"/>
      <c r="H171" s="117"/>
      <c r="I171" s="117"/>
      <c r="J171" s="118">
        <f t="shared" si="95"/>
        <v>0</v>
      </c>
      <c r="K171" s="117"/>
      <c r="L171" s="117">
        <f t="shared" si="96"/>
        <v>0</v>
      </c>
      <c r="M171" s="117"/>
      <c r="N171" s="117"/>
      <c r="O171" s="117"/>
      <c r="P171" s="117">
        <f t="shared" si="97"/>
        <v>0</v>
      </c>
      <c r="Q171" s="140">
        <v>12000000000</v>
      </c>
      <c r="R171" s="117">
        <f t="shared" si="98"/>
        <v>12000000000</v>
      </c>
      <c r="S171" s="117">
        <v>3539226000</v>
      </c>
      <c r="T171" s="117">
        <v>8460774000</v>
      </c>
      <c r="U171" s="117"/>
      <c r="V171" s="117">
        <f t="shared" si="99"/>
        <v>0</v>
      </c>
      <c r="W171" s="117">
        <f t="shared" si="100"/>
        <v>3539226000</v>
      </c>
      <c r="X171" s="117">
        <f t="shared" si="101"/>
        <v>8460774000</v>
      </c>
      <c r="Y171" s="117">
        <f t="shared" si="102"/>
        <v>12000000000</v>
      </c>
      <c r="Z171" s="204">
        <f t="shared" si="103"/>
        <v>0</v>
      </c>
    </row>
    <row r="172" spans="1:26" s="113" customFormat="1">
      <c r="A172" s="114" t="s">
        <v>803</v>
      </c>
      <c r="B172" s="115" t="s">
        <v>804</v>
      </c>
      <c r="C172" s="116" t="s">
        <v>457</v>
      </c>
      <c r="D172" s="116" t="s">
        <v>805</v>
      </c>
      <c r="E172" s="117">
        <v>14130000000</v>
      </c>
      <c r="F172" s="117"/>
      <c r="G172" s="117"/>
      <c r="H172" s="117"/>
      <c r="I172" s="117"/>
      <c r="J172" s="118">
        <f t="shared" si="95"/>
        <v>0</v>
      </c>
      <c r="K172" s="117"/>
      <c r="L172" s="117">
        <f t="shared" si="96"/>
        <v>0</v>
      </c>
      <c r="M172" s="117"/>
      <c r="N172" s="117"/>
      <c r="O172" s="117"/>
      <c r="P172" s="117">
        <f t="shared" si="97"/>
        <v>0</v>
      </c>
      <c r="Q172" s="140">
        <v>6200000000</v>
      </c>
      <c r="R172" s="117">
        <f t="shared" si="98"/>
        <v>6183193000</v>
      </c>
      <c r="S172" s="117">
        <v>5263006000</v>
      </c>
      <c r="T172" s="117">
        <v>920187000</v>
      </c>
      <c r="U172" s="117"/>
      <c r="V172" s="117">
        <f t="shared" si="99"/>
        <v>16807000</v>
      </c>
      <c r="W172" s="117">
        <f t="shared" si="100"/>
        <v>5263006000</v>
      </c>
      <c r="X172" s="117">
        <f t="shared" si="101"/>
        <v>920187000</v>
      </c>
      <c r="Y172" s="117">
        <f t="shared" si="102"/>
        <v>6183193000</v>
      </c>
      <c r="Z172" s="204">
        <f t="shared" si="103"/>
        <v>0</v>
      </c>
    </row>
    <row r="173" spans="1:26" s="113" customFormat="1">
      <c r="A173" s="114" t="s">
        <v>806</v>
      </c>
      <c r="B173" s="115" t="s">
        <v>807</v>
      </c>
      <c r="C173" s="116" t="s">
        <v>457</v>
      </c>
      <c r="D173" s="116" t="s">
        <v>808</v>
      </c>
      <c r="E173" s="117">
        <v>47225000000</v>
      </c>
      <c r="F173" s="117"/>
      <c r="G173" s="117"/>
      <c r="H173" s="117"/>
      <c r="I173" s="117"/>
      <c r="J173" s="118">
        <f t="shared" si="95"/>
        <v>0</v>
      </c>
      <c r="K173" s="117"/>
      <c r="L173" s="117">
        <f t="shared" si="96"/>
        <v>0</v>
      </c>
      <c r="M173" s="117"/>
      <c r="N173" s="117"/>
      <c r="O173" s="117"/>
      <c r="P173" s="117">
        <f t="shared" si="97"/>
        <v>0</v>
      </c>
      <c r="Q173" s="140">
        <v>13000000000</v>
      </c>
      <c r="R173" s="117">
        <f t="shared" si="98"/>
        <v>12936633917</v>
      </c>
      <c r="S173" s="117">
        <v>5255123342</v>
      </c>
      <c r="T173" s="117">
        <v>7681510575</v>
      </c>
      <c r="U173" s="117"/>
      <c r="V173" s="117">
        <f t="shared" si="99"/>
        <v>63366083</v>
      </c>
      <c r="W173" s="117">
        <f t="shared" si="100"/>
        <v>5255123342</v>
      </c>
      <c r="X173" s="117">
        <f t="shared" si="101"/>
        <v>7681510575</v>
      </c>
      <c r="Y173" s="117">
        <f t="shared" si="102"/>
        <v>12936633917</v>
      </c>
      <c r="Z173" s="204">
        <f t="shared" si="103"/>
        <v>0</v>
      </c>
    </row>
    <row r="174" spans="1:26" s="113" customFormat="1">
      <c r="A174" s="114" t="s">
        <v>809</v>
      </c>
      <c r="B174" s="115" t="s">
        <v>810</v>
      </c>
      <c r="C174" s="116" t="s">
        <v>457</v>
      </c>
      <c r="D174" s="116" t="s">
        <v>811</v>
      </c>
      <c r="E174" s="117">
        <v>12229000000</v>
      </c>
      <c r="F174" s="117"/>
      <c r="G174" s="117"/>
      <c r="H174" s="117"/>
      <c r="I174" s="117"/>
      <c r="J174" s="118">
        <f t="shared" si="95"/>
        <v>0</v>
      </c>
      <c r="K174" s="117"/>
      <c r="L174" s="117">
        <f t="shared" si="96"/>
        <v>0</v>
      </c>
      <c r="M174" s="117"/>
      <c r="N174" s="117"/>
      <c r="O174" s="117"/>
      <c r="P174" s="117">
        <f t="shared" si="97"/>
        <v>0</v>
      </c>
      <c r="Q174" s="140">
        <v>5500000000</v>
      </c>
      <c r="R174" s="117">
        <f t="shared" si="98"/>
        <v>5500000000</v>
      </c>
      <c r="S174" s="117">
        <v>4563192000</v>
      </c>
      <c r="T174" s="117">
        <v>936808000</v>
      </c>
      <c r="U174" s="117"/>
      <c r="V174" s="117">
        <f t="shared" si="99"/>
        <v>0</v>
      </c>
      <c r="W174" s="117">
        <f t="shared" si="100"/>
        <v>4563192000</v>
      </c>
      <c r="X174" s="117">
        <f t="shared" si="101"/>
        <v>936808000</v>
      </c>
      <c r="Y174" s="117">
        <f t="shared" si="102"/>
        <v>5500000000</v>
      </c>
      <c r="Z174" s="204">
        <f t="shared" si="103"/>
        <v>0</v>
      </c>
    </row>
    <row r="175" spans="1:26" s="113" customFormat="1">
      <c r="A175" s="114" t="s">
        <v>812</v>
      </c>
      <c r="B175" s="115" t="s">
        <v>813</v>
      </c>
      <c r="C175" s="116" t="s">
        <v>457</v>
      </c>
      <c r="D175" s="116" t="s">
        <v>814</v>
      </c>
      <c r="E175" s="117">
        <v>56640000000</v>
      </c>
      <c r="F175" s="117">
        <v>15546258700</v>
      </c>
      <c r="G175" s="117">
        <v>5515112000</v>
      </c>
      <c r="H175" s="117">
        <v>0</v>
      </c>
      <c r="I175" s="117">
        <v>5515112000</v>
      </c>
      <c r="J175" s="118">
        <f t="shared" si="95"/>
        <v>0</v>
      </c>
      <c r="K175" s="140">
        <v>4267312300</v>
      </c>
      <c r="L175" s="117">
        <f t="shared" si="96"/>
        <v>4267312300</v>
      </c>
      <c r="M175" s="117">
        <v>4267312300</v>
      </c>
      <c r="N175" s="117"/>
      <c r="O175" s="117"/>
      <c r="P175" s="117">
        <f t="shared" si="97"/>
        <v>0</v>
      </c>
      <c r="Q175" s="140">
        <v>10195000000</v>
      </c>
      <c r="R175" s="117">
        <f t="shared" si="98"/>
        <v>10194103700</v>
      </c>
      <c r="S175" s="117">
        <v>10194103700</v>
      </c>
      <c r="T175" s="117"/>
      <c r="U175" s="117"/>
      <c r="V175" s="117">
        <f t="shared" si="99"/>
        <v>896300</v>
      </c>
      <c r="W175" s="117">
        <f t="shared" si="100"/>
        <v>19976528000</v>
      </c>
      <c r="X175" s="117">
        <f t="shared" si="101"/>
        <v>0</v>
      </c>
      <c r="Y175" s="117">
        <f t="shared" si="102"/>
        <v>30007674700</v>
      </c>
      <c r="Z175" s="204">
        <f t="shared" si="103"/>
        <v>0</v>
      </c>
    </row>
    <row r="176" spans="1:26" s="113" customFormat="1">
      <c r="A176" s="114" t="s">
        <v>815</v>
      </c>
      <c r="B176" s="115" t="s">
        <v>816</v>
      </c>
      <c r="C176" s="116" t="s">
        <v>457</v>
      </c>
      <c r="D176" s="116" t="s">
        <v>817</v>
      </c>
      <c r="E176" s="117">
        <v>14641000000</v>
      </c>
      <c r="F176" s="117">
        <v>945336000</v>
      </c>
      <c r="G176" s="125">
        <v>80996000</v>
      </c>
      <c r="H176" s="117">
        <v>0</v>
      </c>
      <c r="I176" s="117">
        <v>80996000</v>
      </c>
      <c r="J176" s="118">
        <f t="shared" si="95"/>
        <v>0</v>
      </c>
      <c r="K176" s="140">
        <v>603542000</v>
      </c>
      <c r="L176" s="117">
        <f t="shared" si="96"/>
        <v>0</v>
      </c>
      <c r="M176" s="117"/>
      <c r="N176" s="117"/>
      <c r="O176" s="117"/>
      <c r="P176" s="117">
        <f t="shared" si="97"/>
        <v>603542000</v>
      </c>
      <c r="Q176" s="140">
        <v>405000000</v>
      </c>
      <c r="R176" s="117">
        <f t="shared" si="98"/>
        <v>403596000</v>
      </c>
      <c r="S176" s="117">
        <v>403596000</v>
      </c>
      <c r="T176" s="117"/>
      <c r="U176" s="117"/>
      <c r="V176" s="117">
        <f t="shared" si="99"/>
        <v>1404000</v>
      </c>
      <c r="W176" s="117">
        <f t="shared" si="100"/>
        <v>484592000</v>
      </c>
      <c r="X176" s="117">
        <f t="shared" si="101"/>
        <v>0</v>
      </c>
      <c r="Y176" s="117">
        <f t="shared" si="102"/>
        <v>1348932000</v>
      </c>
      <c r="Z176" s="204">
        <f t="shared" si="103"/>
        <v>0</v>
      </c>
    </row>
    <row r="177" spans="1:26" s="113" customFormat="1" ht="24">
      <c r="A177" s="114" t="s">
        <v>818</v>
      </c>
      <c r="B177" s="115" t="s">
        <v>819</v>
      </c>
      <c r="C177" s="116" t="s">
        <v>457</v>
      </c>
      <c r="D177" s="116" t="s">
        <v>820</v>
      </c>
      <c r="E177" s="117">
        <v>10500000000</v>
      </c>
      <c r="F177" s="117">
        <v>783166000</v>
      </c>
      <c r="G177" s="117"/>
      <c r="H177" s="117"/>
      <c r="I177" s="117"/>
      <c r="J177" s="118">
        <f t="shared" si="95"/>
        <v>0</v>
      </c>
      <c r="K177" s="117"/>
      <c r="L177" s="117">
        <f t="shared" si="96"/>
        <v>0</v>
      </c>
      <c r="M177" s="117"/>
      <c r="N177" s="117"/>
      <c r="O177" s="117"/>
      <c r="P177" s="117">
        <f t="shared" si="97"/>
        <v>0</v>
      </c>
      <c r="Q177" s="140">
        <v>6180000000</v>
      </c>
      <c r="R177" s="117">
        <f t="shared" si="98"/>
        <v>6179814000</v>
      </c>
      <c r="S177" s="117">
        <v>6179814000</v>
      </c>
      <c r="T177" s="117"/>
      <c r="U177" s="117"/>
      <c r="V177" s="117">
        <f t="shared" si="99"/>
        <v>186000</v>
      </c>
      <c r="W177" s="117">
        <f t="shared" si="100"/>
        <v>6179814000</v>
      </c>
      <c r="X177" s="117">
        <f t="shared" si="101"/>
        <v>0</v>
      </c>
      <c r="Y177" s="117">
        <f t="shared" si="102"/>
        <v>6962980000</v>
      </c>
      <c r="Z177" s="204">
        <f t="shared" si="103"/>
        <v>0</v>
      </c>
    </row>
    <row r="178" spans="1:26" s="113" customFormat="1" ht="24">
      <c r="A178" s="114" t="s">
        <v>821</v>
      </c>
      <c r="B178" s="115" t="s">
        <v>822</v>
      </c>
      <c r="C178" s="116" t="s">
        <v>457</v>
      </c>
      <c r="D178" s="116" t="s">
        <v>823</v>
      </c>
      <c r="E178" s="117">
        <v>58417000000</v>
      </c>
      <c r="F178" s="117"/>
      <c r="G178" s="117"/>
      <c r="H178" s="117"/>
      <c r="I178" s="117"/>
      <c r="J178" s="118">
        <f t="shared" si="95"/>
        <v>0</v>
      </c>
      <c r="K178" s="117"/>
      <c r="L178" s="117">
        <f t="shared" si="96"/>
        <v>0</v>
      </c>
      <c r="M178" s="117"/>
      <c r="N178" s="117"/>
      <c r="O178" s="117"/>
      <c r="P178" s="117">
        <f t="shared" si="97"/>
        <v>0</v>
      </c>
      <c r="Q178" s="140">
        <v>1410000000</v>
      </c>
      <c r="R178" s="117">
        <f t="shared" si="98"/>
        <v>1403541888</v>
      </c>
      <c r="S178" s="117">
        <v>1403541888</v>
      </c>
      <c r="T178" s="117"/>
      <c r="U178" s="117"/>
      <c r="V178" s="117">
        <f t="shared" si="99"/>
        <v>6458112</v>
      </c>
      <c r="W178" s="117">
        <f t="shared" si="100"/>
        <v>1403541888</v>
      </c>
      <c r="X178" s="117">
        <f t="shared" si="101"/>
        <v>0</v>
      </c>
      <c r="Y178" s="117">
        <f t="shared" si="102"/>
        <v>1403541888</v>
      </c>
      <c r="Z178" s="204">
        <f t="shared" si="103"/>
        <v>0</v>
      </c>
    </row>
    <row r="179" spans="1:26" s="113" customFormat="1">
      <c r="A179" s="114" t="s">
        <v>824</v>
      </c>
      <c r="B179" s="115" t="s">
        <v>825</v>
      </c>
      <c r="C179" s="116" t="s">
        <v>457</v>
      </c>
      <c r="D179" s="116" t="s">
        <v>826</v>
      </c>
      <c r="E179" s="117">
        <v>27164000000</v>
      </c>
      <c r="F179" s="117">
        <v>9609583251</v>
      </c>
      <c r="G179" s="117">
        <v>1340548000</v>
      </c>
      <c r="H179" s="117">
        <v>0</v>
      </c>
      <c r="I179" s="117">
        <v>1340548000</v>
      </c>
      <c r="J179" s="118">
        <f>G179-H179-I179+N179</f>
        <v>0</v>
      </c>
      <c r="K179" s="140">
        <v>1122000000</v>
      </c>
      <c r="L179" s="117">
        <f>SUM(M179:N179)</f>
        <v>827384711</v>
      </c>
      <c r="M179" s="117">
        <v>827384711</v>
      </c>
      <c r="N179" s="117"/>
      <c r="O179" s="117"/>
      <c r="P179" s="117">
        <f>K179-L179-O179</f>
        <v>294615289</v>
      </c>
      <c r="Q179" s="145">
        <v>2525000000</v>
      </c>
      <c r="R179" s="117">
        <f>SUM(S179:T179)</f>
        <v>2435493000</v>
      </c>
      <c r="S179" s="117">
        <v>2435493000</v>
      </c>
      <c r="T179" s="117"/>
      <c r="U179" s="117"/>
      <c r="V179" s="117">
        <f>Q179-R179-U179</f>
        <v>89507000</v>
      </c>
      <c r="W179" s="117">
        <f>SUM(I179,M179,S179)</f>
        <v>4603425711</v>
      </c>
      <c r="X179" s="117">
        <f>G179-H179-I179+N179+T179</f>
        <v>0</v>
      </c>
      <c r="Y179" s="117">
        <f>F179+L179+R179</f>
        <v>12872460962</v>
      </c>
      <c r="Z179" s="204">
        <f t="shared" si="103"/>
        <v>0</v>
      </c>
    </row>
    <row r="180" spans="1:26" s="113" customFormat="1">
      <c r="A180" s="114" t="s">
        <v>827</v>
      </c>
      <c r="B180" s="115" t="s">
        <v>828</v>
      </c>
      <c r="C180" s="116" t="s">
        <v>457</v>
      </c>
      <c r="D180" s="116" t="s">
        <v>829</v>
      </c>
      <c r="E180" s="117">
        <v>20082000000</v>
      </c>
      <c r="F180" s="117">
        <v>10325807000</v>
      </c>
      <c r="G180" s="117">
        <v>2288000000</v>
      </c>
      <c r="H180" s="117">
        <v>0</v>
      </c>
      <c r="I180" s="117">
        <v>2288000000</v>
      </c>
      <c r="J180" s="118">
        <f>G180-H180-I180+N180</f>
        <v>0</v>
      </c>
      <c r="K180" s="117"/>
      <c r="L180" s="117">
        <f>SUM(M180:N180)</f>
        <v>0</v>
      </c>
      <c r="M180" s="117"/>
      <c r="N180" s="117"/>
      <c r="O180" s="117"/>
      <c r="P180" s="117">
        <f>K180-L180-O180</f>
        <v>0</v>
      </c>
      <c r="Q180" s="145">
        <v>2402000000</v>
      </c>
      <c r="R180" s="117">
        <f>SUM(S180:T180)</f>
        <v>2402000000</v>
      </c>
      <c r="S180" s="117">
        <v>2402000000</v>
      </c>
      <c r="T180" s="117"/>
      <c r="U180" s="117"/>
      <c r="V180" s="117">
        <f>Q180-R180-U180</f>
        <v>0</v>
      </c>
      <c r="W180" s="117">
        <f>SUM(I180,M180,S180)</f>
        <v>4690000000</v>
      </c>
      <c r="X180" s="117">
        <f>G180-H180-I180+N180+T180</f>
        <v>0</v>
      </c>
      <c r="Y180" s="117">
        <f>F180+L180+R180</f>
        <v>12727807000</v>
      </c>
      <c r="Z180" s="204">
        <f t="shared" si="103"/>
        <v>0</v>
      </c>
    </row>
    <row r="181" spans="1:26" s="113" customFormat="1">
      <c r="A181" s="114" t="s">
        <v>830</v>
      </c>
      <c r="B181" s="115" t="s">
        <v>831</v>
      </c>
      <c r="C181" s="116" t="s">
        <v>457</v>
      </c>
      <c r="D181" s="116" t="s">
        <v>832</v>
      </c>
      <c r="E181" s="117">
        <v>22850000000</v>
      </c>
      <c r="F181" s="117">
        <v>1371375800</v>
      </c>
      <c r="G181" s="117">
        <f>18223600+681369000</f>
        <v>699592600</v>
      </c>
      <c r="H181" s="117">
        <v>0</v>
      </c>
      <c r="I181" s="117">
        <f>18223600+681369000</f>
        <v>699592600</v>
      </c>
      <c r="J181" s="118">
        <f>G181-H181-I181+N181</f>
        <v>0</v>
      </c>
      <c r="K181" s="140">
        <v>892900000</v>
      </c>
      <c r="L181" s="117">
        <f>SUM(M181:N181)</f>
        <v>11789000</v>
      </c>
      <c r="M181" s="117">
        <v>11789000</v>
      </c>
      <c r="N181" s="117"/>
      <c r="O181" s="117"/>
      <c r="P181" s="117">
        <f>K181-L181-O181</f>
        <v>881111000</v>
      </c>
      <c r="Q181" s="145">
        <v>4432000000</v>
      </c>
      <c r="R181" s="117">
        <f>SUM(S181:T181)</f>
        <v>3645430000</v>
      </c>
      <c r="S181" s="117">
        <v>3645430000</v>
      </c>
      <c r="T181" s="117"/>
      <c r="U181" s="117"/>
      <c r="V181" s="117">
        <f>Q181-R181-U181</f>
        <v>786570000</v>
      </c>
      <c r="W181" s="117">
        <f>SUM(I181,M181,S181)</f>
        <v>4356811600</v>
      </c>
      <c r="X181" s="117">
        <f>G181-H181-I181+N181+T181</f>
        <v>0</v>
      </c>
      <c r="Y181" s="117">
        <f>F181+L181+R181</f>
        <v>5028594800</v>
      </c>
      <c r="Z181" s="204">
        <f t="shared" si="103"/>
        <v>0</v>
      </c>
    </row>
    <row r="182" spans="1:26" s="113" customFormat="1">
      <c r="A182" s="114" t="s">
        <v>833</v>
      </c>
      <c r="B182" s="115" t="s">
        <v>834</v>
      </c>
      <c r="C182" s="116" t="s">
        <v>457</v>
      </c>
      <c r="D182" s="116" t="s">
        <v>835</v>
      </c>
      <c r="E182" s="117">
        <v>13279840447</v>
      </c>
      <c r="F182" s="117"/>
      <c r="G182" s="117"/>
      <c r="H182" s="117"/>
      <c r="I182" s="117"/>
      <c r="J182" s="118">
        <f>G182-H182-I182+N182</f>
        <v>0</v>
      </c>
      <c r="K182" s="117"/>
      <c r="L182" s="117">
        <f>SUM(M182:N182)</f>
        <v>0</v>
      </c>
      <c r="M182" s="117"/>
      <c r="N182" s="117"/>
      <c r="O182" s="117"/>
      <c r="P182" s="117">
        <f>K182-L182-O182</f>
        <v>0</v>
      </c>
      <c r="Q182" s="145">
        <v>2812000000</v>
      </c>
      <c r="R182" s="117">
        <f>SUM(S182:T182)</f>
        <v>2812000000</v>
      </c>
      <c r="S182" s="117">
        <v>2812000000</v>
      </c>
      <c r="T182" s="117"/>
      <c r="U182" s="117"/>
      <c r="V182" s="117">
        <f>Q182-R182-U182</f>
        <v>0</v>
      </c>
      <c r="W182" s="117">
        <f>SUM(I182,M182,S182)</f>
        <v>2812000000</v>
      </c>
      <c r="X182" s="117">
        <f>G182-H182-I182+N182+T182</f>
        <v>0</v>
      </c>
      <c r="Y182" s="117">
        <f>F182+L182+R182</f>
        <v>2812000000</v>
      </c>
      <c r="Z182" s="204">
        <f t="shared" si="103"/>
        <v>0</v>
      </c>
    </row>
    <row r="183" spans="1:26" s="146" customFormat="1" ht="12">
      <c r="A183" s="114" t="s">
        <v>836</v>
      </c>
      <c r="B183" s="146" t="s">
        <v>611</v>
      </c>
      <c r="J183" s="147"/>
      <c r="Q183" s="140">
        <f>3000000000+6500000000+6500000000-182000000</f>
        <v>15818000000</v>
      </c>
      <c r="Z183" s="204">
        <f t="shared" si="103"/>
        <v>0</v>
      </c>
    </row>
    <row r="184" spans="1:26" s="124" customFormat="1">
      <c r="A184" s="120"/>
      <c r="B184" s="121" t="s">
        <v>837</v>
      </c>
      <c r="C184" s="122"/>
      <c r="D184" s="122"/>
      <c r="E184" s="123"/>
      <c r="F184" s="123"/>
      <c r="G184" s="123"/>
      <c r="H184" s="123"/>
      <c r="I184" s="123"/>
      <c r="J184" s="133"/>
      <c r="K184" s="123"/>
      <c r="L184" s="123"/>
      <c r="M184" s="123"/>
      <c r="N184" s="123"/>
      <c r="O184" s="123"/>
      <c r="P184" s="123"/>
      <c r="Q184" s="123"/>
      <c r="R184" s="123"/>
      <c r="S184" s="123"/>
      <c r="T184" s="134"/>
      <c r="U184" s="123"/>
      <c r="V184" s="123"/>
      <c r="W184" s="123"/>
      <c r="X184" s="123"/>
      <c r="Y184" s="123"/>
      <c r="Z184" s="204">
        <f t="shared" si="103"/>
        <v>0</v>
      </c>
    </row>
    <row r="185" spans="1:26" s="113" customFormat="1">
      <c r="A185" s="114" t="s">
        <v>455</v>
      </c>
      <c r="B185" s="115" t="s">
        <v>838</v>
      </c>
      <c r="C185" s="116" t="s">
        <v>457</v>
      </c>
      <c r="D185" s="116" t="s">
        <v>839</v>
      </c>
      <c r="E185" s="117">
        <v>20544000000</v>
      </c>
      <c r="F185" s="117"/>
      <c r="G185" s="117"/>
      <c r="H185" s="117"/>
      <c r="I185" s="117"/>
      <c r="J185" s="118">
        <f t="shared" ref="J185:J220" si="104">G185-H185-I185+N185</f>
        <v>0</v>
      </c>
      <c r="K185" s="117"/>
      <c r="L185" s="117">
        <f t="shared" ref="L185:L220" si="105">SUM(M185:N185)</f>
        <v>0</v>
      </c>
      <c r="M185" s="117"/>
      <c r="N185" s="117"/>
      <c r="O185" s="117"/>
      <c r="P185" s="117">
        <f t="shared" ref="P185:P220" si="106">K185-L185-O185</f>
        <v>0</v>
      </c>
      <c r="Q185" s="117">
        <v>30000000</v>
      </c>
      <c r="R185" s="117">
        <f t="shared" ref="R185:R220" si="107">SUM(S185:T185)</f>
        <v>29588000</v>
      </c>
      <c r="S185" s="117">
        <v>29588000</v>
      </c>
      <c r="T185" s="117"/>
      <c r="U185" s="117"/>
      <c r="V185" s="117">
        <f t="shared" ref="V185:V220" si="108">Q185-R185-U185</f>
        <v>412000</v>
      </c>
      <c r="W185" s="117">
        <f t="shared" ref="W185:W220" si="109">SUM(I185,M185,S185)</f>
        <v>29588000</v>
      </c>
      <c r="X185" s="117">
        <f t="shared" ref="X185:X220" si="110">G185-H185-I185+N185+T185</f>
        <v>0</v>
      </c>
      <c r="Y185" s="117">
        <f t="shared" ref="Y185:Y220" si="111">F185+L185+R185</f>
        <v>29588000</v>
      </c>
      <c r="Z185" s="204">
        <f t="shared" si="103"/>
        <v>0</v>
      </c>
    </row>
    <row r="186" spans="1:26" s="113" customFormat="1">
      <c r="A186" s="114" t="s">
        <v>459</v>
      </c>
      <c r="B186" s="115" t="s">
        <v>840</v>
      </c>
      <c r="C186" s="116" t="s">
        <v>457</v>
      </c>
      <c r="D186" s="116" t="s">
        <v>841</v>
      </c>
      <c r="E186" s="117">
        <v>10195000000</v>
      </c>
      <c r="F186" s="117"/>
      <c r="G186" s="117"/>
      <c r="H186" s="117"/>
      <c r="I186" s="117"/>
      <c r="J186" s="118">
        <f t="shared" si="104"/>
        <v>0</v>
      </c>
      <c r="K186" s="117"/>
      <c r="L186" s="117">
        <f t="shared" si="105"/>
        <v>0</v>
      </c>
      <c r="M186" s="117"/>
      <c r="N186" s="117"/>
      <c r="O186" s="117"/>
      <c r="P186" s="117">
        <f t="shared" si="106"/>
        <v>0</v>
      </c>
      <c r="Q186" s="117">
        <v>499000000</v>
      </c>
      <c r="R186" s="117">
        <f t="shared" si="107"/>
        <v>449948543</v>
      </c>
      <c r="S186" s="117">
        <v>449948543</v>
      </c>
      <c r="T186" s="117"/>
      <c r="U186" s="117"/>
      <c r="V186" s="117">
        <f t="shared" si="108"/>
        <v>49051457</v>
      </c>
      <c r="W186" s="117">
        <f t="shared" si="109"/>
        <v>449948543</v>
      </c>
      <c r="X186" s="117">
        <f t="shared" si="110"/>
        <v>0</v>
      </c>
      <c r="Y186" s="117">
        <f t="shared" si="111"/>
        <v>449948543</v>
      </c>
      <c r="Z186" s="204">
        <f t="shared" si="103"/>
        <v>0</v>
      </c>
    </row>
    <row r="187" spans="1:26" s="113" customFormat="1">
      <c r="A187" s="114" t="s">
        <v>462</v>
      </c>
      <c r="B187" s="115" t="s">
        <v>842</v>
      </c>
      <c r="C187" s="116" t="s">
        <v>457</v>
      </c>
      <c r="D187" s="116" t="s">
        <v>843</v>
      </c>
      <c r="E187" s="117">
        <v>26704000000</v>
      </c>
      <c r="F187" s="117">
        <v>12118215000</v>
      </c>
      <c r="G187" s="117">
        <v>0</v>
      </c>
      <c r="H187" s="117"/>
      <c r="I187" s="117"/>
      <c r="J187" s="118">
        <f t="shared" si="104"/>
        <v>0</v>
      </c>
      <c r="K187" s="117"/>
      <c r="L187" s="117">
        <f t="shared" si="105"/>
        <v>0</v>
      </c>
      <c r="M187" s="117"/>
      <c r="N187" s="117"/>
      <c r="O187" s="117"/>
      <c r="P187" s="117">
        <f t="shared" si="106"/>
        <v>0</v>
      </c>
      <c r="Q187" s="117">
        <v>909000000</v>
      </c>
      <c r="R187" s="117">
        <f t="shared" si="107"/>
        <v>908031000</v>
      </c>
      <c r="S187" s="117">
        <v>908031000</v>
      </c>
      <c r="T187" s="117"/>
      <c r="U187" s="117"/>
      <c r="V187" s="117">
        <f t="shared" si="108"/>
        <v>969000</v>
      </c>
      <c r="W187" s="117">
        <f t="shared" si="109"/>
        <v>908031000</v>
      </c>
      <c r="X187" s="117">
        <f t="shared" si="110"/>
        <v>0</v>
      </c>
      <c r="Y187" s="117">
        <f t="shared" si="111"/>
        <v>13026246000</v>
      </c>
      <c r="Z187" s="204">
        <f t="shared" si="103"/>
        <v>0</v>
      </c>
    </row>
    <row r="188" spans="1:26" s="113" customFormat="1">
      <c r="A188" s="114" t="s">
        <v>465</v>
      </c>
      <c r="B188" s="115" t="s">
        <v>844</v>
      </c>
      <c r="C188" s="116" t="s">
        <v>457</v>
      </c>
      <c r="D188" s="116" t="s">
        <v>845</v>
      </c>
      <c r="E188" s="117">
        <v>34451000000</v>
      </c>
      <c r="F188" s="117">
        <v>12993127000</v>
      </c>
      <c r="G188" s="117"/>
      <c r="H188" s="117"/>
      <c r="I188" s="117"/>
      <c r="J188" s="118">
        <f t="shared" si="104"/>
        <v>0</v>
      </c>
      <c r="K188" s="117"/>
      <c r="L188" s="117">
        <f t="shared" si="105"/>
        <v>0</v>
      </c>
      <c r="M188" s="117"/>
      <c r="N188" s="117"/>
      <c r="O188" s="117"/>
      <c r="P188" s="117">
        <f t="shared" si="106"/>
        <v>0</v>
      </c>
      <c r="Q188" s="117">
        <v>846000000</v>
      </c>
      <c r="R188" s="117">
        <f t="shared" si="107"/>
        <v>845573000</v>
      </c>
      <c r="S188" s="117">
        <v>845573000</v>
      </c>
      <c r="T188" s="117"/>
      <c r="U188" s="117"/>
      <c r="V188" s="117">
        <f t="shared" si="108"/>
        <v>427000</v>
      </c>
      <c r="W188" s="117">
        <f t="shared" si="109"/>
        <v>845573000</v>
      </c>
      <c r="X188" s="117">
        <f t="shared" si="110"/>
        <v>0</v>
      </c>
      <c r="Y188" s="117">
        <f t="shared" si="111"/>
        <v>13838700000</v>
      </c>
      <c r="Z188" s="204">
        <f t="shared" si="103"/>
        <v>0</v>
      </c>
    </row>
    <row r="189" spans="1:26" s="113" customFormat="1">
      <c r="A189" s="114" t="s">
        <v>468</v>
      </c>
      <c r="B189" s="115" t="s">
        <v>846</v>
      </c>
      <c r="C189" s="116" t="s">
        <v>457</v>
      </c>
      <c r="D189" s="116" t="s">
        <v>847</v>
      </c>
      <c r="E189" s="117">
        <v>8856461167</v>
      </c>
      <c r="F189" s="117">
        <v>2359773000</v>
      </c>
      <c r="G189" s="117"/>
      <c r="H189" s="117"/>
      <c r="I189" s="117"/>
      <c r="J189" s="118">
        <f t="shared" si="104"/>
        <v>0</v>
      </c>
      <c r="K189" s="117"/>
      <c r="L189" s="117">
        <f t="shared" si="105"/>
        <v>0</v>
      </c>
      <c r="M189" s="117"/>
      <c r="N189" s="117"/>
      <c r="O189" s="117"/>
      <c r="P189" s="117">
        <f t="shared" si="106"/>
        <v>0</v>
      </c>
      <c r="Q189" s="117">
        <v>60000000</v>
      </c>
      <c r="R189" s="117">
        <f t="shared" si="107"/>
        <v>59276000</v>
      </c>
      <c r="S189" s="117">
        <v>59276000</v>
      </c>
      <c r="T189" s="117"/>
      <c r="U189" s="117"/>
      <c r="V189" s="117">
        <f t="shared" si="108"/>
        <v>724000</v>
      </c>
      <c r="W189" s="117">
        <f t="shared" si="109"/>
        <v>59276000</v>
      </c>
      <c r="X189" s="117">
        <f t="shared" si="110"/>
        <v>0</v>
      </c>
      <c r="Y189" s="117">
        <f t="shared" si="111"/>
        <v>2419049000</v>
      </c>
      <c r="Z189" s="204">
        <f t="shared" si="103"/>
        <v>0</v>
      </c>
    </row>
    <row r="190" spans="1:26" s="113" customFormat="1">
      <c r="A190" s="114" t="s">
        <v>471</v>
      </c>
      <c r="B190" s="115" t="s">
        <v>848</v>
      </c>
      <c r="C190" s="116" t="s">
        <v>457</v>
      </c>
      <c r="D190" s="116" t="s">
        <v>849</v>
      </c>
      <c r="E190" s="117">
        <v>13166000000</v>
      </c>
      <c r="F190" s="117">
        <v>4337382000</v>
      </c>
      <c r="G190" s="117"/>
      <c r="H190" s="117"/>
      <c r="I190" s="117"/>
      <c r="J190" s="118">
        <f t="shared" si="104"/>
        <v>0</v>
      </c>
      <c r="K190" s="117"/>
      <c r="L190" s="117">
        <f t="shared" si="105"/>
        <v>0</v>
      </c>
      <c r="M190" s="117"/>
      <c r="N190" s="117"/>
      <c r="O190" s="117"/>
      <c r="P190" s="117">
        <f t="shared" si="106"/>
        <v>0</v>
      </c>
      <c r="Q190" s="117">
        <v>101000000</v>
      </c>
      <c r="R190" s="117">
        <f t="shared" si="107"/>
        <v>100867000</v>
      </c>
      <c r="S190" s="117">
        <v>100867000</v>
      </c>
      <c r="T190" s="117"/>
      <c r="U190" s="117"/>
      <c r="V190" s="117">
        <f t="shared" si="108"/>
        <v>133000</v>
      </c>
      <c r="W190" s="117">
        <f t="shared" si="109"/>
        <v>100867000</v>
      </c>
      <c r="X190" s="117">
        <f t="shared" si="110"/>
        <v>0</v>
      </c>
      <c r="Y190" s="117">
        <f t="shared" si="111"/>
        <v>4438249000</v>
      </c>
      <c r="Z190" s="204">
        <f t="shared" si="103"/>
        <v>0</v>
      </c>
    </row>
    <row r="191" spans="1:26" s="113" customFormat="1" ht="24">
      <c r="A191" s="114" t="s">
        <v>474</v>
      </c>
      <c r="B191" s="115" t="s">
        <v>850</v>
      </c>
      <c r="C191" s="116" t="s">
        <v>457</v>
      </c>
      <c r="D191" s="116" t="s">
        <v>851</v>
      </c>
      <c r="E191" s="117">
        <v>4406000000</v>
      </c>
      <c r="F191" s="117"/>
      <c r="G191" s="117"/>
      <c r="H191" s="117"/>
      <c r="I191" s="117"/>
      <c r="J191" s="118">
        <f t="shared" si="104"/>
        <v>0</v>
      </c>
      <c r="K191" s="117"/>
      <c r="L191" s="117">
        <f t="shared" si="105"/>
        <v>0</v>
      </c>
      <c r="M191" s="117"/>
      <c r="N191" s="117"/>
      <c r="O191" s="117"/>
      <c r="P191" s="117">
        <f t="shared" si="106"/>
        <v>0</v>
      </c>
      <c r="Q191" s="117">
        <v>39000000</v>
      </c>
      <c r="R191" s="117">
        <f t="shared" si="107"/>
        <v>38208000</v>
      </c>
      <c r="S191" s="117">
        <v>38208000</v>
      </c>
      <c r="T191" s="117"/>
      <c r="U191" s="117"/>
      <c r="V191" s="117">
        <f t="shared" si="108"/>
        <v>792000</v>
      </c>
      <c r="W191" s="117">
        <f t="shared" si="109"/>
        <v>38208000</v>
      </c>
      <c r="X191" s="117">
        <f t="shared" si="110"/>
        <v>0</v>
      </c>
      <c r="Y191" s="117">
        <f t="shared" si="111"/>
        <v>38208000</v>
      </c>
      <c r="Z191" s="204">
        <f t="shared" si="103"/>
        <v>0</v>
      </c>
    </row>
    <row r="192" spans="1:26" s="113" customFormat="1" ht="24">
      <c r="A192" s="114" t="s">
        <v>477</v>
      </c>
      <c r="B192" s="115" t="s">
        <v>852</v>
      </c>
      <c r="C192" s="116" t="s">
        <v>457</v>
      </c>
      <c r="D192" s="116" t="s">
        <v>853</v>
      </c>
      <c r="E192" s="117">
        <v>1902000000</v>
      </c>
      <c r="F192" s="117"/>
      <c r="G192" s="117"/>
      <c r="H192" s="117"/>
      <c r="I192" s="117"/>
      <c r="J192" s="118">
        <f t="shared" si="104"/>
        <v>0</v>
      </c>
      <c r="K192" s="117"/>
      <c r="L192" s="117">
        <f t="shared" si="105"/>
        <v>0</v>
      </c>
      <c r="M192" s="117"/>
      <c r="N192" s="117"/>
      <c r="O192" s="117"/>
      <c r="P192" s="117">
        <f t="shared" si="106"/>
        <v>0</v>
      </c>
      <c r="Q192" s="117">
        <v>25000000</v>
      </c>
      <c r="R192" s="117">
        <f t="shared" si="107"/>
        <v>24130000</v>
      </c>
      <c r="S192" s="117">
        <v>24130000</v>
      </c>
      <c r="T192" s="117"/>
      <c r="U192" s="117"/>
      <c r="V192" s="117">
        <f t="shared" si="108"/>
        <v>870000</v>
      </c>
      <c r="W192" s="117">
        <f t="shared" si="109"/>
        <v>24130000</v>
      </c>
      <c r="X192" s="117">
        <f t="shared" si="110"/>
        <v>0</v>
      </c>
      <c r="Y192" s="117">
        <f t="shared" si="111"/>
        <v>24130000</v>
      </c>
      <c r="Z192" s="204">
        <f t="shared" si="103"/>
        <v>0</v>
      </c>
    </row>
    <row r="193" spans="1:26" s="113" customFormat="1" ht="24">
      <c r="A193" s="114" t="s">
        <v>480</v>
      </c>
      <c r="B193" s="115" t="s">
        <v>854</v>
      </c>
      <c r="C193" s="116" t="s">
        <v>457</v>
      </c>
      <c r="D193" s="116" t="s">
        <v>855</v>
      </c>
      <c r="E193" s="117">
        <v>3251000000</v>
      </c>
      <c r="F193" s="117"/>
      <c r="G193" s="117"/>
      <c r="H193" s="117"/>
      <c r="I193" s="117"/>
      <c r="J193" s="118">
        <f t="shared" si="104"/>
        <v>0</v>
      </c>
      <c r="K193" s="117"/>
      <c r="L193" s="117">
        <f t="shared" si="105"/>
        <v>0</v>
      </c>
      <c r="M193" s="117"/>
      <c r="N193" s="117"/>
      <c r="O193" s="117"/>
      <c r="P193" s="117">
        <f t="shared" si="106"/>
        <v>0</v>
      </c>
      <c r="Q193" s="117">
        <v>14000000</v>
      </c>
      <c r="R193" s="117">
        <f t="shared" si="107"/>
        <v>13888000</v>
      </c>
      <c r="S193" s="117">
        <v>13888000</v>
      </c>
      <c r="T193" s="117"/>
      <c r="U193" s="117"/>
      <c r="V193" s="117">
        <f t="shared" si="108"/>
        <v>112000</v>
      </c>
      <c r="W193" s="117">
        <f t="shared" si="109"/>
        <v>13888000</v>
      </c>
      <c r="X193" s="117">
        <f t="shared" si="110"/>
        <v>0</v>
      </c>
      <c r="Y193" s="117">
        <f t="shared" si="111"/>
        <v>13888000</v>
      </c>
      <c r="Z193" s="204">
        <f t="shared" si="103"/>
        <v>0</v>
      </c>
    </row>
    <row r="194" spans="1:26" s="113" customFormat="1" ht="24">
      <c r="A194" s="114" t="s">
        <v>483</v>
      </c>
      <c r="B194" s="115" t="s">
        <v>856</v>
      </c>
      <c r="C194" s="116" t="s">
        <v>457</v>
      </c>
      <c r="D194" s="116" t="s">
        <v>857</v>
      </c>
      <c r="E194" s="117">
        <v>2104000000</v>
      </c>
      <c r="F194" s="117"/>
      <c r="G194" s="117"/>
      <c r="H194" s="117"/>
      <c r="I194" s="117"/>
      <c r="J194" s="118">
        <f t="shared" si="104"/>
        <v>0</v>
      </c>
      <c r="K194" s="117"/>
      <c r="L194" s="117">
        <f t="shared" si="105"/>
        <v>0</v>
      </c>
      <c r="M194" s="117"/>
      <c r="N194" s="117"/>
      <c r="O194" s="117"/>
      <c r="P194" s="117">
        <f t="shared" si="106"/>
        <v>0</v>
      </c>
      <c r="Q194" s="117">
        <v>6000000</v>
      </c>
      <c r="R194" s="117">
        <f t="shared" si="107"/>
        <v>5414000</v>
      </c>
      <c r="S194" s="117">
        <v>5414000</v>
      </c>
      <c r="T194" s="117"/>
      <c r="U194" s="117"/>
      <c r="V194" s="117">
        <f t="shared" si="108"/>
        <v>586000</v>
      </c>
      <c r="W194" s="117">
        <f t="shared" si="109"/>
        <v>5414000</v>
      </c>
      <c r="X194" s="117">
        <f t="shared" si="110"/>
        <v>0</v>
      </c>
      <c r="Y194" s="117">
        <f t="shared" si="111"/>
        <v>5414000</v>
      </c>
      <c r="Z194" s="204">
        <f t="shared" si="103"/>
        <v>0</v>
      </c>
    </row>
    <row r="195" spans="1:26" s="113" customFormat="1" ht="24">
      <c r="A195" s="114" t="s">
        <v>486</v>
      </c>
      <c r="B195" s="115" t="s">
        <v>858</v>
      </c>
      <c r="C195" s="116" t="s">
        <v>457</v>
      </c>
      <c r="D195" s="116" t="s">
        <v>859</v>
      </c>
      <c r="E195" s="117">
        <v>1402000000</v>
      </c>
      <c r="F195" s="117"/>
      <c r="G195" s="117"/>
      <c r="H195" s="117"/>
      <c r="I195" s="117"/>
      <c r="J195" s="118">
        <f t="shared" si="104"/>
        <v>0</v>
      </c>
      <c r="K195" s="117"/>
      <c r="L195" s="117">
        <f t="shared" si="105"/>
        <v>0</v>
      </c>
      <c r="M195" s="117"/>
      <c r="N195" s="117"/>
      <c r="O195" s="117"/>
      <c r="P195" s="117">
        <f t="shared" si="106"/>
        <v>0</v>
      </c>
      <c r="Q195" s="117">
        <v>15000000</v>
      </c>
      <c r="R195" s="117">
        <f t="shared" si="107"/>
        <v>15000000</v>
      </c>
      <c r="S195" s="117">
        <v>15000000</v>
      </c>
      <c r="T195" s="117"/>
      <c r="U195" s="117"/>
      <c r="V195" s="117">
        <f t="shared" si="108"/>
        <v>0</v>
      </c>
      <c r="W195" s="117">
        <f t="shared" si="109"/>
        <v>15000000</v>
      </c>
      <c r="X195" s="117">
        <f t="shared" si="110"/>
        <v>0</v>
      </c>
      <c r="Y195" s="117">
        <f t="shared" si="111"/>
        <v>15000000</v>
      </c>
      <c r="Z195" s="204">
        <f t="shared" si="103"/>
        <v>0</v>
      </c>
    </row>
    <row r="196" spans="1:26" s="113" customFormat="1">
      <c r="A196" s="114" t="s">
        <v>489</v>
      </c>
      <c r="B196" s="115" t="s">
        <v>860</v>
      </c>
      <c r="C196" s="116" t="s">
        <v>457</v>
      </c>
      <c r="D196" s="116" t="s">
        <v>861</v>
      </c>
      <c r="E196" s="117">
        <v>16968323819</v>
      </c>
      <c r="F196" s="117"/>
      <c r="G196" s="117"/>
      <c r="H196" s="117"/>
      <c r="I196" s="117"/>
      <c r="J196" s="118">
        <f t="shared" si="104"/>
        <v>0</v>
      </c>
      <c r="K196" s="117"/>
      <c r="L196" s="117">
        <f t="shared" si="105"/>
        <v>0</v>
      </c>
      <c r="M196" s="117"/>
      <c r="N196" s="117"/>
      <c r="O196" s="117"/>
      <c r="P196" s="117">
        <f t="shared" si="106"/>
        <v>0</v>
      </c>
      <c r="Q196" s="117">
        <v>157000000</v>
      </c>
      <c r="R196" s="117">
        <f t="shared" si="107"/>
        <v>149621267</v>
      </c>
      <c r="S196" s="117">
        <v>149621267</v>
      </c>
      <c r="T196" s="117"/>
      <c r="U196" s="117"/>
      <c r="V196" s="117">
        <f t="shared" si="108"/>
        <v>7378733</v>
      </c>
      <c r="W196" s="117">
        <f t="shared" si="109"/>
        <v>149621267</v>
      </c>
      <c r="X196" s="117">
        <f t="shared" si="110"/>
        <v>0</v>
      </c>
      <c r="Y196" s="117">
        <f t="shared" si="111"/>
        <v>149621267</v>
      </c>
      <c r="Z196" s="204">
        <f t="shared" si="103"/>
        <v>0</v>
      </c>
    </row>
    <row r="197" spans="1:26" s="113" customFormat="1" ht="24">
      <c r="A197" s="114" t="s">
        <v>553</v>
      </c>
      <c r="B197" s="115" t="s">
        <v>862</v>
      </c>
      <c r="C197" s="116" t="s">
        <v>457</v>
      </c>
      <c r="D197" s="116" t="s">
        <v>863</v>
      </c>
      <c r="E197" s="117">
        <v>53967000000</v>
      </c>
      <c r="F197" s="117"/>
      <c r="G197" s="117"/>
      <c r="H197" s="117"/>
      <c r="I197" s="117"/>
      <c r="J197" s="118">
        <f t="shared" si="104"/>
        <v>0</v>
      </c>
      <c r="K197" s="117"/>
      <c r="L197" s="117">
        <f t="shared" si="105"/>
        <v>0</v>
      </c>
      <c r="M197" s="117"/>
      <c r="N197" s="117"/>
      <c r="O197" s="117"/>
      <c r="P197" s="117">
        <f t="shared" si="106"/>
        <v>0</v>
      </c>
      <c r="Q197" s="117">
        <v>3000000000</v>
      </c>
      <c r="R197" s="117">
        <f t="shared" si="107"/>
        <v>2423695200</v>
      </c>
      <c r="S197" s="117">
        <v>2423695200</v>
      </c>
      <c r="T197" s="119"/>
      <c r="U197" s="117"/>
      <c r="V197" s="117">
        <f t="shared" si="108"/>
        <v>576304800</v>
      </c>
      <c r="W197" s="117">
        <f t="shared" si="109"/>
        <v>2423695200</v>
      </c>
      <c r="X197" s="117">
        <f t="shared" si="110"/>
        <v>0</v>
      </c>
      <c r="Y197" s="117">
        <f t="shared" si="111"/>
        <v>2423695200</v>
      </c>
      <c r="Z197" s="204">
        <f t="shared" si="103"/>
        <v>0</v>
      </c>
    </row>
    <row r="198" spans="1:26" s="113" customFormat="1">
      <c r="A198" s="114" t="s">
        <v>556</v>
      </c>
      <c r="B198" s="115" t="s">
        <v>864</v>
      </c>
      <c r="C198" s="116" t="s">
        <v>457</v>
      </c>
      <c r="D198" s="116" t="s">
        <v>865</v>
      </c>
      <c r="E198" s="117">
        <v>16262000000</v>
      </c>
      <c r="F198" s="117"/>
      <c r="G198" s="117"/>
      <c r="H198" s="117"/>
      <c r="I198" s="117"/>
      <c r="J198" s="118">
        <f t="shared" si="104"/>
        <v>0</v>
      </c>
      <c r="K198" s="117"/>
      <c r="L198" s="117">
        <f t="shared" si="105"/>
        <v>0</v>
      </c>
      <c r="M198" s="117"/>
      <c r="N198" s="117"/>
      <c r="O198" s="117"/>
      <c r="P198" s="117">
        <f t="shared" si="106"/>
        <v>0</v>
      </c>
      <c r="Q198" s="117">
        <v>207000000</v>
      </c>
      <c r="R198" s="117">
        <f t="shared" si="107"/>
        <v>205478398</v>
      </c>
      <c r="S198" s="117">
        <v>205478398</v>
      </c>
      <c r="T198" s="117"/>
      <c r="U198" s="117"/>
      <c r="V198" s="117">
        <f t="shared" si="108"/>
        <v>1521602</v>
      </c>
      <c r="W198" s="117">
        <f t="shared" si="109"/>
        <v>205478398</v>
      </c>
      <c r="X198" s="117">
        <f t="shared" si="110"/>
        <v>0</v>
      </c>
      <c r="Y198" s="117">
        <f t="shared" si="111"/>
        <v>205478398</v>
      </c>
      <c r="Z198" s="204">
        <f t="shared" si="103"/>
        <v>0</v>
      </c>
    </row>
    <row r="199" spans="1:26" s="113" customFormat="1">
      <c r="A199" s="114" t="s">
        <v>559</v>
      </c>
      <c r="B199" s="115" t="s">
        <v>866</v>
      </c>
      <c r="C199" s="116" t="s">
        <v>457</v>
      </c>
      <c r="D199" s="116" t="s">
        <v>867</v>
      </c>
      <c r="E199" s="117">
        <v>50938000000</v>
      </c>
      <c r="F199" s="117">
        <v>1000000000</v>
      </c>
      <c r="G199" s="117"/>
      <c r="H199" s="117"/>
      <c r="I199" s="117"/>
      <c r="J199" s="118">
        <f t="shared" si="104"/>
        <v>0</v>
      </c>
      <c r="K199" s="117"/>
      <c r="L199" s="117">
        <f t="shared" si="105"/>
        <v>0</v>
      </c>
      <c r="M199" s="117"/>
      <c r="N199" s="117"/>
      <c r="O199" s="117"/>
      <c r="P199" s="117">
        <f t="shared" si="106"/>
        <v>0</v>
      </c>
      <c r="Q199" s="117">
        <v>5000000</v>
      </c>
      <c r="R199" s="117">
        <f t="shared" si="107"/>
        <v>4270000</v>
      </c>
      <c r="S199" s="117">
        <v>4270000</v>
      </c>
      <c r="T199" s="117"/>
      <c r="U199" s="117"/>
      <c r="V199" s="117">
        <f t="shared" si="108"/>
        <v>730000</v>
      </c>
      <c r="W199" s="117">
        <f t="shared" si="109"/>
        <v>4270000</v>
      </c>
      <c r="X199" s="117">
        <f t="shared" si="110"/>
        <v>0</v>
      </c>
      <c r="Y199" s="117">
        <f t="shared" si="111"/>
        <v>1004270000</v>
      </c>
      <c r="Z199" s="204">
        <f t="shared" si="103"/>
        <v>0</v>
      </c>
    </row>
    <row r="200" spans="1:26" s="113" customFormat="1">
      <c r="A200" s="114" t="s">
        <v>562</v>
      </c>
      <c r="B200" s="115" t="s">
        <v>868</v>
      </c>
      <c r="C200" s="116" t="s">
        <v>457</v>
      </c>
      <c r="D200" s="116" t="s">
        <v>869</v>
      </c>
      <c r="E200" s="117">
        <v>32236000000</v>
      </c>
      <c r="F200" s="117"/>
      <c r="G200" s="117"/>
      <c r="H200" s="117"/>
      <c r="I200" s="117"/>
      <c r="J200" s="118">
        <f t="shared" si="104"/>
        <v>0</v>
      </c>
      <c r="K200" s="117"/>
      <c r="L200" s="117">
        <f t="shared" si="105"/>
        <v>0</v>
      </c>
      <c r="M200" s="117"/>
      <c r="N200" s="117"/>
      <c r="O200" s="117"/>
      <c r="P200" s="117">
        <f t="shared" si="106"/>
        <v>0</v>
      </c>
      <c r="Q200" s="117">
        <v>150000000</v>
      </c>
      <c r="R200" s="117">
        <f t="shared" si="107"/>
        <v>150000000</v>
      </c>
      <c r="S200" s="117">
        <v>150000000</v>
      </c>
      <c r="T200" s="117"/>
      <c r="U200" s="117"/>
      <c r="V200" s="117">
        <f t="shared" si="108"/>
        <v>0</v>
      </c>
      <c r="W200" s="117">
        <f t="shared" si="109"/>
        <v>150000000</v>
      </c>
      <c r="X200" s="117">
        <f t="shared" si="110"/>
        <v>0</v>
      </c>
      <c r="Y200" s="117">
        <f t="shared" si="111"/>
        <v>150000000</v>
      </c>
      <c r="Z200" s="204">
        <f t="shared" si="103"/>
        <v>0</v>
      </c>
    </row>
    <row r="201" spans="1:26" s="113" customFormat="1">
      <c r="A201" s="114" t="s">
        <v>565</v>
      </c>
      <c r="B201" s="115" t="s">
        <v>870</v>
      </c>
      <c r="C201" s="116" t="s">
        <v>457</v>
      </c>
      <c r="D201" s="116" t="s">
        <v>871</v>
      </c>
      <c r="E201" s="117">
        <v>85544000000</v>
      </c>
      <c r="F201" s="117"/>
      <c r="G201" s="117"/>
      <c r="H201" s="117"/>
      <c r="I201" s="117"/>
      <c r="J201" s="118">
        <f t="shared" si="104"/>
        <v>0</v>
      </c>
      <c r="K201" s="117"/>
      <c r="L201" s="117">
        <f t="shared" si="105"/>
        <v>0</v>
      </c>
      <c r="M201" s="117"/>
      <c r="N201" s="117"/>
      <c r="O201" s="117"/>
      <c r="P201" s="117">
        <f t="shared" si="106"/>
        <v>0</v>
      </c>
      <c r="Q201" s="117">
        <v>69000000</v>
      </c>
      <c r="R201" s="117">
        <f t="shared" si="107"/>
        <v>50937560</v>
      </c>
      <c r="S201" s="117">
        <v>50937560</v>
      </c>
      <c r="T201" s="117"/>
      <c r="U201" s="117"/>
      <c r="V201" s="117">
        <f t="shared" si="108"/>
        <v>18062440</v>
      </c>
      <c r="W201" s="117">
        <f t="shared" si="109"/>
        <v>50937560</v>
      </c>
      <c r="X201" s="117">
        <f t="shared" si="110"/>
        <v>0</v>
      </c>
      <c r="Y201" s="117">
        <f t="shared" si="111"/>
        <v>50937560</v>
      </c>
      <c r="Z201" s="204">
        <f t="shared" si="103"/>
        <v>0</v>
      </c>
    </row>
    <row r="202" spans="1:26" s="113" customFormat="1">
      <c r="A202" s="114" t="s">
        <v>568</v>
      </c>
      <c r="B202" s="115" t="s">
        <v>872</v>
      </c>
      <c r="C202" s="116" t="s">
        <v>457</v>
      </c>
      <c r="D202" s="116" t="s">
        <v>873</v>
      </c>
      <c r="E202" s="117">
        <v>6626000000</v>
      </c>
      <c r="F202" s="117"/>
      <c r="G202" s="117"/>
      <c r="H202" s="117"/>
      <c r="I202" s="117"/>
      <c r="J202" s="118">
        <f t="shared" si="104"/>
        <v>0</v>
      </c>
      <c r="K202" s="117"/>
      <c r="L202" s="117">
        <f t="shared" si="105"/>
        <v>0</v>
      </c>
      <c r="M202" s="117"/>
      <c r="N202" s="117"/>
      <c r="O202" s="117"/>
      <c r="P202" s="117">
        <f t="shared" si="106"/>
        <v>0</v>
      </c>
      <c r="Q202" s="117">
        <v>43000000</v>
      </c>
      <c r="R202" s="117">
        <f t="shared" si="107"/>
        <v>42842000</v>
      </c>
      <c r="S202" s="117">
        <v>42842000</v>
      </c>
      <c r="T202" s="117"/>
      <c r="U202" s="117"/>
      <c r="V202" s="117">
        <f t="shared" si="108"/>
        <v>158000</v>
      </c>
      <c r="W202" s="117">
        <f t="shared" si="109"/>
        <v>42842000</v>
      </c>
      <c r="X202" s="117">
        <f t="shared" si="110"/>
        <v>0</v>
      </c>
      <c r="Y202" s="117">
        <f t="shared" si="111"/>
        <v>42842000</v>
      </c>
      <c r="Z202" s="204">
        <f t="shared" si="103"/>
        <v>0</v>
      </c>
    </row>
    <row r="203" spans="1:26" s="113" customFormat="1" ht="24">
      <c r="A203" s="114" t="s">
        <v>571</v>
      </c>
      <c r="B203" s="115" t="s">
        <v>874</v>
      </c>
      <c r="C203" s="116" t="s">
        <v>457</v>
      </c>
      <c r="D203" s="116" t="s">
        <v>875</v>
      </c>
      <c r="E203" s="117">
        <v>46515000000</v>
      </c>
      <c r="F203" s="117"/>
      <c r="G203" s="117"/>
      <c r="H203" s="117"/>
      <c r="I203" s="117"/>
      <c r="J203" s="118">
        <f t="shared" si="104"/>
        <v>0</v>
      </c>
      <c r="K203" s="117"/>
      <c r="L203" s="117">
        <f t="shared" si="105"/>
        <v>0</v>
      </c>
      <c r="M203" s="117"/>
      <c r="N203" s="117"/>
      <c r="O203" s="117"/>
      <c r="P203" s="117">
        <f t="shared" si="106"/>
        <v>0</v>
      </c>
      <c r="Q203" s="117">
        <v>198000000</v>
      </c>
      <c r="R203" s="117">
        <f t="shared" si="107"/>
        <v>197067814</v>
      </c>
      <c r="S203" s="117">
        <v>197067814</v>
      </c>
      <c r="T203" s="117"/>
      <c r="U203" s="117"/>
      <c r="V203" s="117">
        <f t="shared" si="108"/>
        <v>932186</v>
      </c>
      <c r="W203" s="117">
        <f t="shared" si="109"/>
        <v>197067814</v>
      </c>
      <c r="X203" s="117">
        <f t="shared" si="110"/>
        <v>0</v>
      </c>
      <c r="Y203" s="117">
        <f t="shared" si="111"/>
        <v>197067814</v>
      </c>
      <c r="Z203" s="204">
        <f t="shared" si="103"/>
        <v>0</v>
      </c>
    </row>
    <row r="204" spans="1:26" s="113" customFormat="1">
      <c r="A204" s="114" t="s">
        <v>574</v>
      </c>
      <c r="B204" s="115" t="s">
        <v>876</v>
      </c>
      <c r="C204" s="116" t="s">
        <v>457</v>
      </c>
      <c r="D204" s="116" t="s">
        <v>877</v>
      </c>
      <c r="E204" s="117">
        <v>12899000000</v>
      </c>
      <c r="F204" s="117"/>
      <c r="G204" s="117"/>
      <c r="H204" s="117"/>
      <c r="I204" s="117"/>
      <c r="J204" s="118">
        <f t="shared" si="104"/>
        <v>0</v>
      </c>
      <c r="K204" s="117"/>
      <c r="L204" s="117">
        <f t="shared" si="105"/>
        <v>0</v>
      </c>
      <c r="M204" s="117"/>
      <c r="N204" s="117"/>
      <c r="O204" s="117"/>
      <c r="P204" s="117">
        <f t="shared" si="106"/>
        <v>0</v>
      </c>
      <c r="Q204" s="117">
        <v>114000000</v>
      </c>
      <c r="R204" s="117">
        <f t="shared" si="107"/>
        <v>101395737</v>
      </c>
      <c r="S204" s="117">
        <v>101395737</v>
      </c>
      <c r="T204" s="117"/>
      <c r="U204" s="117"/>
      <c r="V204" s="117">
        <f t="shared" si="108"/>
        <v>12604263</v>
      </c>
      <c r="W204" s="117">
        <f t="shared" si="109"/>
        <v>101395737</v>
      </c>
      <c r="X204" s="117">
        <f t="shared" si="110"/>
        <v>0</v>
      </c>
      <c r="Y204" s="117">
        <f t="shared" si="111"/>
        <v>101395737</v>
      </c>
      <c r="Z204" s="204">
        <f t="shared" si="103"/>
        <v>0</v>
      </c>
    </row>
    <row r="205" spans="1:26" s="113" customFormat="1" ht="24">
      <c r="A205" s="114" t="s">
        <v>577</v>
      </c>
      <c r="B205" s="115" t="s">
        <v>878</v>
      </c>
      <c r="C205" s="116" t="s">
        <v>457</v>
      </c>
      <c r="D205" s="116" t="s">
        <v>879</v>
      </c>
      <c r="E205" s="117">
        <v>19124000000</v>
      </c>
      <c r="F205" s="117"/>
      <c r="G205" s="117"/>
      <c r="H205" s="117"/>
      <c r="I205" s="117"/>
      <c r="J205" s="118">
        <f t="shared" si="104"/>
        <v>0</v>
      </c>
      <c r="K205" s="117"/>
      <c r="L205" s="117">
        <f t="shared" si="105"/>
        <v>0</v>
      </c>
      <c r="M205" s="117"/>
      <c r="N205" s="117"/>
      <c r="O205" s="117"/>
      <c r="P205" s="117">
        <f t="shared" si="106"/>
        <v>0</v>
      </c>
      <c r="Q205" s="117">
        <v>37000000</v>
      </c>
      <c r="R205" s="117">
        <f t="shared" si="107"/>
        <v>36370454</v>
      </c>
      <c r="S205" s="117">
        <v>36370454</v>
      </c>
      <c r="T205" s="117"/>
      <c r="U205" s="117"/>
      <c r="V205" s="117">
        <f t="shared" si="108"/>
        <v>629546</v>
      </c>
      <c r="W205" s="117">
        <f t="shared" si="109"/>
        <v>36370454</v>
      </c>
      <c r="X205" s="117">
        <f t="shared" si="110"/>
        <v>0</v>
      </c>
      <c r="Y205" s="117">
        <f t="shared" si="111"/>
        <v>36370454</v>
      </c>
      <c r="Z205" s="204">
        <f t="shared" ref="Z205:Z268" si="112">S205+M205+I205-W205</f>
        <v>0</v>
      </c>
    </row>
    <row r="206" spans="1:26" s="113" customFormat="1" ht="24">
      <c r="A206" s="114" t="s">
        <v>656</v>
      </c>
      <c r="B206" s="115" t="s">
        <v>880</v>
      </c>
      <c r="C206" s="116" t="s">
        <v>457</v>
      </c>
      <c r="D206" s="116" t="s">
        <v>881</v>
      </c>
      <c r="E206" s="117">
        <v>5676000000</v>
      </c>
      <c r="F206" s="117"/>
      <c r="G206" s="117"/>
      <c r="H206" s="117"/>
      <c r="I206" s="117"/>
      <c r="J206" s="118">
        <f t="shared" si="104"/>
        <v>0</v>
      </c>
      <c r="K206" s="117"/>
      <c r="L206" s="117">
        <f t="shared" si="105"/>
        <v>0</v>
      </c>
      <c r="M206" s="117"/>
      <c r="N206" s="117"/>
      <c r="O206" s="117"/>
      <c r="P206" s="117">
        <f t="shared" si="106"/>
        <v>0</v>
      </c>
      <c r="Q206" s="117">
        <v>217000000</v>
      </c>
      <c r="R206" s="117">
        <f t="shared" si="107"/>
        <v>216340000</v>
      </c>
      <c r="S206" s="117">
        <v>216340000</v>
      </c>
      <c r="T206" s="117"/>
      <c r="U206" s="117"/>
      <c r="V206" s="117">
        <f t="shared" si="108"/>
        <v>660000</v>
      </c>
      <c r="W206" s="117">
        <f t="shared" si="109"/>
        <v>216340000</v>
      </c>
      <c r="X206" s="117">
        <f t="shared" si="110"/>
        <v>0</v>
      </c>
      <c r="Y206" s="117">
        <f t="shared" si="111"/>
        <v>216340000</v>
      </c>
      <c r="Z206" s="204">
        <f t="shared" si="112"/>
        <v>0</v>
      </c>
    </row>
    <row r="207" spans="1:26" s="113" customFormat="1" ht="24">
      <c r="A207" s="114" t="s">
        <v>659</v>
      </c>
      <c r="B207" s="115" t="s">
        <v>882</v>
      </c>
      <c r="C207" s="116" t="s">
        <v>457</v>
      </c>
      <c r="D207" s="116" t="s">
        <v>883</v>
      </c>
      <c r="E207" s="117">
        <v>12968000000</v>
      </c>
      <c r="F207" s="117">
        <v>11390000000</v>
      </c>
      <c r="G207" s="117"/>
      <c r="H207" s="117"/>
      <c r="I207" s="117"/>
      <c r="J207" s="118">
        <f t="shared" si="104"/>
        <v>0</v>
      </c>
      <c r="K207" s="117"/>
      <c r="L207" s="117">
        <f t="shared" si="105"/>
        <v>0</v>
      </c>
      <c r="M207" s="117"/>
      <c r="N207" s="117"/>
      <c r="O207" s="117"/>
      <c r="P207" s="117">
        <f t="shared" si="106"/>
        <v>0</v>
      </c>
      <c r="Q207" s="117">
        <v>59000000</v>
      </c>
      <c r="R207" s="117">
        <f t="shared" si="107"/>
        <v>59000000</v>
      </c>
      <c r="S207" s="117">
        <v>59000000</v>
      </c>
      <c r="T207" s="117"/>
      <c r="U207" s="117"/>
      <c r="V207" s="117">
        <f t="shared" si="108"/>
        <v>0</v>
      </c>
      <c r="W207" s="117">
        <f t="shared" si="109"/>
        <v>59000000</v>
      </c>
      <c r="X207" s="117">
        <f t="shared" si="110"/>
        <v>0</v>
      </c>
      <c r="Y207" s="117">
        <f t="shared" si="111"/>
        <v>11449000000</v>
      </c>
      <c r="Z207" s="204">
        <f t="shared" si="112"/>
        <v>0</v>
      </c>
    </row>
    <row r="208" spans="1:26" s="113" customFormat="1">
      <c r="A208" s="114" t="s">
        <v>662</v>
      </c>
      <c r="B208" s="115" t="s">
        <v>884</v>
      </c>
      <c r="C208" s="116" t="s">
        <v>457</v>
      </c>
      <c r="D208" s="116" t="s">
        <v>885</v>
      </c>
      <c r="E208" s="117">
        <v>14910000000</v>
      </c>
      <c r="F208" s="117">
        <v>7528674000</v>
      </c>
      <c r="G208" s="117">
        <v>0</v>
      </c>
      <c r="H208" s="117"/>
      <c r="I208" s="117"/>
      <c r="J208" s="118">
        <f t="shared" si="104"/>
        <v>0</v>
      </c>
      <c r="K208" s="117"/>
      <c r="L208" s="117">
        <f t="shared" si="105"/>
        <v>0</v>
      </c>
      <c r="M208" s="117"/>
      <c r="N208" s="117"/>
      <c r="O208" s="117"/>
      <c r="P208" s="117">
        <f t="shared" si="106"/>
        <v>0</v>
      </c>
      <c r="Q208" s="117">
        <v>87000000</v>
      </c>
      <c r="R208" s="117">
        <f t="shared" si="107"/>
        <v>86325000</v>
      </c>
      <c r="S208" s="117">
        <v>86325000</v>
      </c>
      <c r="T208" s="117"/>
      <c r="U208" s="117"/>
      <c r="V208" s="117">
        <f t="shared" si="108"/>
        <v>675000</v>
      </c>
      <c r="W208" s="117">
        <f t="shared" si="109"/>
        <v>86325000</v>
      </c>
      <c r="X208" s="117">
        <f t="shared" si="110"/>
        <v>0</v>
      </c>
      <c r="Y208" s="117">
        <f t="shared" si="111"/>
        <v>7614999000</v>
      </c>
      <c r="Z208" s="204">
        <f t="shared" si="112"/>
        <v>0</v>
      </c>
    </row>
    <row r="209" spans="1:26" s="113" customFormat="1">
      <c r="A209" s="114" t="s">
        <v>665</v>
      </c>
      <c r="B209" s="115" t="s">
        <v>886</v>
      </c>
      <c r="C209" s="116" t="s">
        <v>457</v>
      </c>
      <c r="D209" s="116" t="s">
        <v>887</v>
      </c>
      <c r="E209" s="117">
        <v>42891000000</v>
      </c>
      <c r="F209" s="117">
        <v>22081094386</v>
      </c>
      <c r="G209" s="125">
        <v>59644614</v>
      </c>
      <c r="H209" s="117"/>
      <c r="I209" s="117">
        <v>59644614</v>
      </c>
      <c r="J209" s="118">
        <f t="shared" si="104"/>
        <v>0</v>
      </c>
      <c r="K209" s="117"/>
      <c r="L209" s="117">
        <f t="shared" si="105"/>
        <v>0</v>
      </c>
      <c r="M209" s="117"/>
      <c r="N209" s="117"/>
      <c r="O209" s="117"/>
      <c r="P209" s="117">
        <f t="shared" si="106"/>
        <v>0</v>
      </c>
      <c r="Q209" s="117">
        <v>484000000</v>
      </c>
      <c r="R209" s="117">
        <f t="shared" si="107"/>
        <v>483327386</v>
      </c>
      <c r="S209" s="117">
        <v>483327386</v>
      </c>
      <c r="T209" s="117"/>
      <c r="U209" s="117"/>
      <c r="V209" s="117">
        <f t="shared" si="108"/>
        <v>672614</v>
      </c>
      <c r="W209" s="117">
        <f t="shared" si="109"/>
        <v>542972000</v>
      </c>
      <c r="X209" s="117">
        <f t="shared" si="110"/>
        <v>0</v>
      </c>
      <c r="Y209" s="117">
        <f t="shared" si="111"/>
        <v>22564421772</v>
      </c>
      <c r="Z209" s="204">
        <f t="shared" si="112"/>
        <v>0</v>
      </c>
    </row>
    <row r="210" spans="1:26" s="113" customFormat="1">
      <c r="A210" s="114" t="s">
        <v>668</v>
      </c>
      <c r="B210" s="115" t="s">
        <v>888</v>
      </c>
      <c r="C210" s="116" t="s">
        <v>457</v>
      </c>
      <c r="D210" s="116" t="s">
        <v>889</v>
      </c>
      <c r="E210" s="117">
        <v>14651000000</v>
      </c>
      <c r="F210" s="117">
        <v>13549591000</v>
      </c>
      <c r="G210" s="117">
        <v>272020000</v>
      </c>
      <c r="H210" s="117">
        <v>0</v>
      </c>
      <c r="I210" s="117">
        <v>272020000</v>
      </c>
      <c r="J210" s="118">
        <f t="shared" si="104"/>
        <v>0</v>
      </c>
      <c r="K210" s="117"/>
      <c r="L210" s="117">
        <f t="shared" si="105"/>
        <v>0</v>
      </c>
      <c r="M210" s="117"/>
      <c r="N210" s="117"/>
      <c r="O210" s="117"/>
      <c r="P210" s="117">
        <f t="shared" si="106"/>
        <v>0</v>
      </c>
      <c r="Q210" s="117">
        <v>22000000</v>
      </c>
      <c r="R210" s="117">
        <f t="shared" si="107"/>
        <v>21255000</v>
      </c>
      <c r="S210" s="117">
        <v>21255000</v>
      </c>
      <c r="T210" s="117"/>
      <c r="U210" s="117"/>
      <c r="V210" s="117">
        <f t="shared" si="108"/>
        <v>745000</v>
      </c>
      <c r="W210" s="117">
        <f t="shared" si="109"/>
        <v>293275000</v>
      </c>
      <c r="X210" s="117">
        <f t="shared" si="110"/>
        <v>0</v>
      </c>
      <c r="Y210" s="117">
        <f t="shared" si="111"/>
        <v>13570846000</v>
      </c>
      <c r="Z210" s="204">
        <f t="shared" si="112"/>
        <v>0</v>
      </c>
    </row>
    <row r="211" spans="1:26" s="113" customFormat="1">
      <c r="A211" s="114" t="s">
        <v>671</v>
      </c>
      <c r="B211" s="115" t="s">
        <v>890</v>
      </c>
      <c r="C211" s="116" t="s">
        <v>457</v>
      </c>
      <c r="D211" s="116" t="s">
        <v>891</v>
      </c>
      <c r="E211" s="117">
        <v>274311000000</v>
      </c>
      <c r="F211" s="117">
        <v>85073884000</v>
      </c>
      <c r="G211" s="117">
        <v>66500000000</v>
      </c>
      <c r="H211" s="117"/>
      <c r="I211" s="117"/>
      <c r="J211" s="118">
        <f t="shared" si="104"/>
        <v>66500000000</v>
      </c>
      <c r="K211" s="117"/>
      <c r="L211" s="117">
        <f t="shared" si="105"/>
        <v>0</v>
      </c>
      <c r="M211" s="117"/>
      <c r="N211" s="117"/>
      <c r="O211" s="117"/>
      <c r="P211" s="117">
        <f t="shared" si="106"/>
        <v>0</v>
      </c>
      <c r="Q211" s="117">
        <v>5129000000</v>
      </c>
      <c r="R211" s="117">
        <f t="shared" si="107"/>
        <v>5128783000</v>
      </c>
      <c r="S211" s="117">
        <v>5128783000</v>
      </c>
      <c r="T211" s="117"/>
      <c r="U211" s="117"/>
      <c r="V211" s="117">
        <f t="shared" si="108"/>
        <v>217000</v>
      </c>
      <c r="W211" s="117">
        <f t="shared" si="109"/>
        <v>5128783000</v>
      </c>
      <c r="X211" s="117">
        <f t="shared" si="110"/>
        <v>66500000000</v>
      </c>
      <c r="Y211" s="117">
        <f t="shared" si="111"/>
        <v>90202667000</v>
      </c>
      <c r="Z211" s="204">
        <f t="shared" si="112"/>
        <v>0</v>
      </c>
    </row>
    <row r="212" spans="1:26" s="113" customFormat="1">
      <c r="A212" s="114" t="s">
        <v>674</v>
      </c>
      <c r="B212" s="115" t="s">
        <v>892</v>
      </c>
      <c r="C212" s="116" t="s">
        <v>457</v>
      </c>
      <c r="D212" s="116" t="s">
        <v>893</v>
      </c>
      <c r="E212" s="117">
        <v>24771000000</v>
      </c>
      <c r="F212" s="117"/>
      <c r="G212" s="117"/>
      <c r="H212" s="117"/>
      <c r="I212" s="117"/>
      <c r="J212" s="118">
        <f t="shared" si="104"/>
        <v>0</v>
      </c>
      <c r="K212" s="117"/>
      <c r="L212" s="117">
        <f t="shared" si="105"/>
        <v>0</v>
      </c>
      <c r="M212" s="117"/>
      <c r="N212" s="117"/>
      <c r="O212" s="117"/>
      <c r="P212" s="117">
        <f t="shared" si="106"/>
        <v>0</v>
      </c>
      <c r="Q212" s="117">
        <v>76000000</v>
      </c>
      <c r="R212" s="117">
        <f t="shared" si="107"/>
        <v>75495000</v>
      </c>
      <c r="S212" s="117">
        <v>75495000</v>
      </c>
      <c r="T212" s="117"/>
      <c r="U212" s="117"/>
      <c r="V212" s="117">
        <f t="shared" si="108"/>
        <v>505000</v>
      </c>
      <c r="W212" s="117">
        <f t="shared" si="109"/>
        <v>75495000</v>
      </c>
      <c r="X212" s="117">
        <f t="shared" si="110"/>
        <v>0</v>
      </c>
      <c r="Y212" s="117">
        <f t="shared" si="111"/>
        <v>75495000</v>
      </c>
      <c r="Z212" s="204">
        <f t="shared" si="112"/>
        <v>0</v>
      </c>
    </row>
    <row r="213" spans="1:26" s="113" customFormat="1" ht="24">
      <c r="A213" s="114" t="s">
        <v>749</v>
      </c>
      <c r="B213" s="115" t="s">
        <v>894</v>
      </c>
      <c r="C213" s="116" t="s">
        <v>457</v>
      </c>
      <c r="D213" s="116" t="s">
        <v>895</v>
      </c>
      <c r="E213" s="117">
        <v>2015000000</v>
      </c>
      <c r="F213" s="117">
        <v>1158500000</v>
      </c>
      <c r="G213" s="117"/>
      <c r="H213" s="117"/>
      <c r="I213" s="117"/>
      <c r="J213" s="118">
        <f t="shared" si="104"/>
        <v>0</v>
      </c>
      <c r="K213" s="117"/>
      <c r="L213" s="117">
        <f t="shared" si="105"/>
        <v>0</v>
      </c>
      <c r="M213" s="117"/>
      <c r="N213" s="117"/>
      <c r="O213" s="117"/>
      <c r="P213" s="117">
        <f t="shared" si="106"/>
        <v>0</v>
      </c>
      <c r="Q213" s="117">
        <v>39000000</v>
      </c>
      <c r="R213" s="117">
        <f t="shared" si="107"/>
        <v>38227000</v>
      </c>
      <c r="S213" s="117">
        <v>38227000</v>
      </c>
      <c r="T213" s="117"/>
      <c r="U213" s="117"/>
      <c r="V213" s="117">
        <f t="shared" si="108"/>
        <v>773000</v>
      </c>
      <c r="W213" s="117">
        <f t="shared" si="109"/>
        <v>38227000</v>
      </c>
      <c r="X213" s="117">
        <f t="shared" si="110"/>
        <v>0</v>
      </c>
      <c r="Y213" s="117">
        <f t="shared" si="111"/>
        <v>1196727000</v>
      </c>
      <c r="Z213" s="204">
        <f t="shared" si="112"/>
        <v>0</v>
      </c>
    </row>
    <row r="214" spans="1:26" s="113" customFormat="1">
      <c r="A214" s="114" t="s">
        <v>752</v>
      </c>
      <c r="B214" s="115" t="s">
        <v>896</v>
      </c>
      <c r="C214" s="116" t="s">
        <v>457</v>
      </c>
      <c r="D214" s="116" t="s">
        <v>897</v>
      </c>
      <c r="E214" s="117">
        <v>19422000000</v>
      </c>
      <c r="F214" s="117">
        <v>2600891000</v>
      </c>
      <c r="G214" s="117"/>
      <c r="H214" s="117"/>
      <c r="I214" s="117"/>
      <c r="J214" s="118">
        <f t="shared" si="104"/>
        <v>0</v>
      </c>
      <c r="K214" s="117"/>
      <c r="L214" s="117">
        <f t="shared" si="105"/>
        <v>0</v>
      </c>
      <c r="M214" s="117"/>
      <c r="N214" s="117"/>
      <c r="O214" s="117"/>
      <c r="P214" s="117">
        <f t="shared" si="106"/>
        <v>0</v>
      </c>
      <c r="Q214" s="117">
        <v>132000000</v>
      </c>
      <c r="R214" s="117">
        <f t="shared" si="107"/>
        <v>119026000</v>
      </c>
      <c r="S214" s="117">
        <v>119026000</v>
      </c>
      <c r="T214" s="117"/>
      <c r="U214" s="117"/>
      <c r="V214" s="117">
        <f t="shared" si="108"/>
        <v>12974000</v>
      </c>
      <c r="W214" s="117">
        <f t="shared" si="109"/>
        <v>119026000</v>
      </c>
      <c r="X214" s="117">
        <f t="shared" si="110"/>
        <v>0</v>
      </c>
      <c r="Y214" s="117">
        <f t="shared" si="111"/>
        <v>2719917000</v>
      </c>
      <c r="Z214" s="204">
        <f t="shared" si="112"/>
        <v>0</v>
      </c>
    </row>
    <row r="215" spans="1:26" s="113" customFormat="1">
      <c r="A215" s="114" t="s">
        <v>755</v>
      </c>
      <c r="B215" s="115" t="s">
        <v>898</v>
      </c>
      <c r="C215" s="116" t="s">
        <v>457</v>
      </c>
      <c r="D215" s="116" t="s">
        <v>899</v>
      </c>
      <c r="E215" s="117">
        <v>28580000000</v>
      </c>
      <c r="F215" s="117"/>
      <c r="G215" s="117"/>
      <c r="H215" s="117"/>
      <c r="I215" s="117"/>
      <c r="J215" s="118">
        <f t="shared" si="104"/>
        <v>0</v>
      </c>
      <c r="K215" s="117"/>
      <c r="L215" s="117">
        <f t="shared" si="105"/>
        <v>0</v>
      </c>
      <c r="M215" s="117"/>
      <c r="N215" s="117"/>
      <c r="O215" s="117"/>
      <c r="P215" s="117">
        <f t="shared" si="106"/>
        <v>0</v>
      </c>
      <c r="Q215" s="117">
        <v>149000000</v>
      </c>
      <c r="R215" s="117">
        <f t="shared" si="107"/>
        <v>148300000</v>
      </c>
      <c r="S215" s="117">
        <v>148300000</v>
      </c>
      <c r="T215" s="117"/>
      <c r="U215" s="117"/>
      <c r="V215" s="117">
        <f t="shared" si="108"/>
        <v>700000</v>
      </c>
      <c r="W215" s="117">
        <f t="shared" si="109"/>
        <v>148300000</v>
      </c>
      <c r="X215" s="117">
        <f t="shared" si="110"/>
        <v>0</v>
      </c>
      <c r="Y215" s="117">
        <f t="shared" si="111"/>
        <v>148300000</v>
      </c>
      <c r="Z215" s="204">
        <f t="shared" si="112"/>
        <v>0</v>
      </c>
    </row>
    <row r="216" spans="1:26" s="113" customFormat="1">
      <c r="A216" s="114" t="s">
        <v>758</v>
      </c>
      <c r="B216" s="115" t="s">
        <v>900</v>
      </c>
      <c r="C216" s="116" t="s">
        <v>457</v>
      </c>
      <c r="D216" s="116" t="s">
        <v>901</v>
      </c>
      <c r="E216" s="117">
        <v>22706000000</v>
      </c>
      <c r="F216" s="117"/>
      <c r="G216" s="117"/>
      <c r="H216" s="117"/>
      <c r="I216" s="117"/>
      <c r="J216" s="118">
        <f t="shared" si="104"/>
        <v>0</v>
      </c>
      <c r="K216" s="117"/>
      <c r="L216" s="117">
        <f t="shared" si="105"/>
        <v>0</v>
      </c>
      <c r="M216" s="117"/>
      <c r="N216" s="117"/>
      <c r="O216" s="117"/>
      <c r="P216" s="117">
        <f t="shared" si="106"/>
        <v>0</v>
      </c>
      <c r="Q216" s="117">
        <v>135000000</v>
      </c>
      <c r="R216" s="117">
        <f t="shared" si="107"/>
        <v>134053000</v>
      </c>
      <c r="S216" s="117">
        <v>134053000</v>
      </c>
      <c r="T216" s="117"/>
      <c r="U216" s="117"/>
      <c r="V216" s="117">
        <f t="shared" si="108"/>
        <v>947000</v>
      </c>
      <c r="W216" s="117">
        <f t="shared" si="109"/>
        <v>134053000</v>
      </c>
      <c r="X216" s="117">
        <f t="shared" si="110"/>
        <v>0</v>
      </c>
      <c r="Y216" s="117">
        <f t="shared" si="111"/>
        <v>134053000</v>
      </c>
      <c r="Z216" s="204">
        <f t="shared" si="112"/>
        <v>0</v>
      </c>
    </row>
    <row r="217" spans="1:26" s="113" customFormat="1">
      <c r="A217" s="114" t="s">
        <v>761</v>
      </c>
      <c r="B217" s="115" t="s">
        <v>902</v>
      </c>
      <c r="C217" s="116" t="s">
        <v>457</v>
      </c>
      <c r="D217" s="116" t="s">
        <v>903</v>
      </c>
      <c r="E217" s="117">
        <v>13350000000</v>
      </c>
      <c r="F217" s="117"/>
      <c r="G217" s="117"/>
      <c r="H217" s="117"/>
      <c r="I217" s="117"/>
      <c r="J217" s="118">
        <f t="shared" si="104"/>
        <v>0</v>
      </c>
      <c r="K217" s="117"/>
      <c r="L217" s="117">
        <f t="shared" si="105"/>
        <v>0</v>
      </c>
      <c r="M217" s="117"/>
      <c r="N217" s="117"/>
      <c r="O217" s="117"/>
      <c r="P217" s="117">
        <f t="shared" si="106"/>
        <v>0</v>
      </c>
      <c r="Q217" s="117">
        <v>83000000</v>
      </c>
      <c r="R217" s="117">
        <f t="shared" si="107"/>
        <v>82589000</v>
      </c>
      <c r="S217" s="117">
        <v>82589000</v>
      </c>
      <c r="T217" s="117"/>
      <c r="U217" s="117"/>
      <c r="V217" s="117">
        <f t="shared" si="108"/>
        <v>411000</v>
      </c>
      <c r="W217" s="117">
        <f t="shared" si="109"/>
        <v>82589000</v>
      </c>
      <c r="X217" s="117">
        <f t="shared" si="110"/>
        <v>0</v>
      </c>
      <c r="Y217" s="117">
        <f t="shared" si="111"/>
        <v>82589000</v>
      </c>
      <c r="Z217" s="204">
        <f t="shared" si="112"/>
        <v>0</v>
      </c>
    </row>
    <row r="218" spans="1:26" s="113" customFormat="1">
      <c r="A218" s="114" t="s">
        <v>764</v>
      </c>
      <c r="B218" s="115" t="s">
        <v>904</v>
      </c>
      <c r="C218" s="116" t="s">
        <v>457</v>
      </c>
      <c r="D218" s="116" t="s">
        <v>905</v>
      </c>
      <c r="E218" s="117">
        <v>26155000000</v>
      </c>
      <c r="F218" s="117"/>
      <c r="G218" s="117"/>
      <c r="H218" s="117"/>
      <c r="I218" s="117"/>
      <c r="J218" s="118">
        <f t="shared" si="104"/>
        <v>0</v>
      </c>
      <c r="K218" s="117"/>
      <c r="L218" s="117">
        <f t="shared" si="105"/>
        <v>0</v>
      </c>
      <c r="M218" s="117"/>
      <c r="N218" s="117"/>
      <c r="O218" s="117"/>
      <c r="P218" s="117">
        <f t="shared" si="106"/>
        <v>0</v>
      </c>
      <c r="Q218" s="117">
        <v>141000000</v>
      </c>
      <c r="R218" s="117">
        <f t="shared" si="107"/>
        <v>140917000</v>
      </c>
      <c r="S218" s="117">
        <v>140917000</v>
      </c>
      <c r="T218" s="117"/>
      <c r="U218" s="117"/>
      <c r="V218" s="117">
        <f t="shared" si="108"/>
        <v>83000</v>
      </c>
      <c r="W218" s="117">
        <f t="shared" si="109"/>
        <v>140917000</v>
      </c>
      <c r="X218" s="117">
        <f t="shared" si="110"/>
        <v>0</v>
      </c>
      <c r="Y218" s="117">
        <f t="shared" si="111"/>
        <v>140917000</v>
      </c>
      <c r="Z218" s="204">
        <f t="shared" si="112"/>
        <v>0</v>
      </c>
    </row>
    <row r="219" spans="1:26" s="113" customFormat="1">
      <c r="A219" s="114" t="s">
        <v>767</v>
      </c>
      <c r="B219" s="115" t="s">
        <v>906</v>
      </c>
      <c r="C219" s="116" t="s">
        <v>457</v>
      </c>
      <c r="D219" s="116" t="s">
        <v>907</v>
      </c>
      <c r="E219" s="117">
        <v>14365000000</v>
      </c>
      <c r="F219" s="117"/>
      <c r="G219" s="117"/>
      <c r="H219" s="117"/>
      <c r="I219" s="117"/>
      <c r="J219" s="118">
        <f t="shared" si="104"/>
        <v>0</v>
      </c>
      <c r="K219" s="117"/>
      <c r="L219" s="117">
        <f t="shared" si="105"/>
        <v>0</v>
      </c>
      <c r="M219" s="117"/>
      <c r="N219" s="117"/>
      <c r="O219" s="117"/>
      <c r="P219" s="117">
        <f t="shared" si="106"/>
        <v>0</v>
      </c>
      <c r="Q219" s="117">
        <v>3000000000</v>
      </c>
      <c r="R219" s="117">
        <f t="shared" si="107"/>
        <v>3000000000</v>
      </c>
      <c r="S219" s="117">
        <v>625000000</v>
      </c>
      <c r="T219" s="117">
        <v>2375000000</v>
      </c>
      <c r="U219" s="117"/>
      <c r="V219" s="117">
        <f t="shared" si="108"/>
        <v>0</v>
      </c>
      <c r="W219" s="117">
        <f t="shared" si="109"/>
        <v>625000000</v>
      </c>
      <c r="X219" s="117">
        <f t="shared" si="110"/>
        <v>2375000000</v>
      </c>
      <c r="Y219" s="117">
        <f t="shared" si="111"/>
        <v>3000000000</v>
      </c>
      <c r="Z219" s="204">
        <f t="shared" si="112"/>
        <v>0</v>
      </c>
    </row>
    <row r="220" spans="1:26" s="113" customFormat="1" ht="27.75" customHeight="1">
      <c r="A220" s="114" t="s">
        <v>770</v>
      </c>
      <c r="B220" s="115" t="s">
        <v>908</v>
      </c>
      <c r="C220" s="116" t="s">
        <v>457</v>
      </c>
      <c r="D220" s="116" t="s">
        <v>909</v>
      </c>
      <c r="E220" s="117">
        <v>23634000000</v>
      </c>
      <c r="F220" s="117">
        <v>70186200</v>
      </c>
      <c r="G220" s="117"/>
      <c r="H220" s="117"/>
      <c r="I220" s="117"/>
      <c r="J220" s="118">
        <f t="shared" si="104"/>
        <v>0</v>
      </c>
      <c r="K220" s="117"/>
      <c r="L220" s="117">
        <f t="shared" si="105"/>
        <v>0</v>
      </c>
      <c r="M220" s="117"/>
      <c r="N220" s="117"/>
      <c r="O220" s="117"/>
      <c r="P220" s="117">
        <f t="shared" si="106"/>
        <v>0</v>
      </c>
      <c r="Q220" s="117">
        <v>28000000</v>
      </c>
      <c r="R220" s="117">
        <f t="shared" si="107"/>
        <v>27888000</v>
      </c>
      <c r="S220" s="117">
        <v>27888000</v>
      </c>
      <c r="T220" s="117"/>
      <c r="U220" s="117"/>
      <c r="V220" s="117">
        <f t="shared" si="108"/>
        <v>112000</v>
      </c>
      <c r="W220" s="117">
        <f t="shared" si="109"/>
        <v>27888000</v>
      </c>
      <c r="X220" s="117">
        <f t="shared" si="110"/>
        <v>0</v>
      </c>
      <c r="Y220" s="117">
        <f t="shared" si="111"/>
        <v>98074200</v>
      </c>
      <c r="Z220" s="204">
        <f t="shared" si="112"/>
        <v>0</v>
      </c>
    </row>
    <row r="221" spans="1:26" s="113" customFormat="1" ht="18.75" customHeight="1">
      <c r="A221" s="114" t="s">
        <v>773</v>
      </c>
      <c r="B221" s="115" t="s">
        <v>910</v>
      </c>
      <c r="C221" s="116"/>
      <c r="D221" s="116"/>
      <c r="E221" s="117"/>
      <c r="F221" s="117"/>
      <c r="G221" s="117"/>
      <c r="H221" s="117"/>
      <c r="I221" s="117"/>
      <c r="J221" s="118"/>
      <c r="K221" s="117"/>
      <c r="L221" s="117"/>
      <c r="M221" s="117"/>
      <c r="N221" s="117"/>
      <c r="O221" s="117"/>
      <c r="P221" s="117"/>
      <c r="Q221" s="117">
        <v>320000000</v>
      </c>
      <c r="R221" s="117"/>
      <c r="S221" s="117"/>
      <c r="T221" s="117"/>
      <c r="U221" s="117"/>
      <c r="V221" s="117"/>
      <c r="W221" s="117"/>
      <c r="X221" s="117"/>
      <c r="Y221" s="117"/>
      <c r="Z221" s="204">
        <f t="shared" si="112"/>
        <v>0</v>
      </c>
    </row>
    <row r="222" spans="1:26" s="124" customFormat="1">
      <c r="A222" s="120" t="s">
        <v>16</v>
      </c>
      <c r="B222" s="121" t="s">
        <v>911</v>
      </c>
      <c r="C222" s="122"/>
      <c r="D222" s="122"/>
      <c r="E222" s="123">
        <f t="shared" ref="E222:P222" si="113">SUM(E223:E230)</f>
        <v>250832000000</v>
      </c>
      <c r="F222" s="123">
        <f t="shared" si="113"/>
        <v>44477043714</v>
      </c>
      <c r="G222" s="123">
        <f t="shared" si="113"/>
        <v>2729438000</v>
      </c>
      <c r="H222" s="123">
        <f t="shared" si="113"/>
        <v>0</v>
      </c>
      <c r="I222" s="123">
        <f t="shared" si="113"/>
        <v>2655938000</v>
      </c>
      <c r="J222" s="123">
        <f t="shared" si="113"/>
        <v>73500000</v>
      </c>
      <c r="K222" s="123">
        <f t="shared" si="113"/>
        <v>521000000</v>
      </c>
      <c r="L222" s="123">
        <f t="shared" si="113"/>
        <v>521000000</v>
      </c>
      <c r="M222" s="123">
        <f t="shared" si="113"/>
        <v>521000000</v>
      </c>
      <c r="N222" s="123">
        <f t="shared" si="113"/>
        <v>0</v>
      </c>
      <c r="O222" s="123">
        <f t="shared" si="113"/>
        <v>0</v>
      </c>
      <c r="P222" s="123">
        <f t="shared" si="113"/>
        <v>0</v>
      </c>
      <c r="Q222" s="123">
        <f>SUM(Q223:Q230)</f>
        <v>58467000000</v>
      </c>
      <c r="R222" s="123">
        <f t="shared" ref="R222:Y222" si="114">SUM(R223:R230)</f>
        <v>55291344963</v>
      </c>
      <c r="S222" s="123">
        <f t="shared" si="114"/>
        <v>38840830373</v>
      </c>
      <c r="T222" s="123">
        <f t="shared" si="114"/>
        <v>16450514590</v>
      </c>
      <c r="U222" s="123">
        <f t="shared" si="114"/>
        <v>0</v>
      </c>
      <c r="V222" s="123">
        <f t="shared" si="114"/>
        <v>3175655037</v>
      </c>
      <c r="W222" s="123">
        <f t="shared" si="114"/>
        <v>42017768373</v>
      </c>
      <c r="X222" s="123">
        <f t="shared" si="114"/>
        <v>16524014590</v>
      </c>
      <c r="Y222" s="123">
        <f t="shared" si="114"/>
        <v>100289388677</v>
      </c>
      <c r="Z222" s="204">
        <f t="shared" si="112"/>
        <v>0</v>
      </c>
    </row>
    <row r="223" spans="1:26" s="113" customFormat="1">
      <c r="A223" s="114" t="s">
        <v>455</v>
      </c>
      <c r="B223" s="115" t="s">
        <v>912</v>
      </c>
      <c r="C223" s="116" t="s">
        <v>457</v>
      </c>
      <c r="D223" s="116" t="s">
        <v>913</v>
      </c>
      <c r="E223" s="117">
        <v>49922000000</v>
      </c>
      <c r="F223" s="117">
        <v>14478737050</v>
      </c>
      <c r="G223" s="117">
        <v>261971000</v>
      </c>
      <c r="H223" s="117">
        <v>0</v>
      </c>
      <c r="I223" s="117">
        <v>261971000</v>
      </c>
      <c r="J223" s="118">
        <f t="shared" ref="J223:J230" si="115">G223-H223-I223+N223</f>
        <v>0</v>
      </c>
      <c r="K223" s="140">
        <v>521000000</v>
      </c>
      <c r="L223" s="117">
        <f t="shared" ref="L223:L230" si="116">SUM(M223:N223)</f>
        <v>521000000</v>
      </c>
      <c r="M223" s="117">
        <v>521000000</v>
      </c>
      <c r="N223" s="117"/>
      <c r="O223" s="117"/>
      <c r="P223" s="117">
        <f t="shared" ref="P223:P230" si="117">K223-L223-O223</f>
        <v>0</v>
      </c>
      <c r="Q223" s="117">
        <v>4620000000</v>
      </c>
      <c r="R223" s="117">
        <f t="shared" ref="R223:R230" si="118">SUM(S223:T223)</f>
        <v>4620000000</v>
      </c>
      <c r="S223" s="117">
        <v>4620000000</v>
      </c>
      <c r="T223" s="117"/>
      <c r="U223" s="117"/>
      <c r="V223" s="117">
        <f t="shared" ref="V223:V230" si="119">Q223-R223-U223</f>
        <v>0</v>
      </c>
      <c r="W223" s="117">
        <f t="shared" ref="W223:W230" si="120">SUM(I223,M223,S223)</f>
        <v>5402971000</v>
      </c>
      <c r="X223" s="117">
        <f t="shared" ref="X223:X230" si="121">G223-H223-I223+N223+T223</f>
        <v>0</v>
      </c>
      <c r="Y223" s="117">
        <f t="shared" ref="Y223:Y230" si="122">F223+L223+R223</f>
        <v>19619737050</v>
      </c>
      <c r="Z223" s="204">
        <f t="shared" si="112"/>
        <v>0</v>
      </c>
    </row>
    <row r="224" spans="1:26" s="113" customFormat="1" ht="24">
      <c r="A224" s="114" t="s">
        <v>459</v>
      </c>
      <c r="B224" s="115" t="s">
        <v>914</v>
      </c>
      <c r="C224" s="116" t="s">
        <v>457</v>
      </c>
      <c r="D224" s="116" t="s">
        <v>915</v>
      </c>
      <c r="E224" s="117">
        <v>26621000000</v>
      </c>
      <c r="F224" s="117">
        <v>2857116000</v>
      </c>
      <c r="G224" s="117">
        <v>2234786000</v>
      </c>
      <c r="H224" s="117"/>
      <c r="I224" s="117">
        <v>2161286000</v>
      </c>
      <c r="J224" s="118">
        <f t="shared" si="115"/>
        <v>73500000</v>
      </c>
      <c r="K224" s="117"/>
      <c r="L224" s="117">
        <f t="shared" si="116"/>
        <v>0</v>
      </c>
      <c r="M224" s="117"/>
      <c r="N224" s="117"/>
      <c r="O224" s="117"/>
      <c r="P224" s="117">
        <f t="shared" si="117"/>
        <v>0</v>
      </c>
      <c r="Q224" s="117">
        <v>7640000000</v>
      </c>
      <c r="R224" s="117">
        <f t="shared" si="118"/>
        <v>5646789000</v>
      </c>
      <c r="S224" s="117">
        <v>5646789000</v>
      </c>
      <c r="T224" s="117"/>
      <c r="U224" s="117"/>
      <c r="V224" s="117">
        <f t="shared" si="119"/>
        <v>1993211000</v>
      </c>
      <c r="W224" s="117">
        <f t="shared" si="120"/>
        <v>7808075000</v>
      </c>
      <c r="X224" s="117">
        <f t="shared" si="121"/>
        <v>73500000</v>
      </c>
      <c r="Y224" s="117">
        <f t="shared" si="122"/>
        <v>8503905000</v>
      </c>
      <c r="Z224" s="204">
        <f t="shared" si="112"/>
        <v>0</v>
      </c>
    </row>
    <row r="225" spans="1:26" s="113" customFormat="1">
      <c r="A225" s="114" t="s">
        <v>462</v>
      </c>
      <c r="B225" s="115" t="s">
        <v>916</v>
      </c>
      <c r="C225" s="116" t="s">
        <v>457</v>
      </c>
      <c r="D225" s="116" t="s">
        <v>917</v>
      </c>
      <c r="E225" s="117">
        <v>49984000000</v>
      </c>
      <c r="F225" s="117">
        <v>20340400000</v>
      </c>
      <c r="G225" s="117">
        <v>0</v>
      </c>
      <c r="H225" s="117"/>
      <c r="I225" s="117"/>
      <c r="J225" s="118">
        <f t="shared" si="115"/>
        <v>0</v>
      </c>
      <c r="K225" s="117"/>
      <c r="L225" s="117">
        <f t="shared" si="116"/>
        <v>0</v>
      </c>
      <c r="M225" s="117"/>
      <c r="N225" s="117"/>
      <c r="O225" s="117"/>
      <c r="P225" s="117">
        <f t="shared" si="117"/>
        <v>0</v>
      </c>
      <c r="Q225" s="117">
        <v>16220000000</v>
      </c>
      <c r="R225" s="117">
        <f t="shared" si="118"/>
        <v>15536681000</v>
      </c>
      <c r="S225" s="117">
        <v>14773786000</v>
      </c>
      <c r="T225" s="117">
        <v>762895000</v>
      </c>
      <c r="U225" s="117"/>
      <c r="V225" s="117">
        <f t="shared" si="119"/>
        <v>683319000</v>
      </c>
      <c r="W225" s="117">
        <f t="shared" si="120"/>
        <v>14773786000</v>
      </c>
      <c r="X225" s="117">
        <f t="shared" si="121"/>
        <v>762895000</v>
      </c>
      <c r="Y225" s="117">
        <f t="shared" si="122"/>
        <v>35877081000</v>
      </c>
      <c r="Z225" s="204">
        <f t="shared" si="112"/>
        <v>0</v>
      </c>
    </row>
    <row r="226" spans="1:26" s="113" customFormat="1">
      <c r="A226" s="114" t="s">
        <v>465</v>
      </c>
      <c r="B226" s="115" t="s">
        <v>918</v>
      </c>
      <c r="C226" s="116" t="s">
        <v>457</v>
      </c>
      <c r="D226" s="116" t="s">
        <v>919</v>
      </c>
      <c r="E226" s="117">
        <v>9365000000</v>
      </c>
      <c r="F226" s="117">
        <v>6800790664</v>
      </c>
      <c r="G226" s="117">
        <v>232681000</v>
      </c>
      <c r="H226" s="117">
        <v>0</v>
      </c>
      <c r="I226" s="117">
        <v>232681000</v>
      </c>
      <c r="J226" s="118">
        <f t="shared" si="115"/>
        <v>0</v>
      </c>
      <c r="K226" s="117"/>
      <c r="L226" s="117">
        <f t="shared" si="116"/>
        <v>0</v>
      </c>
      <c r="M226" s="117"/>
      <c r="N226" s="117"/>
      <c r="O226" s="117"/>
      <c r="P226" s="117">
        <f t="shared" si="117"/>
        <v>0</v>
      </c>
      <c r="Q226" s="117">
        <v>187000000</v>
      </c>
      <c r="R226" s="117">
        <f t="shared" si="118"/>
        <v>186206800</v>
      </c>
      <c r="S226" s="117">
        <v>186206800</v>
      </c>
      <c r="T226" s="117"/>
      <c r="U226" s="117"/>
      <c r="V226" s="117">
        <f t="shared" si="119"/>
        <v>793200</v>
      </c>
      <c r="W226" s="117">
        <f t="shared" si="120"/>
        <v>418887800</v>
      </c>
      <c r="X226" s="117">
        <f t="shared" si="121"/>
        <v>0</v>
      </c>
      <c r="Y226" s="117">
        <f t="shared" si="122"/>
        <v>6986997464</v>
      </c>
      <c r="Z226" s="204">
        <f t="shared" si="112"/>
        <v>0</v>
      </c>
    </row>
    <row r="227" spans="1:26" s="113" customFormat="1">
      <c r="A227" s="114" t="s">
        <v>468</v>
      </c>
      <c r="B227" s="115" t="s">
        <v>920</v>
      </c>
      <c r="C227" s="116" t="s">
        <v>457</v>
      </c>
      <c r="D227" s="116" t="s">
        <v>921</v>
      </c>
      <c r="E227" s="117">
        <v>44958000000</v>
      </c>
      <c r="F227" s="117"/>
      <c r="G227" s="117"/>
      <c r="H227" s="117"/>
      <c r="I227" s="117"/>
      <c r="J227" s="118">
        <f t="shared" si="115"/>
        <v>0</v>
      </c>
      <c r="K227" s="117"/>
      <c r="L227" s="117">
        <f t="shared" si="116"/>
        <v>0</v>
      </c>
      <c r="M227" s="117"/>
      <c r="N227" s="117"/>
      <c r="O227" s="117"/>
      <c r="P227" s="117">
        <f t="shared" si="117"/>
        <v>0</v>
      </c>
      <c r="Q227" s="117">
        <v>7000000000</v>
      </c>
      <c r="R227" s="117">
        <f t="shared" si="118"/>
        <v>7000000000</v>
      </c>
      <c r="S227" s="117">
        <v>3186000000</v>
      </c>
      <c r="T227" s="117">
        <v>3814000000</v>
      </c>
      <c r="U227" s="117"/>
      <c r="V227" s="117">
        <f t="shared" si="119"/>
        <v>0</v>
      </c>
      <c r="W227" s="117">
        <f t="shared" si="120"/>
        <v>3186000000</v>
      </c>
      <c r="X227" s="117">
        <f t="shared" si="121"/>
        <v>3814000000</v>
      </c>
      <c r="Y227" s="117">
        <f t="shared" si="122"/>
        <v>7000000000</v>
      </c>
      <c r="Z227" s="204">
        <f t="shared" si="112"/>
        <v>0</v>
      </c>
    </row>
    <row r="228" spans="1:26" s="113" customFormat="1">
      <c r="A228" s="114" t="s">
        <v>471</v>
      </c>
      <c r="B228" s="115" t="s">
        <v>922</v>
      </c>
      <c r="C228" s="116" t="s">
        <v>457</v>
      </c>
      <c r="D228" s="116" t="s">
        <v>923</v>
      </c>
      <c r="E228" s="117">
        <v>27695000000</v>
      </c>
      <c r="F228" s="117"/>
      <c r="G228" s="117"/>
      <c r="H228" s="117"/>
      <c r="I228" s="117"/>
      <c r="J228" s="118">
        <f t="shared" si="115"/>
        <v>0</v>
      </c>
      <c r="K228" s="117"/>
      <c r="L228" s="117">
        <f t="shared" si="116"/>
        <v>0</v>
      </c>
      <c r="M228" s="117"/>
      <c r="N228" s="117"/>
      <c r="O228" s="117"/>
      <c r="P228" s="117">
        <f t="shared" si="117"/>
        <v>0</v>
      </c>
      <c r="Q228" s="117">
        <v>7500000000</v>
      </c>
      <c r="R228" s="117">
        <f t="shared" si="118"/>
        <v>7083242190</v>
      </c>
      <c r="S228" s="117">
        <v>190602600</v>
      </c>
      <c r="T228" s="117">
        <v>6892639590</v>
      </c>
      <c r="U228" s="117"/>
      <c r="V228" s="117">
        <f t="shared" si="119"/>
        <v>416757810</v>
      </c>
      <c r="W228" s="117">
        <f t="shared" si="120"/>
        <v>190602600</v>
      </c>
      <c r="X228" s="117">
        <f t="shared" si="121"/>
        <v>6892639590</v>
      </c>
      <c r="Y228" s="117">
        <f t="shared" si="122"/>
        <v>7083242190</v>
      </c>
      <c r="Z228" s="204">
        <f t="shared" si="112"/>
        <v>0</v>
      </c>
    </row>
    <row r="229" spans="1:26" s="113" customFormat="1">
      <c r="A229" s="114" t="s">
        <v>474</v>
      </c>
      <c r="B229" s="115" t="s">
        <v>924</v>
      </c>
      <c r="C229" s="116" t="s">
        <v>457</v>
      </c>
      <c r="D229" s="116" t="s">
        <v>925</v>
      </c>
      <c r="E229" s="117">
        <v>29980000000</v>
      </c>
      <c r="F229" s="117"/>
      <c r="G229" s="117"/>
      <c r="H229" s="117"/>
      <c r="I229" s="117"/>
      <c r="J229" s="118">
        <f t="shared" si="115"/>
        <v>0</v>
      </c>
      <c r="K229" s="117"/>
      <c r="L229" s="117">
        <f t="shared" si="116"/>
        <v>0</v>
      </c>
      <c r="M229" s="117"/>
      <c r="N229" s="117"/>
      <c r="O229" s="117"/>
      <c r="P229" s="117">
        <f t="shared" si="117"/>
        <v>0</v>
      </c>
      <c r="Q229" s="117">
        <v>11900000000</v>
      </c>
      <c r="R229" s="117">
        <f t="shared" si="118"/>
        <v>11818425973</v>
      </c>
      <c r="S229" s="117">
        <v>7851445973</v>
      </c>
      <c r="T229" s="117">
        <v>3966980000</v>
      </c>
      <c r="U229" s="117"/>
      <c r="V229" s="117">
        <f t="shared" si="119"/>
        <v>81574027</v>
      </c>
      <c r="W229" s="117">
        <f t="shared" si="120"/>
        <v>7851445973</v>
      </c>
      <c r="X229" s="117">
        <f t="shared" si="121"/>
        <v>3966980000</v>
      </c>
      <c r="Y229" s="117">
        <f t="shared" si="122"/>
        <v>11818425973</v>
      </c>
      <c r="Z229" s="204">
        <f t="shared" si="112"/>
        <v>0</v>
      </c>
    </row>
    <row r="230" spans="1:26" s="113" customFormat="1">
      <c r="A230" s="114" t="s">
        <v>477</v>
      </c>
      <c r="B230" s="115" t="s">
        <v>926</v>
      </c>
      <c r="C230" s="116" t="s">
        <v>457</v>
      </c>
      <c r="D230" s="116" t="s">
        <v>927</v>
      </c>
      <c r="E230" s="117">
        <v>12307000000</v>
      </c>
      <c r="F230" s="117"/>
      <c r="G230" s="117"/>
      <c r="H230" s="117"/>
      <c r="I230" s="117"/>
      <c r="J230" s="118">
        <f t="shared" si="115"/>
        <v>0</v>
      </c>
      <c r="K230" s="117"/>
      <c r="L230" s="117">
        <f t="shared" si="116"/>
        <v>0</v>
      </c>
      <c r="M230" s="117"/>
      <c r="N230" s="117"/>
      <c r="O230" s="117"/>
      <c r="P230" s="117">
        <f t="shared" si="117"/>
        <v>0</v>
      </c>
      <c r="Q230" s="117">
        <v>3400000000</v>
      </c>
      <c r="R230" s="117">
        <f t="shared" si="118"/>
        <v>3400000000</v>
      </c>
      <c r="S230" s="117">
        <v>2386000000</v>
      </c>
      <c r="T230" s="117">
        <v>1014000000</v>
      </c>
      <c r="U230" s="117"/>
      <c r="V230" s="117">
        <f t="shared" si="119"/>
        <v>0</v>
      </c>
      <c r="W230" s="117">
        <f t="shared" si="120"/>
        <v>2386000000</v>
      </c>
      <c r="X230" s="117">
        <f t="shared" si="121"/>
        <v>1014000000</v>
      </c>
      <c r="Y230" s="117">
        <f t="shared" si="122"/>
        <v>3400000000</v>
      </c>
      <c r="Z230" s="204">
        <f t="shared" si="112"/>
        <v>0</v>
      </c>
    </row>
    <row r="231" spans="1:26" s="124" customFormat="1">
      <c r="A231" s="120" t="s">
        <v>20</v>
      </c>
      <c r="B231" s="121" t="s">
        <v>928</v>
      </c>
      <c r="C231" s="122"/>
      <c r="D231" s="122"/>
      <c r="E231" s="123">
        <f t="shared" ref="E231:Y231" si="123">SUM(E232:E238)</f>
        <v>2322346999235</v>
      </c>
      <c r="F231" s="123">
        <f t="shared" si="123"/>
        <v>205239093810</v>
      </c>
      <c r="G231" s="123">
        <f t="shared" si="123"/>
        <v>11088561982</v>
      </c>
      <c r="H231" s="123">
        <f t="shared" si="123"/>
        <v>0</v>
      </c>
      <c r="I231" s="123">
        <f t="shared" si="123"/>
        <v>10675498507</v>
      </c>
      <c r="J231" s="123">
        <f t="shared" si="123"/>
        <v>767949878</v>
      </c>
      <c r="K231" s="123">
        <f t="shared" si="123"/>
        <v>5601379656</v>
      </c>
      <c r="L231" s="123">
        <f t="shared" si="123"/>
        <v>2515075350</v>
      </c>
      <c r="M231" s="123">
        <f t="shared" si="123"/>
        <v>2160188947</v>
      </c>
      <c r="N231" s="123">
        <f t="shared" si="123"/>
        <v>354886403</v>
      </c>
      <c r="O231" s="123">
        <f t="shared" si="123"/>
        <v>0</v>
      </c>
      <c r="P231" s="123">
        <f t="shared" si="123"/>
        <v>3086304306</v>
      </c>
      <c r="Q231" s="123">
        <f t="shared" si="123"/>
        <v>91215000000</v>
      </c>
      <c r="R231" s="123">
        <f t="shared" si="123"/>
        <v>76654096406</v>
      </c>
      <c r="S231" s="123">
        <f t="shared" si="123"/>
        <v>75318160424</v>
      </c>
      <c r="T231" s="123">
        <f t="shared" si="123"/>
        <v>1335935982</v>
      </c>
      <c r="U231" s="123">
        <f t="shared" si="123"/>
        <v>0</v>
      </c>
      <c r="V231" s="123">
        <f t="shared" si="123"/>
        <v>14560903594</v>
      </c>
      <c r="W231" s="123">
        <f t="shared" si="123"/>
        <v>88153847878</v>
      </c>
      <c r="X231" s="123">
        <f t="shared" si="123"/>
        <v>2103885860</v>
      </c>
      <c r="Y231" s="123">
        <f t="shared" si="123"/>
        <v>284408265566</v>
      </c>
      <c r="Z231" s="204">
        <f t="shared" si="112"/>
        <v>0</v>
      </c>
    </row>
    <row r="232" spans="1:26" s="113" customFormat="1" ht="24">
      <c r="A232" s="114" t="s">
        <v>455</v>
      </c>
      <c r="B232" s="115" t="s">
        <v>929</v>
      </c>
      <c r="C232" s="116" t="s">
        <v>457</v>
      </c>
      <c r="D232" s="116" t="s">
        <v>930</v>
      </c>
      <c r="E232" s="117">
        <v>129935000000</v>
      </c>
      <c r="F232" s="117">
        <v>3253804457</v>
      </c>
      <c r="G232" s="117">
        <v>0</v>
      </c>
      <c r="H232" s="117"/>
      <c r="I232" s="117"/>
      <c r="J232" s="118">
        <f t="shared" ref="J232:J238" si="124">G232-H232-I232+N232</f>
        <v>0</v>
      </c>
      <c r="K232" s="117"/>
      <c r="L232" s="117">
        <f t="shared" ref="L232:L238" si="125">SUM(M232:N232)</f>
        <v>0</v>
      </c>
      <c r="M232" s="117"/>
      <c r="N232" s="117"/>
      <c r="O232" s="117"/>
      <c r="P232" s="117">
        <f t="shared" ref="P232:P238" si="126">K232-L232-O232</f>
        <v>0</v>
      </c>
      <c r="Q232" s="117">
        <v>2000000000</v>
      </c>
      <c r="R232" s="117">
        <f t="shared" ref="R232:R238" si="127">SUM(S232:T232)</f>
        <v>1999165522</v>
      </c>
      <c r="S232" s="117">
        <v>1999165522</v>
      </c>
      <c r="T232" s="119"/>
      <c r="U232" s="117"/>
      <c r="V232" s="117">
        <f t="shared" ref="V232:V238" si="128">Q232-R232-U232</f>
        <v>834478</v>
      </c>
      <c r="W232" s="117">
        <f t="shared" ref="W232:W238" si="129">SUM(I232,M232,S232)</f>
        <v>1999165522</v>
      </c>
      <c r="X232" s="117">
        <f t="shared" ref="X232:X238" si="130">G232-H232-I232+N232+T232</f>
        <v>0</v>
      </c>
      <c r="Y232" s="117">
        <f t="shared" ref="Y232:Y238" si="131">F232+L232+R232</f>
        <v>5252969979</v>
      </c>
      <c r="Z232" s="204">
        <f t="shared" si="112"/>
        <v>0</v>
      </c>
    </row>
    <row r="233" spans="1:26" s="113" customFormat="1">
      <c r="A233" s="114" t="s">
        <v>459</v>
      </c>
      <c r="B233" s="115" t="s">
        <v>931</v>
      </c>
      <c r="C233" s="116" t="s">
        <v>457</v>
      </c>
      <c r="D233" s="116" t="s">
        <v>932</v>
      </c>
      <c r="E233" s="117">
        <v>33819000000</v>
      </c>
      <c r="F233" s="117">
        <v>13124698760</v>
      </c>
      <c r="G233" s="117">
        <v>0</v>
      </c>
      <c r="H233" s="117"/>
      <c r="I233" s="117"/>
      <c r="J233" s="118">
        <f t="shared" si="124"/>
        <v>0</v>
      </c>
      <c r="K233" s="117"/>
      <c r="L233" s="117">
        <f t="shared" si="125"/>
        <v>0</v>
      </c>
      <c r="M233" s="117">
        <v>0</v>
      </c>
      <c r="N233" s="117"/>
      <c r="O233" s="117"/>
      <c r="P233" s="117">
        <f t="shared" si="126"/>
        <v>0</v>
      </c>
      <c r="Q233" s="117">
        <v>3168000000</v>
      </c>
      <c r="R233" s="117">
        <f t="shared" si="127"/>
        <v>719292345</v>
      </c>
      <c r="S233" s="117">
        <v>719292345</v>
      </c>
      <c r="T233" s="119"/>
      <c r="U233" s="117"/>
      <c r="V233" s="117">
        <f t="shared" si="128"/>
        <v>2448707655</v>
      </c>
      <c r="W233" s="117">
        <f t="shared" si="129"/>
        <v>719292345</v>
      </c>
      <c r="X233" s="117">
        <f t="shared" si="130"/>
        <v>0</v>
      </c>
      <c r="Y233" s="117">
        <f t="shared" si="131"/>
        <v>13843991105</v>
      </c>
      <c r="Z233" s="204">
        <f t="shared" si="112"/>
        <v>0</v>
      </c>
    </row>
    <row r="234" spans="1:26" s="113" customFormat="1" ht="24">
      <c r="A234" s="114" t="s">
        <v>462</v>
      </c>
      <c r="B234" s="115" t="s">
        <v>933</v>
      </c>
      <c r="C234" s="116" t="s">
        <v>457</v>
      </c>
      <c r="D234" s="116" t="s">
        <v>934</v>
      </c>
      <c r="E234" s="117">
        <v>235750000000</v>
      </c>
      <c r="F234" s="117">
        <v>38854600000</v>
      </c>
      <c r="G234" s="117">
        <v>9455886000</v>
      </c>
      <c r="H234" s="117">
        <v>0</v>
      </c>
      <c r="I234" s="117">
        <v>9455886000</v>
      </c>
      <c r="J234" s="118">
        <f t="shared" si="124"/>
        <v>0</v>
      </c>
      <c r="K234" s="140">
        <v>1824829000</v>
      </c>
      <c r="L234" s="117">
        <f t="shared" si="125"/>
        <v>1824829000</v>
      </c>
      <c r="M234" s="117">
        <v>1824829000</v>
      </c>
      <c r="N234" s="117"/>
      <c r="O234" s="117"/>
      <c r="P234" s="117">
        <f t="shared" si="126"/>
        <v>0</v>
      </c>
      <c r="Q234" s="117">
        <v>40000000000</v>
      </c>
      <c r="R234" s="117">
        <f t="shared" si="127"/>
        <v>40000000000</v>
      </c>
      <c r="S234" s="117">
        <v>40000000000</v>
      </c>
      <c r="T234" s="119"/>
      <c r="U234" s="117"/>
      <c r="V234" s="117">
        <f t="shared" si="128"/>
        <v>0</v>
      </c>
      <c r="W234" s="117">
        <f t="shared" si="129"/>
        <v>51280715000</v>
      </c>
      <c r="X234" s="117">
        <f t="shared" si="130"/>
        <v>0</v>
      </c>
      <c r="Y234" s="117">
        <f t="shared" si="131"/>
        <v>80679429000</v>
      </c>
      <c r="Z234" s="204">
        <f t="shared" si="112"/>
        <v>0</v>
      </c>
    </row>
    <row r="235" spans="1:26" s="113" customFormat="1" ht="24">
      <c r="A235" s="114" t="s">
        <v>465</v>
      </c>
      <c r="B235" s="115" t="s">
        <v>935</v>
      </c>
      <c r="C235" s="116" t="s">
        <v>457</v>
      </c>
      <c r="D235" s="116" t="s">
        <v>936</v>
      </c>
      <c r="E235" s="117">
        <v>75074000000</v>
      </c>
      <c r="F235" s="117">
        <v>3153446525</v>
      </c>
      <c r="G235" s="117">
        <v>300370382</v>
      </c>
      <c r="H235" s="117"/>
      <c r="I235" s="117">
        <v>294723458</v>
      </c>
      <c r="J235" s="118">
        <f t="shared" si="124"/>
        <v>5646924</v>
      </c>
      <c r="K235" s="117"/>
      <c r="L235" s="117">
        <f t="shared" si="125"/>
        <v>0</v>
      </c>
      <c r="M235" s="117"/>
      <c r="N235" s="117"/>
      <c r="O235" s="117"/>
      <c r="P235" s="117">
        <f t="shared" si="126"/>
        <v>0</v>
      </c>
      <c r="Q235" s="117">
        <v>7702000000</v>
      </c>
      <c r="R235" s="117">
        <f t="shared" si="127"/>
        <v>260614977</v>
      </c>
      <c r="S235" s="117">
        <v>212714967</v>
      </c>
      <c r="T235" s="119">
        <v>47900010</v>
      </c>
      <c r="U235" s="117"/>
      <c r="V235" s="117">
        <f t="shared" si="128"/>
        <v>7441385023</v>
      </c>
      <c r="W235" s="117">
        <f t="shared" si="129"/>
        <v>507438425</v>
      </c>
      <c r="X235" s="117">
        <f t="shared" si="130"/>
        <v>53546934</v>
      </c>
      <c r="Y235" s="117">
        <f t="shared" si="131"/>
        <v>3414061502</v>
      </c>
      <c r="Z235" s="204">
        <f t="shared" si="112"/>
        <v>0</v>
      </c>
    </row>
    <row r="236" spans="1:26" s="113" customFormat="1" ht="24">
      <c r="A236" s="114" t="s">
        <v>468</v>
      </c>
      <c r="B236" s="115" t="s">
        <v>937</v>
      </c>
      <c r="C236" s="116" t="s">
        <v>457</v>
      </c>
      <c r="D236" s="116" t="s">
        <v>938</v>
      </c>
      <c r="E236" s="117">
        <v>503494000000</v>
      </c>
      <c r="F236" s="117">
        <v>101801539068</v>
      </c>
      <c r="G236" s="117">
        <f>14055600+1318250000</f>
        <v>1332305600</v>
      </c>
      <c r="H236" s="117"/>
      <c r="I236" s="117">
        <v>924889049</v>
      </c>
      <c r="J236" s="118">
        <f t="shared" si="124"/>
        <v>762302954</v>
      </c>
      <c r="K236" s="125">
        <v>3776550656</v>
      </c>
      <c r="L236" s="117">
        <f t="shared" si="125"/>
        <v>690246350</v>
      </c>
      <c r="M236" s="117">
        <v>335359947</v>
      </c>
      <c r="N236" s="117">
        <v>354886403</v>
      </c>
      <c r="O236" s="117"/>
      <c r="P236" s="117">
        <f t="shared" si="126"/>
        <v>3086304306</v>
      </c>
      <c r="Q236" s="117">
        <v>12720000000</v>
      </c>
      <c r="R236" s="117">
        <f t="shared" si="127"/>
        <v>8459394562</v>
      </c>
      <c r="S236" s="117">
        <v>8459394562</v>
      </c>
      <c r="T236" s="119"/>
      <c r="U236" s="117"/>
      <c r="V236" s="117">
        <f t="shared" si="128"/>
        <v>4260605438</v>
      </c>
      <c r="W236" s="117">
        <f t="shared" si="129"/>
        <v>9719643558</v>
      </c>
      <c r="X236" s="117">
        <f t="shared" si="130"/>
        <v>762302954</v>
      </c>
      <c r="Y236" s="117">
        <f t="shared" si="131"/>
        <v>110951179980</v>
      </c>
      <c r="Z236" s="204">
        <f t="shared" si="112"/>
        <v>0</v>
      </c>
    </row>
    <row r="237" spans="1:26" s="113" customFormat="1">
      <c r="A237" s="114" t="s">
        <v>471</v>
      </c>
      <c r="B237" s="115" t="s">
        <v>939</v>
      </c>
      <c r="C237" s="116" t="s">
        <v>457</v>
      </c>
      <c r="D237" s="116" t="s">
        <v>940</v>
      </c>
      <c r="E237" s="117">
        <v>466300000</v>
      </c>
      <c r="F237" s="117">
        <v>51005000</v>
      </c>
      <c r="G237" s="117"/>
      <c r="H237" s="117"/>
      <c r="I237" s="117"/>
      <c r="J237" s="118">
        <f t="shared" si="124"/>
        <v>0</v>
      </c>
      <c r="K237" s="117"/>
      <c r="L237" s="117">
        <f t="shared" si="125"/>
        <v>0</v>
      </c>
      <c r="M237" s="117"/>
      <c r="N237" s="117"/>
      <c r="O237" s="117"/>
      <c r="P237" s="117">
        <f t="shared" si="126"/>
        <v>0</v>
      </c>
      <c r="Q237" s="117">
        <v>1000000000</v>
      </c>
      <c r="R237" s="117">
        <f t="shared" si="127"/>
        <v>590629000</v>
      </c>
      <c r="S237" s="117">
        <v>590629000</v>
      </c>
      <c r="T237" s="119"/>
      <c r="U237" s="117"/>
      <c r="V237" s="117">
        <f t="shared" si="128"/>
        <v>409371000</v>
      </c>
      <c r="W237" s="117">
        <f t="shared" si="129"/>
        <v>590629000</v>
      </c>
      <c r="X237" s="117">
        <f t="shared" si="130"/>
        <v>0</v>
      </c>
      <c r="Y237" s="117">
        <f t="shared" si="131"/>
        <v>641634000</v>
      </c>
      <c r="Z237" s="204">
        <f t="shared" si="112"/>
        <v>0</v>
      </c>
    </row>
    <row r="238" spans="1:26" s="113" customFormat="1" ht="24">
      <c r="A238" s="114" t="s">
        <v>474</v>
      </c>
      <c r="B238" s="115" t="s">
        <v>624</v>
      </c>
      <c r="C238" s="116" t="s">
        <v>457</v>
      </c>
      <c r="D238" s="116" t="s">
        <v>625</v>
      </c>
      <c r="E238" s="117">
        <v>1343808699235</v>
      </c>
      <c r="F238" s="117">
        <v>45000000000</v>
      </c>
      <c r="G238" s="117"/>
      <c r="H238" s="117"/>
      <c r="I238" s="117"/>
      <c r="J238" s="118">
        <f t="shared" si="124"/>
        <v>0</v>
      </c>
      <c r="K238" s="117"/>
      <c r="L238" s="117">
        <f t="shared" si="125"/>
        <v>0</v>
      </c>
      <c r="M238" s="117"/>
      <c r="N238" s="117"/>
      <c r="O238" s="117"/>
      <c r="P238" s="117">
        <f t="shared" si="126"/>
        <v>0</v>
      </c>
      <c r="Q238" s="117">
        <v>24625000000</v>
      </c>
      <c r="R238" s="117">
        <f t="shared" si="127"/>
        <v>24625000000</v>
      </c>
      <c r="S238" s="117">
        <v>23336964028</v>
      </c>
      <c r="T238" s="119">
        <v>1288035972</v>
      </c>
      <c r="U238" s="117"/>
      <c r="V238" s="117">
        <f t="shared" si="128"/>
        <v>0</v>
      </c>
      <c r="W238" s="117">
        <f t="shared" si="129"/>
        <v>23336964028</v>
      </c>
      <c r="X238" s="117">
        <f t="shared" si="130"/>
        <v>1288035972</v>
      </c>
      <c r="Y238" s="117">
        <f t="shared" si="131"/>
        <v>69625000000</v>
      </c>
      <c r="Z238" s="204">
        <f t="shared" si="112"/>
        <v>0</v>
      </c>
    </row>
    <row r="239" spans="1:26" s="124" customFormat="1" ht="24">
      <c r="A239" s="120" t="s">
        <v>22</v>
      </c>
      <c r="B239" s="121" t="s">
        <v>941</v>
      </c>
      <c r="C239" s="122"/>
      <c r="D239" s="122"/>
      <c r="E239" s="123">
        <f t="shared" ref="E239:P239" si="132">SUM(E240:E243)</f>
        <v>65530000000</v>
      </c>
      <c r="F239" s="123">
        <f t="shared" si="132"/>
        <v>0</v>
      </c>
      <c r="G239" s="123">
        <f t="shared" si="132"/>
        <v>0</v>
      </c>
      <c r="H239" s="123">
        <f t="shared" si="132"/>
        <v>0</v>
      </c>
      <c r="I239" s="123">
        <f t="shared" si="132"/>
        <v>0</v>
      </c>
      <c r="J239" s="123">
        <f t="shared" si="132"/>
        <v>0</v>
      </c>
      <c r="K239" s="123">
        <f t="shared" si="132"/>
        <v>0</v>
      </c>
      <c r="L239" s="123">
        <f t="shared" si="132"/>
        <v>0</v>
      </c>
      <c r="M239" s="123">
        <f t="shared" si="132"/>
        <v>0</v>
      </c>
      <c r="N239" s="123">
        <f t="shared" si="132"/>
        <v>0</v>
      </c>
      <c r="O239" s="123">
        <f t="shared" si="132"/>
        <v>0</v>
      </c>
      <c r="P239" s="123">
        <f t="shared" si="132"/>
        <v>0</v>
      </c>
      <c r="Q239" s="123">
        <f>SUM(Q240:Q243)</f>
        <v>16770000000</v>
      </c>
      <c r="R239" s="123">
        <f t="shared" ref="R239:Y239" si="133">SUM(R240:R243)</f>
        <v>15697564229</v>
      </c>
      <c r="S239" s="123">
        <f t="shared" si="133"/>
        <v>5278703707</v>
      </c>
      <c r="T239" s="123">
        <f t="shared" si="133"/>
        <v>10418860522</v>
      </c>
      <c r="U239" s="123">
        <f t="shared" si="133"/>
        <v>0</v>
      </c>
      <c r="V239" s="123">
        <f t="shared" si="133"/>
        <v>1072435771</v>
      </c>
      <c r="W239" s="123">
        <f t="shared" si="133"/>
        <v>5278703707</v>
      </c>
      <c r="X239" s="123">
        <f t="shared" si="133"/>
        <v>10418860522</v>
      </c>
      <c r="Y239" s="123">
        <f t="shared" si="133"/>
        <v>15697564229</v>
      </c>
      <c r="Z239" s="204">
        <f t="shared" si="112"/>
        <v>0</v>
      </c>
    </row>
    <row r="240" spans="1:26" s="113" customFormat="1">
      <c r="A240" s="114" t="s">
        <v>455</v>
      </c>
      <c r="B240" s="115" t="s">
        <v>942</v>
      </c>
      <c r="C240" s="116" t="s">
        <v>457</v>
      </c>
      <c r="D240" s="116" t="s">
        <v>943</v>
      </c>
      <c r="E240" s="117">
        <v>35214000000</v>
      </c>
      <c r="F240" s="117"/>
      <c r="G240" s="117"/>
      <c r="H240" s="117"/>
      <c r="I240" s="117"/>
      <c r="J240" s="118">
        <f>G240-H240-I240+N240</f>
        <v>0</v>
      </c>
      <c r="K240" s="117"/>
      <c r="L240" s="117">
        <f>SUM(M240:N240)</f>
        <v>0</v>
      </c>
      <c r="M240" s="117"/>
      <c r="N240" s="117"/>
      <c r="O240" s="117"/>
      <c r="P240" s="117">
        <f>K240-L240-O240</f>
        <v>0</v>
      </c>
      <c r="Q240" s="117">
        <v>4270000000</v>
      </c>
      <c r="R240" s="117">
        <f>SUM(S240:T240)</f>
        <v>3930839522</v>
      </c>
      <c r="S240" s="117">
        <v>1078935000</v>
      </c>
      <c r="T240" s="119">
        <v>2851904522</v>
      </c>
      <c r="U240" s="117"/>
      <c r="V240" s="117">
        <f>Q240-R240-U240</f>
        <v>339160478</v>
      </c>
      <c r="W240" s="117">
        <f>SUM(I240,M240,S240)</f>
        <v>1078935000</v>
      </c>
      <c r="X240" s="117">
        <f>G240-H240-I240+N240+T240</f>
        <v>2851904522</v>
      </c>
      <c r="Y240" s="117">
        <f>F240+L240+R240</f>
        <v>3930839522</v>
      </c>
      <c r="Z240" s="204">
        <f t="shared" si="112"/>
        <v>0</v>
      </c>
    </row>
    <row r="241" spans="1:26" s="113" customFormat="1">
      <c r="A241" s="114" t="s">
        <v>459</v>
      </c>
      <c r="B241" s="115" t="s">
        <v>944</v>
      </c>
      <c r="C241" s="116" t="s">
        <v>457</v>
      </c>
      <c r="D241" s="116" t="s">
        <v>945</v>
      </c>
      <c r="E241" s="117">
        <v>13867000000</v>
      </c>
      <c r="F241" s="117"/>
      <c r="G241" s="117"/>
      <c r="H241" s="117"/>
      <c r="I241" s="117"/>
      <c r="J241" s="118">
        <f>G241-H241-I241+N241</f>
        <v>0</v>
      </c>
      <c r="K241" s="117"/>
      <c r="L241" s="117">
        <f>SUM(M241:N241)</f>
        <v>0</v>
      </c>
      <c r="M241" s="117"/>
      <c r="N241" s="117"/>
      <c r="O241" s="117"/>
      <c r="P241" s="117">
        <f>K241-L241-O241</f>
        <v>0</v>
      </c>
      <c r="Q241" s="117">
        <v>5500000000</v>
      </c>
      <c r="R241" s="117">
        <f>SUM(S241:T241)</f>
        <v>5500000000</v>
      </c>
      <c r="S241" s="117">
        <v>401138000</v>
      </c>
      <c r="T241" s="119">
        <v>5098862000</v>
      </c>
      <c r="U241" s="117"/>
      <c r="V241" s="117">
        <f>Q241-R241-U241</f>
        <v>0</v>
      </c>
      <c r="W241" s="117">
        <f>SUM(I241,M241,S241)</f>
        <v>401138000</v>
      </c>
      <c r="X241" s="117">
        <f>G241-H241-I241+N241+T241</f>
        <v>5098862000</v>
      </c>
      <c r="Y241" s="117">
        <f>F241+L241+R241</f>
        <v>5500000000</v>
      </c>
      <c r="Z241" s="204">
        <f t="shared" si="112"/>
        <v>0</v>
      </c>
    </row>
    <row r="242" spans="1:26" s="113" customFormat="1">
      <c r="A242" s="114" t="s">
        <v>462</v>
      </c>
      <c r="B242" s="115" t="s">
        <v>946</v>
      </c>
      <c r="C242" s="116" t="s">
        <v>457</v>
      </c>
      <c r="D242" s="116" t="s">
        <v>947</v>
      </c>
      <c r="E242" s="117">
        <v>12536000000</v>
      </c>
      <c r="F242" s="117"/>
      <c r="G242" s="117"/>
      <c r="H242" s="117"/>
      <c r="I242" s="117"/>
      <c r="J242" s="118">
        <f>G242-H242-I242+N242</f>
        <v>0</v>
      </c>
      <c r="K242" s="117"/>
      <c r="L242" s="117">
        <f>SUM(M242:N242)</f>
        <v>0</v>
      </c>
      <c r="M242" s="117"/>
      <c r="N242" s="117"/>
      <c r="O242" s="117"/>
      <c r="P242" s="117">
        <f>K242-L242-O242</f>
        <v>0</v>
      </c>
      <c r="Q242" s="117">
        <v>4000000000</v>
      </c>
      <c r="R242" s="117">
        <f>SUM(S242:T242)</f>
        <v>3266724707</v>
      </c>
      <c r="S242" s="117">
        <v>1157457707</v>
      </c>
      <c r="T242" s="119">
        <v>2109267000</v>
      </c>
      <c r="U242" s="117"/>
      <c r="V242" s="117">
        <f>Q242-R242-U242</f>
        <v>733275293</v>
      </c>
      <c r="W242" s="117">
        <f>SUM(I242,M242,S242)</f>
        <v>1157457707</v>
      </c>
      <c r="X242" s="117">
        <f>G242-H242-I242+N242+T242</f>
        <v>2109267000</v>
      </c>
      <c r="Y242" s="117">
        <f>F242+L242+R242</f>
        <v>3266724707</v>
      </c>
      <c r="Z242" s="204">
        <f t="shared" si="112"/>
        <v>0</v>
      </c>
    </row>
    <row r="243" spans="1:26" s="113" customFormat="1">
      <c r="A243" s="114" t="s">
        <v>465</v>
      </c>
      <c r="B243" s="115" t="s">
        <v>948</v>
      </c>
      <c r="C243" s="116" t="s">
        <v>457</v>
      </c>
      <c r="D243" s="116" t="s">
        <v>949</v>
      </c>
      <c r="E243" s="117">
        <v>3913000000</v>
      </c>
      <c r="F243" s="117"/>
      <c r="G243" s="117"/>
      <c r="H243" s="117"/>
      <c r="I243" s="117"/>
      <c r="J243" s="118">
        <f>G243-H243-I243+N243</f>
        <v>0</v>
      </c>
      <c r="K243" s="117"/>
      <c r="L243" s="117">
        <f>SUM(M243:N243)</f>
        <v>0</v>
      </c>
      <c r="M243" s="117"/>
      <c r="N243" s="117"/>
      <c r="O243" s="117"/>
      <c r="P243" s="117">
        <f>K243-L243-O243</f>
        <v>0</v>
      </c>
      <c r="Q243" s="117">
        <v>3000000000</v>
      </c>
      <c r="R243" s="117">
        <f>SUM(S243:T243)</f>
        <v>3000000000</v>
      </c>
      <c r="S243" s="117">
        <v>2641173000</v>
      </c>
      <c r="T243" s="119">
        <v>358827000</v>
      </c>
      <c r="U243" s="117"/>
      <c r="V243" s="117">
        <f>Q243-R243-U243</f>
        <v>0</v>
      </c>
      <c r="W243" s="117">
        <f>SUM(I243,M243,S243)</f>
        <v>2641173000</v>
      </c>
      <c r="X243" s="117">
        <f>G243-H243-I243+N243+T243</f>
        <v>358827000</v>
      </c>
      <c r="Y243" s="117">
        <f>F243+L243+R243</f>
        <v>3000000000</v>
      </c>
      <c r="Z243" s="204">
        <f t="shared" si="112"/>
        <v>0</v>
      </c>
    </row>
    <row r="244" spans="1:26" s="124" customFormat="1">
      <c r="A244" s="120" t="s">
        <v>24</v>
      </c>
      <c r="B244" s="121" t="s">
        <v>950</v>
      </c>
      <c r="C244" s="122"/>
      <c r="D244" s="122"/>
      <c r="E244" s="123">
        <f t="shared" ref="E244:P244" si="134">SUM(E245:E252)</f>
        <v>81655970000</v>
      </c>
      <c r="F244" s="123">
        <f t="shared" si="134"/>
        <v>10667425100</v>
      </c>
      <c r="G244" s="123">
        <f t="shared" si="134"/>
        <v>0</v>
      </c>
      <c r="H244" s="123">
        <f t="shared" si="134"/>
        <v>0</v>
      </c>
      <c r="I244" s="123">
        <f t="shared" si="134"/>
        <v>0</v>
      </c>
      <c r="J244" s="123">
        <f t="shared" si="134"/>
        <v>0</v>
      </c>
      <c r="K244" s="123">
        <f t="shared" si="134"/>
        <v>0</v>
      </c>
      <c r="L244" s="123">
        <f t="shared" si="134"/>
        <v>0</v>
      </c>
      <c r="M244" s="123">
        <f t="shared" si="134"/>
        <v>0</v>
      </c>
      <c r="N244" s="123">
        <f t="shared" si="134"/>
        <v>0</v>
      </c>
      <c r="O244" s="123">
        <f t="shared" si="134"/>
        <v>0</v>
      </c>
      <c r="P244" s="123">
        <f t="shared" si="134"/>
        <v>0</v>
      </c>
      <c r="Q244" s="123">
        <f>SUM(Q245:Q252)</f>
        <v>35400000000</v>
      </c>
      <c r="R244" s="123">
        <f t="shared" ref="R244:Y244" si="135">SUM(R245:R252)</f>
        <v>25051659379</v>
      </c>
      <c r="S244" s="123">
        <f t="shared" si="135"/>
        <v>24400159379</v>
      </c>
      <c r="T244" s="123">
        <f t="shared" si="135"/>
        <v>651500000</v>
      </c>
      <c r="U244" s="123">
        <f t="shared" si="135"/>
        <v>0</v>
      </c>
      <c r="V244" s="123">
        <f t="shared" si="135"/>
        <v>10348340621</v>
      </c>
      <c r="W244" s="123">
        <f t="shared" si="135"/>
        <v>24400159379</v>
      </c>
      <c r="X244" s="123">
        <f t="shared" si="135"/>
        <v>651500000</v>
      </c>
      <c r="Y244" s="123">
        <f t="shared" si="135"/>
        <v>35719084479</v>
      </c>
      <c r="Z244" s="204">
        <f t="shared" si="112"/>
        <v>0</v>
      </c>
    </row>
    <row r="245" spans="1:26" s="113" customFormat="1" ht="24">
      <c r="A245" s="114" t="s">
        <v>455</v>
      </c>
      <c r="B245" s="115" t="s">
        <v>951</v>
      </c>
      <c r="C245" s="116" t="s">
        <v>457</v>
      </c>
      <c r="D245" s="116" t="s">
        <v>952</v>
      </c>
      <c r="E245" s="117">
        <v>32829000000</v>
      </c>
      <c r="F245" s="117">
        <v>6998687000</v>
      </c>
      <c r="G245" s="117"/>
      <c r="H245" s="117"/>
      <c r="I245" s="117"/>
      <c r="J245" s="118">
        <f>G245-H245-I245+N245</f>
        <v>0</v>
      </c>
      <c r="K245" s="117"/>
      <c r="L245" s="117">
        <f t="shared" ref="L245:L250" si="136">SUM(M245:N245)</f>
        <v>0</v>
      </c>
      <c r="M245" s="117"/>
      <c r="N245" s="117"/>
      <c r="O245" s="117"/>
      <c r="P245" s="117">
        <f>K245-L245-O245</f>
        <v>0</v>
      </c>
      <c r="Q245" s="117">
        <v>10000000000</v>
      </c>
      <c r="R245" s="117">
        <f>SUM(S245:T245)</f>
        <v>9999746699</v>
      </c>
      <c r="S245" s="117">
        <v>9999746699</v>
      </c>
      <c r="T245" s="119"/>
      <c r="U245" s="117"/>
      <c r="V245" s="117">
        <f>Q245-R245-U245</f>
        <v>253301</v>
      </c>
      <c r="W245" s="117">
        <f>SUM(I245,M245,S245)</f>
        <v>9999746699</v>
      </c>
      <c r="X245" s="117">
        <f>G245-H245-I245+N245+T245</f>
        <v>0</v>
      </c>
      <c r="Y245" s="117">
        <f>F245+L245+R245</f>
        <v>16998433699</v>
      </c>
      <c r="Z245" s="204">
        <f t="shared" si="112"/>
        <v>0</v>
      </c>
    </row>
    <row r="246" spans="1:26" s="113" customFormat="1">
      <c r="A246" s="114" t="s">
        <v>459</v>
      </c>
      <c r="B246" s="115" t="s">
        <v>953</v>
      </c>
      <c r="C246" s="116" t="s">
        <v>457</v>
      </c>
      <c r="D246" s="116" t="s">
        <v>954</v>
      </c>
      <c r="E246" s="117">
        <v>29959000000</v>
      </c>
      <c r="F246" s="117">
        <v>3668738100</v>
      </c>
      <c r="G246" s="117"/>
      <c r="H246" s="117"/>
      <c r="I246" s="117"/>
      <c r="J246" s="118">
        <f>G246-H246-I246+N246</f>
        <v>0</v>
      </c>
      <c r="K246" s="117"/>
      <c r="L246" s="117">
        <f t="shared" si="136"/>
        <v>0</v>
      </c>
      <c r="M246" s="117"/>
      <c r="N246" s="117"/>
      <c r="O246" s="117"/>
      <c r="P246" s="117">
        <f>K246-L246-O246</f>
        <v>0</v>
      </c>
      <c r="Q246" s="117">
        <v>5000000000</v>
      </c>
      <c r="R246" s="117">
        <f>SUM(S246:T246)</f>
        <v>5000000000</v>
      </c>
      <c r="S246" s="117">
        <v>4428500000</v>
      </c>
      <c r="T246" s="117">
        <v>571500000</v>
      </c>
      <c r="U246" s="117"/>
      <c r="V246" s="117">
        <f>Q246-R246-U246</f>
        <v>0</v>
      </c>
      <c r="W246" s="117">
        <f>SUM(I246,M246,S246)</f>
        <v>4428500000</v>
      </c>
      <c r="X246" s="117">
        <f>G246-H246-I246+N246+T246</f>
        <v>571500000</v>
      </c>
      <c r="Y246" s="117">
        <f>F246+L246+R246</f>
        <v>8668738100</v>
      </c>
      <c r="Z246" s="204">
        <f t="shared" si="112"/>
        <v>0</v>
      </c>
    </row>
    <row r="247" spans="1:26" s="113" customFormat="1">
      <c r="A247" s="114" t="s">
        <v>462</v>
      </c>
      <c r="B247" s="115" t="s">
        <v>955</v>
      </c>
      <c r="C247" s="116" t="s">
        <v>457</v>
      </c>
      <c r="D247" s="116" t="s">
        <v>956</v>
      </c>
      <c r="E247" s="117">
        <v>4939000000</v>
      </c>
      <c r="F247" s="117"/>
      <c r="G247" s="117"/>
      <c r="H247" s="117"/>
      <c r="I247" s="117"/>
      <c r="J247" s="118">
        <f t="shared" ref="J247:J252" si="137">G247-H247-I247+N247</f>
        <v>0</v>
      </c>
      <c r="K247" s="117"/>
      <c r="L247" s="117">
        <f t="shared" si="136"/>
        <v>0</v>
      </c>
      <c r="M247" s="117"/>
      <c r="N247" s="117"/>
      <c r="O247" s="117"/>
      <c r="P247" s="117">
        <f t="shared" ref="P247:P252" si="138">K247-L247-O247</f>
        <v>0</v>
      </c>
      <c r="Q247" s="117">
        <v>2500000000</v>
      </c>
      <c r="R247" s="117">
        <f t="shared" ref="R247:R252" si="139">SUM(S247:T247)</f>
        <v>2190240980</v>
      </c>
      <c r="S247" s="117">
        <v>2146240980</v>
      </c>
      <c r="T247" s="119">
        <v>44000000</v>
      </c>
      <c r="U247" s="117"/>
      <c r="V247" s="117">
        <f t="shared" ref="V247:V252" si="140">Q247-R247-U247</f>
        <v>309759020</v>
      </c>
      <c r="W247" s="117">
        <f t="shared" ref="W247:W252" si="141">SUM(I247,M247,S247)</f>
        <v>2146240980</v>
      </c>
      <c r="X247" s="117">
        <f t="shared" ref="X247:X252" si="142">G247-H247-I247+N247+T247</f>
        <v>44000000</v>
      </c>
      <c r="Y247" s="117">
        <f t="shared" ref="Y247:Y252" si="143">F247+L247+R247</f>
        <v>2190240980</v>
      </c>
      <c r="Z247" s="204">
        <f t="shared" si="112"/>
        <v>0</v>
      </c>
    </row>
    <row r="248" spans="1:26" s="113" customFormat="1" ht="24">
      <c r="A248" s="114" t="s">
        <v>465</v>
      </c>
      <c r="B248" s="115" t="s">
        <v>957</v>
      </c>
      <c r="C248" s="116" t="s">
        <v>457</v>
      </c>
      <c r="D248" s="116" t="s">
        <v>958</v>
      </c>
      <c r="E248" s="117">
        <v>605000000</v>
      </c>
      <c r="F248" s="117"/>
      <c r="G248" s="117"/>
      <c r="H248" s="117"/>
      <c r="I248" s="117"/>
      <c r="J248" s="118">
        <f t="shared" si="137"/>
        <v>0</v>
      </c>
      <c r="K248" s="117"/>
      <c r="L248" s="117">
        <f t="shared" si="136"/>
        <v>0</v>
      </c>
      <c r="M248" s="117"/>
      <c r="N248" s="117"/>
      <c r="O248" s="117"/>
      <c r="P248" s="117">
        <f t="shared" si="138"/>
        <v>0</v>
      </c>
      <c r="Q248" s="117">
        <v>500000000</v>
      </c>
      <c r="R248" s="117">
        <f t="shared" si="139"/>
        <v>406392000</v>
      </c>
      <c r="S248" s="117">
        <v>406392000</v>
      </c>
      <c r="T248" s="117"/>
      <c r="U248" s="117"/>
      <c r="V248" s="117">
        <f t="shared" si="140"/>
        <v>93608000</v>
      </c>
      <c r="W248" s="117">
        <f t="shared" si="141"/>
        <v>406392000</v>
      </c>
      <c r="X248" s="117">
        <f t="shared" si="142"/>
        <v>0</v>
      </c>
      <c r="Y248" s="117">
        <f t="shared" si="143"/>
        <v>406392000</v>
      </c>
      <c r="Z248" s="204">
        <f t="shared" si="112"/>
        <v>0</v>
      </c>
    </row>
    <row r="249" spans="1:26" s="113" customFormat="1" ht="24">
      <c r="A249" s="114" t="s">
        <v>468</v>
      </c>
      <c r="B249" s="115" t="s">
        <v>959</v>
      </c>
      <c r="C249" s="116" t="s">
        <v>457</v>
      </c>
      <c r="D249" s="116" t="s">
        <v>960</v>
      </c>
      <c r="E249" s="117">
        <v>924000000</v>
      </c>
      <c r="F249" s="117"/>
      <c r="G249" s="117"/>
      <c r="H249" s="117"/>
      <c r="I249" s="117"/>
      <c r="J249" s="118">
        <f t="shared" si="137"/>
        <v>0</v>
      </c>
      <c r="K249" s="117"/>
      <c r="L249" s="117">
        <f t="shared" si="136"/>
        <v>0</v>
      </c>
      <c r="M249" s="117"/>
      <c r="N249" s="117"/>
      <c r="O249" s="117"/>
      <c r="P249" s="117">
        <f t="shared" si="138"/>
        <v>0</v>
      </c>
      <c r="Q249" s="117">
        <v>900000000</v>
      </c>
      <c r="R249" s="117">
        <f t="shared" si="139"/>
        <v>774921000</v>
      </c>
      <c r="S249" s="117">
        <v>774921000</v>
      </c>
      <c r="T249" s="117"/>
      <c r="U249" s="117"/>
      <c r="V249" s="117">
        <f t="shared" si="140"/>
        <v>125079000</v>
      </c>
      <c r="W249" s="117">
        <f t="shared" si="141"/>
        <v>774921000</v>
      </c>
      <c r="X249" s="117">
        <f t="shared" si="142"/>
        <v>0</v>
      </c>
      <c r="Y249" s="117">
        <f t="shared" si="143"/>
        <v>774921000</v>
      </c>
      <c r="Z249" s="204">
        <f t="shared" si="112"/>
        <v>0</v>
      </c>
    </row>
    <row r="250" spans="1:26" s="113" customFormat="1" ht="24">
      <c r="A250" s="114" t="s">
        <v>471</v>
      </c>
      <c r="B250" s="115" t="s">
        <v>961</v>
      </c>
      <c r="C250" s="116" t="s">
        <v>457</v>
      </c>
      <c r="D250" s="116" t="s">
        <v>962</v>
      </c>
      <c r="E250" s="117">
        <v>6960000000</v>
      </c>
      <c r="F250" s="117"/>
      <c r="G250" s="117"/>
      <c r="H250" s="117"/>
      <c r="I250" s="117"/>
      <c r="J250" s="118">
        <f t="shared" si="137"/>
        <v>0</v>
      </c>
      <c r="K250" s="117"/>
      <c r="L250" s="117">
        <f t="shared" si="136"/>
        <v>0</v>
      </c>
      <c r="M250" s="117"/>
      <c r="N250" s="117"/>
      <c r="O250" s="117"/>
      <c r="P250" s="117">
        <f t="shared" si="138"/>
        <v>0</v>
      </c>
      <c r="Q250" s="117">
        <v>3500000000</v>
      </c>
      <c r="R250" s="117">
        <f t="shared" si="139"/>
        <v>3500000000</v>
      </c>
      <c r="S250" s="117">
        <v>3500000000</v>
      </c>
      <c r="T250" s="119"/>
      <c r="U250" s="117"/>
      <c r="V250" s="117">
        <f t="shared" si="140"/>
        <v>0</v>
      </c>
      <c r="W250" s="117">
        <f t="shared" si="141"/>
        <v>3500000000</v>
      </c>
      <c r="X250" s="117">
        <f t="shared" si="142"/>
        <v>0</v>
      </c>
      <c r="Y250" s="117">
        <f t="shared" si="143"/>
        <v>3500000000</v>
      </c>
      <c r="Z250" s="204">
        <f t="shared" si="112"/>
        <v>0</v>
      </c>
    </row>
    <row r="251" spans="1:26" s="113" customFormat="1">
      <c r="A251" s="114" t="s">
        <v>474</v>
      </c>
      <c r="B251" s="115" t="s">
        <v>963</v>
      </c>
      <c r="C251" s="116" t="s">
        <v>457</v>
      </c>
      <c r="D251" s="116" t="s">
        <v>964</v>
      </c>
      <c r="E251" s="117">
        <v>5157000000</v>
      </c>
      <c r="F251" s="117"/>
      <c r="G251" s="117"/>
      <c r="H251" s="117"/>
      <c r="I251" s="117"/>
      <c r="J251" s="118">
        <f t="shared" si="137"/>
        <v>0</v>
      </c>
      <c r="K251" s="117"/>
      <c r="L251" s="117"/>
      <c r="M251" s="117"/>
      <c r="N251" s="117"/>
      <c r="O251" s="117"/>
      <c r="P251" s="117">
        <f t="shared" si="138"/>
        <v>0</v>
      </c>
      <c r="Q251" s="117">
        <v>3000000000</v>
      </c>
      <c r="R251" s="117">
        <f t="shared" si="139"/>
        <v>2982279700</v>
      </c>
      <c r="S251" s="117">
        <v>2946279700</v>
      </c>
      <c r="T251" s="119">
        <v>36000000</v>
      </c>
      <c r="U251" s="117"/>
      <c r="V251" s="117">
        <f t="shared" si="140"/>
        <v>17720300</v>
      </c>
      <c r="W251" s="117">
        <f t="shared" si="141"/>
        <v>2946279700</v>
      </c>
      <c r="X251" s="117">
        <f t="shared" si="142"/>
        <v>36000000</v>
      </c>
      <c r="Y251" s="117">
        <f t="shared" si="143"/>
        <v>2982279700</v>
      </c>
      <c r="Z251" s="204">
        <f t="shared" si="112"/>
        <v>0</v>
      </c>
    </row>
    <row r="252" spans="1:26" s="113" customFormat="1">
      <c r="A252" s="114" t="s">
        <v>477</v>
      </c>
      <c r="B252" s="115" t="s">
        <v>965</v>
      </c>
      <c r="C252" s="116" t="s">
        <v>457</v>
      </c>
      <c r="D252" s="116" t="s">
        <v>966</v>
      </c>
      <c r="E252" s="117">
        <v>282970000</v>
      </c>
      <c r="F252" s="117"/>
      <c r="G252" s="117"/>
      <c r="H252" s="117"/>
      <c r="I252" s="117"/>
      <c r="J252" s="118">
        <f t="shared" si="137"/>
        <v>0</v>
      </c>
      <c r="K252" s="117"/>
      <c r="L252" s="117">
        <f>SUM(M252:N252)</f>
        <v>0</v>
      </c>
      <c r="M252" s="117"/>
      <c r="N252" s="117"/>
      <c r="O252" s="117"/>
      <c r="P252" s="117">
        <f t="shared" si="138"/>
        <v>0</v>
      </c>
      <c r="Q252" s="117">
        <v>10000000000</v>
      </c>
      <c r="R252" s="117">
        <f t="shared" si="139"/>
        <v>198079000</v>
      </c>
      <c r="S252" s="117">
        <v>198079000</v>
      </c>
      <c r="T252" s="117"/>
      <c r="U252" s="117"/>
      <c r="V252" s="117">
        <f t="shared" si="140"/>
        <v>9801921000</v>
      </c>
      <c r="W252" s="117">
        <f t="shared" si="141"/>
        <v>198079000</v>
      </c>
      <c r="X252" s="117">
        <f t="shared" si="142"/>
        <v>0</v>
      </c>
      <c r="Y252" s="117">
        <f t="shared" si="143"/>
        <v>198079000</v>
      </c>
      <c r="Z252" s="204">
        <f t="shared" si="112"/>
        <v>0</v>
      </c>
    </row>
    <row r="253" spans="1:26" s="124" customFormat="1">
      <c r="A253" s="120" t="s">
        <v>141</v>
      </c>
      <c r="B253" s="121" t="s">
        <v>492</v>
      </c>
      <c r="C253" s="122"/>
      <c r="D253" s="123">
        <f t="shared" ref="D253:Y253" si="144">SUM(D254:D291)</f>
        <v>0</v>
      </c>
      <c r="E253" s="123">
        <f t="shared" si="144"/>
        <v>734605638819</v>
      </c>
      <c r="F253" s="123">
        <f t="shared" si="144"/>
        <v>44564874387</v>
      </c>
      <c r="G253" s="123">
        <f t="shared" si="144"/>
        <v>2618311712</v>
      </c>
      <c r="H253" s="123">
        <f t="shared" si="144"/>
        <v>0</v>
      </c>
      <c r="I253" s="123">
        <f t="shared" si="144"/>
        <v>1957330712</v>
      </c>
      <c r="J253" s="123">
        <f t="shared" si="144"/>
        <v>660981000</v>
      </c>
      <c r="K253" s="123">
        <f t="shared" si="144"/>
        <v>533741000</v>
      </c>
      <c r="L253" s="123">
        <f t="shared" si="144"/>
        <v>533741000</v>
      </c>
      <c r="M253" s="123">
        <f t="shared" si="144"/>
        <v>533741000</v>
      </c>
      <c r="N253" s="123">
        <f t="shared" si="144"/>
        <v>0</v>
      </c>
      <c r="O253" s="123">
        <f t="shared" si="144"/>
        <v>0</v>
      </c>
      <c r="P253" s="123">
        <f t="shared" si="144"/>
        <v>0</v>
      </c>
      <c r="Q253" s="123">
        <f t="shared" si="144"/>
        <v>213651000000</v>
      </c>
      <c r="R253" s="123">
        <f t="shared" si="144"/>
        <v>208157625057</v>
      </c>
      <c r="S253" s="123">
        <f t="shared" si="144"/>
        <v>163944322932</v>
      </c>
      <c r="T253" s="123">
        <f t="shared" si="144"/>
        <v>44213302125</v>
      </c>
      <c r="U253" s="123">
        <f t="shared" si="144"/>
        <v>0</v>
      </c>
      <c r="V253" s="123">
        <f t="shared" si="144"/>
        <v>5493374943</v>
      </c>
      <c r="W253" s="123">
        <f t="shared" si="144"/>
        <v>166435394644</v>
      </c>
      <c r="X253" s="123">
        <f t="shared" si="144"/>
        <v>44874283125</v>
      </c>
      <c r="Y253" s="123">
        <f t="shared" si="144"/>
        <v>253256240444</v>
      </c>
      <c r="Z253" s="204">
        <f t="shared" si="112"/>
        <v>0</v>
      </c>
    </row>
    <row r="254" spans="1:26" s="113" customFormat="1">
      <c r="A254" s="114" t="s">
        <v>455</v>
      </c>
      <c r="B254" s="115" t="s">
        <v>967</v>
      </c>
      <c r="C254" s="116" t="s">
        <v>457</v>
      </c>
      <c r="D254" s="116" t="s">
        <v>968</v>
      </c>
      <c r="E254" s="117">
        <v>59611000000</v>
      </c>
      <c r="F254" s="117">
        <v>4000000000</v>
      </c>
      <c r="G254" s="117">
        <v>253963672</v>
      </c>
      <c r="H254" s="117">
        <v>0</v>
      </c>
      <c r="I254" s="117">
        <v>253963672</v>
      </c>
      <c r="J254" s="118">
        <f t="shared" ref="J254:J291" si="145">G254-H254-I254+N254</f>
        <v>0</v>
      </c>
      <c r="K254" s="117"/>
      <c r="L254" s="117">
        <f t="shared" ref="L254:L291" si="146">SUM(M254:N254)</f>
        <v>0</v>
      </c>
      <c r="M254" s="117"/>
      <c r="N254" s="117"/>
      <c r="O254" s="117"/>
      <c r="P254" s="117">
        <f t="shared" ref="P254:P291" si="147">K254-L254-O254</f>
        <v>0</v>
      </c>
      <c r="Q254" s="117">
        <v>11866000000</v>
      </c>
      <c r="R254" s="117">
        <f t="shared" ref="R254:R291" si="148">SUM(S254:T254)</f>
        <v>11865817301</v>
      </c>
      <c r="S254" s="117">
        <v>11339142301</v>
      </c>
      <c r="T254" s="119">
        <v>526675000</v>
      </c>
      <c r="U254" s="117"/>
      <c r="V254" s="117">
        <f t="shared" ref="V254:V291" si="149">Q254-R254-U254</f>
        <v>182699</v>
      </c>
      <c r="W254" s="117">
        <f t="shared" ref="W254:W291" si="150">SUM(I254,M254,S254)</f>
        <v>11593105973</v>
      </c>
      <c r="X254" s="117">
        <f t="shared" ref="X254:X291" si="151">G254-H254-I254+N254+T254</f>
        <v>526675000</v>
      </c>
      <c r="Y254" s="117">
        <f t="shared" ref="Y254:Y291" si="152">F254+L254+R254</f>
        <v>15865817301</v>
      </c>
      <c r="Z254" s="204">
        <f t="shared" si="112"/>
        <v>0</v>
      </c>
    </row>
    <row r="255" spans="1:26" s="113" customFormat="1" ht="24">
      <c r="A255" s="114" t="s">
        <v>459</v>
      </c>
      <c r="B255" s="115" t="s">
        <v>969</v>
      </c>
      <c r="C255" s="116" t="s">
        <v>457</v>
      </c>
      <c r="D255" s="116" t="s">
        <v>970</v>
      </c>
      <c r="E255" s="117">
        <v>26529000000</v>
      </c>
      <c r="F255" s="117">
        <v>5862000000</v>
      </c>
      <c r="G255" s="117">
        <v>34400000</v>
      </c>
      <c r="H255" s="117">
        <v>0</v>
      </c>
      <c r="I255" s="117">
        <v>34400000</v>
      </c>
      <c r="J255" s="118">
        <f t="shared" si="145"/>
        <v>0</v>
      </c>
      <c r="K255" s="117"/>
      <c r="L255" s="117">
        <f t="shared" si="146"/>
        <v>0</v>
      </c>
      <c r="M255" s="117"/>
      <c r="N255" s="117"/>
      <c r="O255" s="117"/>
      <c r="P255" s="117">
        <f t="shared" si="147"/>
        <v>0</v>
      </c>
      <c r="Q255" s="117">
        <v>1177000000</v>
      </c>
      <c r="R255" s="117">
        <f t="shared" si="148"/>
        <v>1176040303</v>
      </c>
      <c r="S255" s="117">
        <v>990659303</v>
      </c>
      <c r="T255" s="119">
        <v>185381000</v>
      </c>
      <c r="U255" s="117"/>
      <c r="V255" s="117">
        <f t="shared" si="149"/>
        <v>959697</v>
      </c>
      <c r="W255" s="117">
        <f t="shared" si="150"/>
        <v>1025059303</v>
      </c>
      <c r="X255" s="117">
        <f t="shared" si="151"/>
        <v>185381000</v>
      </c>
      <c r="Y255" s="117">
        <f t="shared" si="152"/>
        <v>7038040303</v>
      </c>
      <c r="Z255" s="204">
        <f t="shared" si="112"/>
        <v>0</v>
      </c>
    </row>
    <row r="256" spans="1:26" s="113" customFormat="1" ht="24">
      <c r="A256" s="114" t="s">
        <v>462</v>
      </c>
      <c r="B256" s="115" t="s">
        <v>971</v>
      </c>
      <c r="C256" s="116" t="s">
        <v>457</v>
      </c>
      <c r="D256" s="116" t="s">
        <v>972</v>
      </c>
      <c r="E256" s="117">
        <v>50195000000</v>
      </c>
      <c r="F256" s="117">
        <v>4878831537</v>
      </c>
      <c r="G256" s="117"/>
      <c r="H256" s="117"/>
      <c r="I256" s="117"/>
      <c r="J256" s="118">
        <f t="shared" si="145"/>
        <v>0</v>
      </c>
      <c r="K256" s="117"/>
      <c r="L256" s="117">
        <f t="shared" si="146"/>
        <v>0</v>
      </c>
      <c r="M256" s="117"/>
      <c r="N256" s="117"/>
      <c r="O256" s="117"/>
      <c r="P256" s="117">
        <f t="shared" si="147"/>
        <v>0</v>
      </c>
      <c r="Q256" s="117">
        <v>1500000000</v>
      </c>
      <c r="R256" s="117">
        <f t="shared" si="148"/>
        <v>157000000</v>
      </c>
      <c r="S256" s="117"/>
      <c r="T256" s="119">
        <v>157000000</v>
      </c>
      <c r="U256" s="117"/>
      <c r="V256" s="117">
        <f t="shared" si="149"/>
        <v>1343000000</v>
      </c>
      <c r="W256" s="117">
        <f t="shared" si="150"/>
        <v>0</v>
      </c>
      <c r="X256" s="117">
        <f t="shared" si="151"/>
        <v>157000000</v>
      </c>
      <c r="Y256" s="117">
        <f t="shared" si="152"/>
        <v>5035831537</v>
      </c>
      <c r="Z256" s="204">
        <f t="shared" si="112"/>
        <v>0</v>
      </c>
    </row>
    <row r="257" spans="1:26" s="113" customFormat="1">
      <c r="A257" s="114" t="s">
        <v>465</v>
      </c>
      <c r="B257" s="115" t="s">
        <v>973</v>
      </c>
      <c r="C257" s="116" t="s">
        <v>457</v>
      </c>
      <c r="D257" s="116" t="s">
        <v>974</v>
      </c>
      <c r="E257" s="117">
        <v>39191000000</v>
      </c>
      <c r="F257" s="117">
        <v>2000000000</v>
      </c>
      <c r="G257" s="117">
        <v>900000000</v>
      </c>
      <c r="H257" s="117">
        <v>0</v>
      </c>
      <c r="I257" s="117">
        <v>900000000</v>
      </c>
      <c r="J257" s="118">
        <f t="shared" si="145"/>
        <v>0</v>
      </c>
      <c r="K257" s="117"/>
      <c r="L257" s="117">
        <f t="shared" si="146"/>
        <v>0</v>
      </c>
      <c r="M257" s="117"/>
      <c r="N257" s="117"/>
      <c r="O257" s="117"/>
      <c r="P257" s="117">
        <f t="shared" si="147"/>
        <v>0</v>
      </c>
      <c r="Q257" s="117">
        <v>14000000000</v>
      </c>
      <c r="R257" s="117">
        <f t="shared" si="148"/>
        <v>14000000000</v>
      </c>
      <c r="S257" s="117">
        <v>12243365000</v>
      </c>
      <c r="T257" s="119">
        <v>1756635000</v>
      </c>
      <c r="U257" s="117"/>
      <c r="V257" s="117">
        <f t="shared" si="149"/>
        <v>0</v>
      </c>
      <c r="W257" s="117">
        <f t="shared" si="150"/>
        <v>13143365000</v>
      </c>
      <c r="X257" s="117">
        <f t="shared" si="151"/>
        <v>1756635000</v>
      </c>
      <c r="Y257" s="117">
        <f t="shared" si="152"/>
        <v>16000000000</v>
      </c>
      <c r="Z257" s="204">
        <f t="shared" si="112"/>
        <v>0</v>
      </c>
    </row>
    <row r="258" spans="1:26" s="113" customFormat="1">
      <c r="A258" s="114" t="s">
        <v>468</v>
      </c>
      <c r="B258" s="115" t="s">
        <v>975</v>
      </c>
      <c r="C258" s="116" t="s">
        <v>457</v>
      </c>
      <c r="D258" s="116" t="s">
        <v>976</v>
      </c>
      <c r="E258" s="117">
        <v>49873000000</v>
      </c>
      <c r="F258" s="117">
        <v>4000000000</v>
      </c>
      <c r="G258" s="117"/>
      <c r="H258" s="117"/>
      <c r="I258" s="117"/>
      <c r="J258" s="118">
        <f t="shared" si="145"/>
        <v>0</v>
      </c>
      <c r="K258" s="117"/>
      <c r="L258" s="117">
        <f t="shared" si="146"/>
        <v>0</v>
      </c>
      <c r="M258" s="117"/>
      <c r="N258" s="117"/>
      <c r="O258" s="117"/>
      <c r="P258" s="117">
        <f t="shared" si="147"/>
        <v>0</v>
      </c>
      <c r="Q258" s="117">
        <v>12500000000</v>
      </c>
      <c r="R258" s="117">
        <f t="shared" si="148"/>
        <v>12500000000</v>
      </c>
      <c r="S258" s="117">
        <v>11699481840</v>
      </c>
      <c r="T258" s="119">
        <v>800518160</v>
      </c>
      <c r="U258" s="117"/>
      <c r="V258" s="117">
        <f t="shared" si="149"/>
        <v>0</v>
      </c>
      <c r="W258" s="117">
        <f t="shared" si="150"/>
        <v>11699481840</v>
      </c>
      <c r="X258" s="117">
        <f t="shared" si="151"/>
        <v>800518160</v>
      </c>
      <c r="Y258" s="117">
        <f t="shared" si="152"/>
        <v>16500000000</v>
      </c>
      <c r="Z258" s="204">
        <f t="shared" si="112"/>
        <v>0</v>
      </c>
    </row>
    <row r="259" spans="1:26" s="113" customFormat="1">
      <c r="A259" s="114" t="s">
        <v>471</v>
      </c>
      <c r="B259" s="115" t="s">
        <v>977</v>
      </c>
      <c r="C259" s="116" t="s">
        <v>457</v>
      </c>
      <c r="D259" s="116" t="s">
        <v>978</v>
      </c>
      <c r="E259" s="117">
        <v>29362000000</v>
      </c>
      <c r="F259" s="117">
        <v>3520000000</v>
      </c>
      <c r="G259" s="117"/>
      <c r="H259" s="117"/>
      <c r="I259" s="117"/>
      <c r="J259" s="118">
        <f t="shared" si="145"/>
        <v>0</v>
      </c>
      <c r="K259" s="117"/>
      <c r="L259" s="117">
        <f t="shared" si="146"/>
        <v>0</v>
      </c>
      <c r="M259" s="117"/>
      <c r="N259" s="117"/>
      <c r="O259" s="117"/>
      <c r="P259" s="117">
        <f t="shared" si="147"/>
        <v>0</v>
      </c>
      <c r="Q259" s="117">
        <v>9219000000</v>
      </c>
      <c r="R259" s="117">
        <f t="shared" si="148"/>
        <v>9218379000</v>
      </c>
      <c r="S259" s="117">
        <v>9218379000</v>
      </c>
      <c r="T259" s="119"/>
      <c r="U259" s="117"/>
      <c r="V259" s="117">
        <f t="shared" si="149"/>
        <v>621000</v>
      </c>
      <c r="W259" s="117">
        <f t="shared" si="150"/>
        <v>9218379000</v>
      </c>
      <c r="X259" s="117">
        <f t="shared" si="151"/>
        <v>0</v>
      </c>
      <c r="Y259" s="117">
        <f t="shared" si="152"/>
        <v>12738379000</v>
      </c>
      <c r="Z259" s="204">
        <f t="shared" si="112"/>
        <v>0</v>
      </c>
    </row>
    <row r="260" spans="1:26" s="113" customFormat="1" ht="24">
      <c r="A260" s="114" t="s">
        <v>474</v>
      </c>
      <c r="B260" s="115" t="s">
        <v>979</v>
      </c>
      <c r="C260" s="116" t="s">
        <v>457</v>
      </c>
      <c r="D260" s="116" t="s">
        <v>980</v>
      </c>
      <c r="E260" s="117">
        <v>28885000000</v>
      </c>
      <c r="F260" s="117">
        <v>939355000</v>
      </c>
      <c r="G260" s="117">
        <v>0</v>
      </c>
      <c r="H260" s="117"/>
      <c r="I260" s="117"/>
      <c r="J260" s="118">
        <f t="shared" si="145"/>
        <v>0</v>
      </c>
      <c r="K260" s="117"/>
      <c r="L260" s="117">
        <f t="shared" si="146"/>
        <v>0</v>
      </c>
      <c r="M260" s="117"/>
      <c r="N260" s="117"/>
      <c r="O260" s="117"/>
      <c r="P260" s="117">
        <f t="shared" si="147"/>
        <v>0</v>
      </c>
      <c r="Q260" s="117">
        <v>8110000000</v>
      </c>
      <c r="R260" s="117">
        <f t="shared" si="148"/>
        <v>8110000000</v>
      </c>
      <c r="S260" s="117">
        <v>7845710000</v>
      </c>
      <c r="T260" s="119">
        <v>264290000</v>
      </c>
      <c r="U260" s="117"/>
      <c r="V260" s="117">
        <f t="shared" si="149"/>
        <v>0</v>
      </c>
      <c r="W260" s="117">
        <f t="shared" si="150"/>
        <v>7845710000</v>
      </c>
      <c r="X260" s="117">
        <f t="shared" si="151"/>
        <v>264290000</v>
      </c>
      <c r="Y260" s="117">
        <f t="shared" si="152"/>
        <v>9049355000</v>
      </c>
      <c r="Z260" s="204">
        <f t="shared" si="112"/>
        <v>0</v>
      </c>
    </row>
    <row r="261" spans="1:26" s="113" customFormat="1">
      <c r="A261" s="114" t="s">
        <v>477</v>
      </c>
      <c r="B261" s="115" t="s">
        <v>981</v>
      </c>
      <c r="C261" s="116" t="s">
        <v>457</v>
      </c>
      <c r="D261" s="116" t="s">
        <v>982</v>
      </c>
      <c r="E261" s="117">
        <v>7331000000</v>
      </c>
      <c r="F261" s="117">
        <v>1207615000</v>
      </c>
      <c r="G261" s="117">
        <v>94609000</v>
      </c>
      <c r="H261" s="117"/>
      <c r="I261" s="117">
        <v>15000000</v>
      </c>
      <c r="J261" s="118">
        <f t="shared" si="145"/>
        <v>79609000</v>
      </c>
      <c r="K261" s="117"/>
      <c r="L261" s="117">
        <f t="shared" si="146"/>
        <v>0</v>
      </c>
      <c r="M261" s="117"/>
      <c r="N261" s="117"/>
      <c r="O261" s="117"/>
      <c r="P261" s="117">
        <f t="shared" si="147"/>
        <v>0</v>
      </c>
      <c r="Q261" s="117">
        <v>2100000000</v>
      </c>
      <c r="R261" s="117">
        <f t="shared" si="148"/>
        <v>2100000000</v>
      </c>
      <c r="S261" s="117">
        <v>2100000000</v>
      </c>
      <c r="T261" s="119"/>
      <c r="U261" s="117"/>
      <c r="V261" s="117">
        <f t="shared" si="149"/>
        <v>0</v>
      </c>
      <c r="W261" s="117">
        <f t="shared" si="150"/>
        <v>2115000000</v>
      </c>
      <c r="X261" s="117">
        <f t="shared" si="151"/>
        <v>79609000</v>
      </c>
      <c r="Y261" s="117">
        <f t="shared" si="152"/>
        <v>3307615000</v>
      </c>
      <c r="Z261" s="204">
        <f t="shared" si="112"/>
        <v>0</v>
      </c>
    </row>
    <row r="262" spans="1:26" s="113" customFormat="1">
      <c r="A262" s="114" t="s">
        <v>480</v>
      </c>
      <c r="B262" s="115" t="s">
        <v>983</v>
      </c>
      <c r="C262" s="116" t="s">
        <v>457</v>
      </c>
      <c r="D262" s="116" t="s">
        <v>984</v>
      </c>
      <c r="E262" s="117">
        <v>13354000000</v>
      </c>
      <c r="F262" s="117">
        <v>3000000000</v>
      </c>
      <c r="G262" s="117"/>
      <c r="H262" s="117"/>
      <c r="I262" s="117"/>
      <c r="J262" s="118">
        <f t="shared" si="145"/>
        <v>0</v>
      </c>
      <c r="K262" s="117"/>
      <c r="L262" s="117">
        <f t="shared" si="146"/>
        <v>0</v>
      </c>
      <c r="M262" s="117"/>
      <c r="N262" s="117"/>
      <c r="O262" s="117"/>
      <c r="P262" s="117">
        <f t="shared" si="147"/>
        <v>0</v>
      </c>
      <c r="Q262" s="117">
        <v>1700000000</v>
      </c>
      <c r="R262" s="117">
        <f t="shared" si="148"/>
        <v>1683216980</v>
      </c>
      <c r="S262" s="117">
        <v>1683216980</v>
      </c>
      <c r="T262" s="119"/>
      <c r="U262" s="117"/>
      <c r="V262" s="117">
        <f t="shared" si="149"/>
        <v>16783020</v>
      </c>
      <c r="W262" s="117">
        <f t="shared" si="150"/>
        <v>1683216980</v>
      </c>
      <c r="X262" s="117">
        <f t="shared" si="151"/>
        <v>0</v>
      </c>
      <c r="Y262" s="117">
        <f t="shared" si="152"/>
        <v>4683216980</v>
      </c>
      <c r="Z262" s="204">
        <f t="shared" si="112"/>
        <v>0</v>
      </c>
    </row>
    <row r="263" spans="1:26" s="113" customFormat="1">
      <c r="A263" s="114" t="s">
        <v>483</v>
      </c>
      <c r="B263" s="115" t="s">
        <v>985</v>
      </c>
      <c r="C263" s="116" t="s">
        <v>457</v>
      </c>
      <c r="D263" s="116" t="s">
        <v>986</v>
      </c>
      <c r="E263" s="117">
        <v>13201000000</v>
      </c>
      <c r="F263" s="117">
        <v>3000000000</v>
      </c>
      <c r="G263" s="117"/>
      <c r="H263" s="117"/>
      <c r="I263" s="117"/>
      <c r="J263" s="118">
        <f t="shared" si="145"/>
        <v>0</v>
      </c>
      <c r="K263" s="117"/>
      <c r="L263" s="117">
        <f t="shared" si="146"/>
        <v>0</v>
      </c>
      <c r="M263" s="117"/>
      <c r="N263" s="117"/>
      <c r="O263" s="117"/>
      <c r="P263" s="117">
        <f t="shared" si="147"/>
        <v>0</v>
      </c>
      <c r="Q263" s="117">
        <v>835000000</v>
      </c>
      <c r="R263" s="117">
        <f t="shared" si="148"/>
        <v>834160000</v>
      </c>
      <c r="S263" s="117">
        <v>834160000</v>
      </c>
      <c r="T263" s="119"/>
      <c r="U263" s="117"/>
      <c r="V263" s="117">
        <f t="shared" si="149"/>
        <v>840000</v>
      </c>
      <c r="W263" s="117">
        <f t="shared" si="150"/>
        <v>834160000</v>
      </c>
      <c r="X263" s="117">
        <f t="shared" si="151"/>
        <v>0</v>
      </c>
      <c r="Y263" s="117">
        <f t="shared" si="152"/>
        <v>3834160000</v>
      </c>
      <c r="Z263" s="204">
        <f t="shared" si="112"/>
        <v>0</v>
      </c>
    </row>
    <row r="264" spans="1:26" s="113" customFormat="1" ht="24">
      <c r="A264" s="114" t="s">
        <v>486</v>
      </c>
      <c r="B264" s="115" t="s">
        <v>987</v>
      </c>
      <c r="C264" s="116" t="s">
        <v>457</v>
      </c>
      <c r="D264" s="116" t="s">
        <v>988</v>
      </c>
      <c r="E264" s="117">
        <v>6945812062</v>
      </c>
      <c r="F264" s="117">
        <v>1466259000</v>
      </c>
      <c r="G264" s="117">
        <v>684260000</v>
      </c>
      <c r="H264" s="117"/>
      <c r="I264" s="117">
        <v>102888000</v>
      </c>
      <c r="J264" s="118">
        <f t="shared" si="145"/>
        <v>581372000</v>
      </c>
      <c r="K264" s="140">
        <v>533741000</v>
      </c>
      <c r="L264" s="117">
        <f t="shared" si="146"/>
        <v>533741000</v>
      </c>
      <c r="M264" s="117">
        <v>533741000</v>
      </c>
      <c r="N264" s="117"/>
      <c r="O264" s="117"/>
      <c r="P264" s="117">
        <f t="shared" si="147"/>
        <v>0</v>
      </c>
      <c r="Q264" s="117">
        <v>2172000000</v>
      </c>
      <c r="R264" s="117">
        <f t="shared" si="148"/>
        <v>2108876159</v>
      </c>
      <c r="S264" s="117">
        <v>552559000</v>
      </c>
      <c r="T264" s="119">
        <v>1556317159</v>
      </c>
      <c r="U264" s="117"/>
      <c r="V264" s="117">
        <f t="shared" si="149"/>
        <v>63123841</v>
      </c>
      <c r="W264" s="117">
        <f t="shared" si="150"/>
        <v>1189188000</v>
      </c>
      <c r="X264" s="117">
        <f t="shared" si="151"/>
        <v>2137689159</v>
      </c>
      <c r="Y264" s="117">
        <f t="shared" si="152"/>
        <v>4108876159</v>
      </c>
      <c r="Z264" s="204">
        <f t="shared" si="112"/>
        <v>0</v>
      </c>
    </row>
    <row r="265" spans="1:26" s="113" customFormat="1" ht="24">
      <c r="A265" s="114" t="s">
        <v>489</v>
      </c>
      <c r="B265" s="115" t="s">
        <v>989</v>
      </c>
      <c r="C265" s="116" t="s">
        <v>457</v>
      </c>
      <c r="D265" s="116" t="s">
        <v>990</v>
      </c>
      <c r="E265" s="117">
        <v>9680000000</v>
      </c>
      <c r="F265" s="117">
        <v>2500000000</v>
      </c>
      <c r="G265" s="117">
        <v>651079040</v>
      </c>
      <c r="H265" s="117">
        <v>0</v>
      </c>
      <c r="I265" s="117">
        <v>651079040</v>
      </c>
      <c r="J265" s="118">
        <f t="shared" si="145"/>
        <v>0</v>
      </c>
      <c r="K265" s="117"/>
      <c r="L265" s="117">
        <f t="shared" si="146"/>
        <v>0</v>
      </c>
      <c r="M265" s="117"/>
      <c r="N265" s="117"/>
      <c r="O265" s="117"/>
      <c r="P265" s="117">
        <f t="shared" si="147"/>
        <v>0</v>
      </c>
      <c r="Q265" s="117">
        <v>2682000000</v>
      </c>
      <c r="R265" s="117">
        <f t="shared" si="148"/>
        <v>2681975954</v>
      </c>
      <c r="S265" s="117">
        <v>2576728954</v>
      </c>
      <c r="T265" s="119">
        <v>105247000</v>
      </c>
      <c r="U265" s="117"/>
      <c r="V265" s="117">
        <f t="shared" si="149"/>
        <v>24046</v>
      </c>
      <c r="W265" s="117">
        <f t="shared" si="150"/>
        <v>3227807994</v>
      </c>
      <c r="X265" s="117">
        <f t="shared" si="151"/>
        <v>105247000</v>
      </c>
      <c r="Y265" s="117">
        <f t="shared" si="152"/>
        <v>5181975954</v>
      </c>
      <c r="Z265" s="204">
        <f t="shared" si="112"/>
        <v>0</v>
      </c>
    </row>
    <row r="266" spans="1:26" s="113" customFormat="1">
      <c r="A266" s="114" t="s">
        <v>553</v>
      </c>
      <c r="B266" s="115" t="s">
        <v>991</v>
      </c>
      <c r="C266" s="116" t="s">
        <v>457</v>
      </c>
      <c r="D266" s="116" t="s">
        <v>992</v>
      </c>
      <c r="E266" s="117">
        <v>14683000000</v>
      </c>
      <c r="F266" s="117">
        <v>3050000000</v>
      </c>
      <c r="G266" s="117"/>
      <c r="H266" s="117"/>
      <c r="I266" s="117"/>
      <c r="J266" s="118">
        <f t="shared" si="145"/>
        <v>0</v>
      </c>
      <c r="K266" s="117"/>
      <c r="L266" s="117">
        <f t="shared" si="146"/>
        <v>0</v>
      </c>
      <c r="M266" s="117"/>
      <c r="N266" s="117"/>
      <c r="O266" s="117"/>
      <c r="P266" s="117">
        <f t="shared" si="147"/>
        <v>0</v>
      </c>
      <c r="Q266" s="117">
        <v>1500000000</v>
      </c>
      <c r="R266" s="117">
        <f t="shared" si="148"/>
        <v>1500000000</v>
      </c>
      <c r="S266" s="117">
        <v>1500000000</v>
      </c>
      <c r="T266" s="119"/>
      <c r="U266" s="117"/>
      <c r="V266" s="117">
        <f t="shared" si="149"/>
        <v>0</v>
      </c>
      <c r="W266" s="117">
        <f t="shared" si="150"/>
        <v>1500000000</v>
      </c>
      <c r="X266" s="117">
        <f t="shared" si="151"/>
        <v>0</v>
      </c>
      <c r="Y266" s="117">
        <f t="shared" si="152"/>
        <v>4550000000</v>
      </c>
      <c r="Z266" s="204">
        <f t="shared" si="112"/>
        <v>0</v>
      </c>
    </row>
    <row r="267" spans="1:26" s="113" customFormat="1" ht="24">
      <c r="A267" s="114" t="s">
        <v>556</v>
      </c>
      <c r="B267" s="115" t="s">
        <v>993</v>
      </c>
      <c r="C267" s="116" t="s">
        <v>457</v>
      </c>
      <c r="D267" s="116" t="s">
        <v>994</v>
      </c>
      <c r="E267" s="117">
        <v>31453000000</v>
      </c>
      <c r="F267" s="117">
        <v>3328000000</v>
      </c>
      <c r="G267" s="117"/>
      <c r="H267" s="117"/>
      <c r="I267" s="117"/>
      <c r="J267" s="118">
        <f t="shared" si="145"/>
        <v>0</v>
      </c>
      <c r="K267" s="117"/>
      <c r="L267" s="117">
        <f t="shared" si="146"/>
        <v>0</v>
      </c>
      <c r="M267" s="117"/>
      <c r="N267" s="117"/>
      <c r="O267" s="117"/>
      <c r="P267" s="117">
        <f t="shared" si="147"/>
        <v>0</v>
      </c>
      <c r="Q267" s="117">
        <v>4000000000</v>
      </c>
      <c r="R267" s="117">
        <f t="shared" si="148"/>
        <v>3838139114</v>
      </c>
      <c r="S267" s="117">
        <v>3838139114</v>
      </c>
      <c r="T267" s="119"/>
      <c r="U267" s="117"/>
      <c r="V267" s="117">
        <f t="shared" si="149"/>
        <v>161860886</v>
      </c>
      <c r="W267" s="117">
        <f t="shared" si="150"/>
        <v>3838139114</v>
      </c>
      <c r="X267" s="117">
        <f t="shared" si="151"/>
        <v>0</v>
      </c>
      <c r="Y267" s="117">
        <f t="shared" si="152"/>
        <v>7166139114</v>
      </c>
      <c r="Z267" s="204">
        <f t="shared" si="112"/>
        <v>0</v>
      </c>
    </row>
    <row r="268" spans="1:26" s="113" customFormat="1">
      <c r="A268" s="114" t="s">
        <v>559</v>
      </c>
      <c r="B268" s="115" t="s">
        <v>995</v>
      </c>
      <c r="C268" s="116" t="s">
        <v>457</v>
      </c>
      <c r="D268" s="116" t="s">
        <v>996</v>
      </c>
      <c r="E268" s="117">
        <v>13776000000</v>
      </c>
      <c r="F268" s="117">
        <v>1812813850</v>
      </c>
      <c r="G268" s="117"/>
      <c r="H268" s="117"/>
      <c r="I268" s="117"/>
      <c r="J268" s="118">
        <f t="shared" si="145"/>
        <v>0</v>
      </c>
      <c r="K268" s="117"/>
      <c r="L268" s="117">
        <f t="shared" si="146"/>
        <v>0</v>
      </c>
      <c r="M268" s="117"/>
      <c r="N268" s="117"/>
      <c r="O268" s="117"/>
      <c r="P268" s="117">
        <f t="shared" si="147"/>
        <v>0</v>
      </c>
      <c r="Q268" s="117">
        <v>6000000000</v>
      </c>
      <c r="R268" s="117">
        <f t="shared" si="148"/>
        <v>6000000000</v>
      </c>
      <c r="S268" s="117">
        <v>6000000000</v>
      </c>
      <c r="T268" s="119"/>
      <c r="U268" s="117"/>
      <c r="V268" s="117">
        <f t="shared" si="149"/>
        <v>0</v>
      </c>
      <c r="W268" s="117">
        <f t="shared" si="150"/>
        <v>6000000000</v>
      </c>
      <c r="X268" s="117">
        <f t="shared" si="151"/>
        <v>0</v>
      </c>
      <c r="Y268" s="117">
        <f t="shared" si="152"/>
        <v>7812813850</v>
      </c>
      <c r="Z268" s="204">
        <f t="shared" si="112"/>
        <v>0</v>
      </c>
    </row>
    <row r="269" spans="1:26" s="113" customFormat="1" ht="24">
      <c r="A269" s="114" t="s">
        <v>562</v>
      </c>
      <c r="B269" s="115" t="s">
        <v>997</v>
      </c>
      <c r="C269" s="116" t="s">
        <v>457</v>
      </c>
      <c r="D269" s="116" t="s">
        <v>998</v>
      </c>
      <c r="E269" s="117">
        <v>14220000000</v>
      </c>
      <c r="F269" s="117"/>
      <c r="G269" s="117"/>
      <c r="H269" s="117"/>
      <c r="I269" s="117"/>
      <c r="J269" s="118">
        <f t="shared" si="145"/>
        <v>0</v>
      </c>
      <c r="K269" s="117"/>
      <c r="L269" s="117">
        <f t="shared" si="146"/>
        <v>0</v>
      </c>
      <c r="M269" s="117"/>
      <c r="N269" s="117"/>
      <c r="O269" s="117"/>
      <c r="P269" s="117">
        <f t="shared" si="147"/>
        <v>0</v>
      </c>
      <c r="Q269" s="117">
        <v>5828000000</v>
      </c>
      <c r="R269" s="117">
        <f t="shared" si="148"/>
        <v>5828000000</v>
      </c>
      <c r="S269" s="117">
        <v>4158556000</v>
      </c>
      <c r="T269" s="119">
        <v>1669444000</v>
      </c>
      <c r="U269" s="117"/>
      <c r="V269" s="117">
        <f t="shared" si="149"/>
        <v>0</v>
      </c>
      <c r="W269" s="117">
        <f t="shared" si="150"/>
        <v>4158556000</v>
      </c>
      <c r="X269" s="117">
        <f t="shared" si="151"/>
        <v>1669444000</v>
      </c>
      <c r="Y269" s="117">
        <f t="shared" si="152"/>
        <v>5828000000</v>
      </c>
      <c r="Z269" s="204">
        <f t="shared" ref="Z269:Z332" si="153">S269+M269+I269-W269</f>
        <v>0</v>
      </c>
    </row>
    <row r="270" spans="1:26" s="113" customFormat="1" ht="24">
      <c r="A270" s="114" t="s">
        <v>565</v>
      </c>
      <c r="B270" s="115" t="s">
        <v>999</v>
      </c>
      <c r="C270" s="116" t="s">
        <v>457</v>
      </c>
      <c r="D270" s="116" t="s">
        <v>1000</v>
      </c>
      <c r="E270" s="117">
        <v>14003000000</v>
      </c>
      <c r="F270" s="117"/>
      <c r="G270" s="117"/>
      <c r="H270" s="117"/>
      <c r="I270" s="117"/>
      <c r="J270" s="118">
        <f t="shared" si="145"/>
        <v>0</v>
      </c>
      <c r="K270" s="117"/>
      <c r="L270" s="117">
        <f t="shared" si="146"/>
        <v>0</v>
      </c>
      <c r="M270" s="117"/>
      <c r="N270" s="117"/>
      <c r="O270" s="117"/>
      <c r="P270" s="117">
        <f t="shared" si="147"/>
        <v>0</v>
      </c>
      <c r="Q270" s="117">
        <v>8100000000</v>
      </c>
      <c r="R270" s="117">
        <f t="shared" si="148"/>
        <v>8100000000</v>
      </c>
      <c r="S270" s="117">
        <v>6908936000</v>
      </c>
      <c r="T270" s="119">
        <v>1191064000</v>
      </c>
      <c r="U270" s="117"/>
      <c r="V270" s="117">
        <f t="shared" si="149"/>
        <v>0</v>
      </c>
      <c r="W270" s="117">
        <f t="shared" si="150"/>
        <v>6908936000</v>
      </c>
      <c r="X270" s="117">
        <f t="shared" si="151"/>
        <v>1191064000</v>
      </c>
      <c r="Y270" s="117">
        <f t="shared" si="152"/>
        <v>8100000000</v>
      </c>
      <c r="Z270" s="204">
        <f t="shared" si="153"/>
        <v>0</v>
      </c>
    </row>
    <row r="271" spans="1:26" s="113" customFormat="1">
      <c r="A271" s="114" t="s">
        <v>568</v>
      </c>
      <c r="B271" s="115" t="s">
        <v>1001</v>
      </c>
      <c r="C271" s="116" t="s">
        <v>457</v>
      </c>
      <c r="D271" s="116" t="s">
        <v>1002</v>
      </c>
      <c r="E271" s="117">
        <v>33200000000</v>
      </c>
      <c r="F271" s="117"/>
      <c r="G271" s="117"/>
      <c r="H271" s="117"/>
      <c r="I271" s="117"/>
      <c r="J271" s="118">
        <f t="shared" si="145"/>
        <v>0</v>
      </c>
      <c r="K271" s="117"/>
      <c r="L271" s="117">
        <f t="shared" si="146"/>
        <v>0</v>
      </c>
      <c r="M271" s="117"/>
      <c r="N271" s="117"/>
      <c r="O271" s="117"/>
      <c r="P271" s="117">
        <f t="shared" si="147"/>
        <v>0</v>
      </c>
      <c r="Q271" s="117">
        <v>9500000000</v>
      </c>
      <c r="R271" s="117">
        <f t="shared" si="148"/>
        <v>8822269894</v>
      </c>
      <c r="S271" s="117">
        <v>8102495214</v>
      </c>
      <c r="T271" s="119">
        <v>719774680</v>
      </c>
      <c r="U271" s="117"/>
      <c r="V271" s="117">
        <f t="shared" si="149"/>
        <v>677730106</v>
      </c>
      <c r="W271" s="117">
        <f t="shared" si="150"/>
        <v>8102495214</v>
      </c>
      <c r="X271" s="117">
        <f t="shared" si="151"/>
        <v>719774680</v>
      </c>
      <c r="Y271" s="117">
        <f t="shared" si="152"/>
        <v>8822269894</v>
      </c>
      <c r="Z271" s="204">
        <f t="shared" si="153"/>
        <v>0</v>
      </c>
    </row>
    <row r="272" spans="1:26" s="113" customFormat="1">
      <c r="A272" s="114" t="s">
        <v>571</v>
      </c>
      <c r="B272" s="115" t="s">
        <v>1003</v>
      </c>
      <c r="C272" s="116" t="s">
        <v>457</v>
      </c>
      <c r="D272" s="116" t="s">
        <v>1004</v>
      </c>
      <c r="E272" s="117">
        <v>6453829757</v>
      </c>
      <c r="F272" s="117"/>
      <c r="G272" s="117"/>
      <c r="H272" s="117"/>
      <c r="I272" s="117"/>
      <c r="J272" s="118">
        <f t="shared" si="145"/>
        <v>0</v>
      </c>
      <c r="K272" s="117"/>
      <c r="L272" s="117">
        <f t="shared" si="146"/>
        <v>0</v>
      </c>
      <c r="M272" s="117"/>
      <c r="N272" s="117"/>
      <c r="O272" s="117"/>
      <c r="P272" s="117">
        <f t="shared" si="147"/>
        <v>0</v>
      </c>
      <c r="Q272" s="117">
        <v>4000000000</v>
      </c>
      <c r="R272" s="117">
        <f t="shared" si="148"/>
        <v>3047791189</v>
      </c>
      <c r="S272" s="117">
        <v>2012042189</v>
      </c>
      <c r="T272" s="119">
        <v>1035749000</v>
      </c>
      <c r="U272" s="117"/>
      <c r="V272" s="117">
        <f t="shared" si="149"/>
        <v>952208811</v>
      </c>
      <c r="W272" s="117">
        <f t="shared" si="150"/>
        <v>2012042189</v>
      </c>
      <c r="X272" s="117">
        <f t="shared" si="151"/>
        <v>1035749000</v>
      </c>
      <c r="Y272" s="117">
        <f t="shared" si="152"/>
        <v>3047791189</v>
      </c>
      <c r="Z272" s="204">
        <f t="shared" si="153"/>
        <v>0</v>
      </c>
    </row>
    <row r="273" spans="1:26" s="113" customFormat="1">
      <c r="A273" s="114" t="s">
        <v>574</v>
      </c>
      <c r="B273" s="115" t="s">
        <v>1005</v>
      </c>
      <c r="C273" s="116" t="s">
        <v>457</v>
      </c>
      <c r="D273" s="116" t="s">
        <v>1006</v>
      </c>
      <c r="E273" s="117">
        <v>35196000000</v>
      </c>
      <c r="F273" s="117"/>
      <c r="G273" s="117"/>
      <c r="H273" s="117"/>
      <c r="I273" s="117"/>
      <c r="J273" s="118">
        <f t="shared" si="145"/>
        <v>0</v>
      </c>
      <c r="K273" s="117"/>
      <c r="L273" s="117">
        <f t="shared" si="146"/>
        <v>0</v>
      </c>
      <c r="M273" s="117"/>
      <c r="N273" s="117"/>
      <c r="O273" s="117"/>
      <c r="P273" s="117">
        <f t="shared" si="147"/>
        <v>0</v>
      </c>
      <c r="Q273" s="117">
        <v>16000000000</v>
      </c>
      <c r="R273" s="117">
        <f t="shared" si="148"/>
        <v>16000000000</v>
      </c>
      <c r="S273" s="117">
        <v>12443827491</v>
      </c>
      <c r="T273" s="119">
        <v>3556172509</v>
      </c>
      <c r="U273" s="117"/>
      <c r="V273" s="117">
        <f t="shared" si="149"/>
        <v>0</v>
      </c>
      <c r="W273" s="117">
        <f t="shared" si="150"/>
        <v>12443827491</v>
      </c>
      <c r="X273" s="117">
        <f t="shared" si="151"/>
        <v>3556172509</v>
      </c>
      <c r="Y273" s="117">
        <f t="shared" si="152"/>
        <v>16000000000</v>
      </c>
      <c r="Z273" s="204">
        <f t="shared" si="153"/>
        <v>0</v>
      </c>
    </row>
    <row r="274" spans="1:26" s="113" customFormat="1" ht="24">
      <c r="A274" s="114" t="s">
        <v>577</v>
      </c>
      <c r="B274" s="115" t="s">
        <v>1007</v>
      </c>
      <c r="C274" s="116" t="s">
        <v>457</v>
      </c>
      <c r="D274" s="116" t="s">
        <v>1008</v>
      </c>
      <c r="E274" s="117">
        <v>14027000000</v>
      </c>
      <c r="F274" s="117"/>
      <c r="G274" s="117"/>
      <c r="H274" s="117"/>
      <c r="I274" s="117"/>
      <c r="J274" s="118">
        <f t="shared" si="145"/>
        <v>0</v>
      </c>
      <c r="K274" s="117"/>
      <c r="L274" s="117">
        <f t="shared" si="146"/>
        <v>0</v>
      </c>
      <c r="M274" s="117"/>
      <c r="N274" s="117"/>
      <c r="O274" s="117"/>
      <c r="P274" s="117">
        <f t="shared" si="147"/>
        <v>0</v>
      </c>
      <c r="Q274" s="117">
        <v>6000000000</v>
      </c>
      <c r="R274" s="117">
        <f t="shared" si="148"/>
        <v>5999999760</v>
      </c>
      <c r="S274" s="117">
        <v>3080608000</v>
      </c>
      <c r="T274" s="119">
        <v>2919391760</v>
      </c>
      <c r="U274" s="117"/>
      <c r="V274" s="117">
        <f t="shared" si="149"/>
        <v>240</v>
      </c>
      <c r="W274" s="117">
        <f t="shared" si="150"/>
        <v>3080608000</v>
      </c>
      <c r="X274" s="117">
        <f t="shared" si="151"/>
        <v>2919391760</v>
      </c>
      <c r="Y274" s="117">
        <f t="shared" si="152"/>
        <v>5999999760</v>
      </c>
      <c r="Z274" s="204">
        <f t="shared" si="153"/>
        <v>0</v>
      </c>
    </row>
    <row r="275" spans="1:26" s="113" customFormat="1">
      <c r="A275" s="114" t="s">
        <v>656</v>
      </c>
      <c r="B275" s="115" t="s">
        <v>1009</v>
      </c>
      <c r="C275" s="116" t="s">
        <v>457</v>
      </c>
      <c r="D275" s="116" t="s">
        <v>1010</v>
      </c>
      <c r="E275" s="117">
        <v>11377000000</v>
      </c>
      <c r="F275" s="117"/>
      <c r="G275" s="117"/>
      <c r="H275" s="117"/>
      <c r="I275" s="117"/>
      <c r="J275" s="118">
        <f t="shared" si="145"/>
        <v>0</v>
      </c>
      <c r="K275" s="117"/>
      <c r="L275" s="117">
        <f t="shared" si="146"/>
        <v>0</v>
      </c>
      <c r="M275" s="117"/>
      <c r="N275" s="117"/>
      <c r="O275" s="117"/>
      <c r="P275" s="117">
        <f t="shared" si="147"/>
        <v>0</v>
      </c>
      <c r="Q275" s="117">
        <v>4500000000</v>
      </c>
      <c r="R275" s="117">
        <f t="shared" si="148"/>
        <v>4500000000</v>
      </c>
      <c r="S275" s="117">
        <v>359785000</v>
      </c>
      <c r="T275" s="119">
        <v>4140215000</v>
      </c>
      <c r="U275" s="117"/>
      <c r="V275" s="117">
        <f t="shared" si="149"/>
        <v>0</v>
      </c>
      <c r="W275" s="117">
        <f t="shared" si="150"/>
        <v>359785000</v>
      </c>
      <c r="X275" s="117">
        <f t="shared" si="151"/>
        <v>4140215000</v>
      </c>
      <c r="Y275" s="117">
        <f t="shared" si="152"/>
        <v>4500000000</v>
      </c>
      <c r="Z275" s="204">
        <f t="shared" si="153"/>
        <v>0</v>
      </c>
    </row>
    <row r="276" spans="1:26" s="113" customFormat="1">
      <c r="A276" s="114" t="s">
        <v>659</v>
      </c>
      <c r="B276" s="115" t="s">
        <v>1011</v>
      </c>
      <c r="C276" s="116" t="s">
        <v>457</v>
      </c>
      <c r="D276" s="116" t="s">
        <v>1012</v>
      </c>
      <c r="E276" s="117">
        <v>20413000000</v>
      </c>
      <c r="F276" s="117"/>
      <c r="G276" s="117"/>
      <c r="H276" s="117"/>
      <c r="I276" s="117"/>
      <c r="J276" s="118">
        <f t="shared" si="145"/>
        <v>0</v>
      </c>
      <c r="K276" s="117"/>
      <c r="L276" s="117">
        <f t="shared" si="146"/>
        <v>0</v>
      </c>
      <c r="M276" s="117"/>
      <c r="N276" s="117"/>
      <c r="O276" s="117"/>
      <c r="P276" s="117">
        <f t="shared" si="147"/>
        <v>0</v>
      </c>
      <c r="Q276" s="117">
        <v>7550000000</v>
      </c>
      <c r="R276" s="117">
        <f t="shared" si="148"/>
        <v>6761595100</v>
      </c>
      <c r="S276" s="117">
        <v>3776731300</v>
      </c>
      <c r="T276" s="119">
        <v>2984863800</v>
      </c>
      <c r="U276" s="117"/>
      <c r="V276" s="117">
        <f t="shared" si="149"/>
        <v>788404900</v>
      </c>
      <c r="W276" s="117">
        <f t="shared" si="150"/>
        <v>3776731300</v>
      </c>
      <c r="X276" s="117">
        <f t="shared" si="151"/>
        <v>2984863800</v>
      </c>
      <c r="Y276" s="117">
        <f t="shared" si="152"/>
        <v>6761595100</v>
      </c>
      <c r="Z276" s="204">
        <f t="shared" si="153"/>
        <v>0</v>
      </c>
    </row>
    <row r="277" spans="1:26" s="113" customFormat="1">
      <c r="A277" s="114" t="s">
        <v>662</v>
      </c>
      <c r="B277" s="115" t="s">
        <v>1013</v>
      </c>
      <c r="C277" s="116" t="s">
        <v>457</v>
      </c>
      <c r="D277" s="116" t="s">
        <v>1014</v>
      </c>
      <c r="E277" s="117">
        <v>48012999000</v>
      </c>
      <c r="F277" s="117"/>
      <c r="G277" s="117"/>
      <c r="H277" s="117"/>
      <c r="I277" s="117"/>
      <c r="J277" s="118">
        <f t="shared" si="145"/>
        <v>0</v>
      </c>
      <c r="K277" s="117"/>
      <c r="L277" s="117">
        <f t="shared" si="146"/>
        <v>0</v>
      </c>
      <c r="M277" s="117"/>
      <c r="N277" s="117"/>
      <c r="O277" s="117"/>
      <c r="P277" s="117">
        <f t="shared" si="147"/>
        <v>0</v>
      </c>
      <c r="Q277" s="117">
        <v>10000000000</v>
      </c>
      <c r="R277" s="117">
        <f t="shared" si="148"/>
        <v>10000000000</v>
      </c>
      <c r="S277" s="117">
        <v>10000000000</v>
      </c>
      <c r="T277" s="119"/>
      <c r="U277" s="117"/>
      <c r="V277" s="117">
        <f t="shared" si="149"/>
        <v>0</v>
      </c>
      <c r="W277" s="117">
        <f t="shared" si="150"/>
        <v>10000000000</v>
      </c>
      <c r="X277" s="117">
        <f t="shared" si="151"/>
        <v>0</v>
      </c>
      <c r="Y277" s="117">
        <f t="shared" si="152"/>
        <v>10000000000</v>
      </c>
      <c r="Z277" s="204">
        <f t="shared" si="153"/>
        <v>0</v>
      </c>
    </row>
    <row r="278" spans="1:26" s="113" customFormat="1" ht="24">
      <c r="A278" s="114" t="s">
        <v>665</v>
      </c>
      <c r="B278" s="115" t="s">
        <v>1015</v>
      </c>
      <c r="C278" s="116" t="s">
        <v>457</v>
      </c>
      <c r="D278" s="116" t="s">
        <v>1016</v>
      </c>
      <c r="E278" s="117">
        <v>17552998000</v>
      </c>
      <c r="F278" s="117"/>
      <c r="G278" s="117"/>
      <c r="H278" s="117"/>
      <c r="I278" s="117"/>
      <c r="J278" s="118">
        <f t="shared" si="145"/>
        <v>0</v>
      </c>
      <c r="K278" s="117"/>
      <c r="L278" s="117">
        <f t="shared" si="146"/>
        <v>0</v>
      </c>
      <c r="M278" s="117"/>
      <c r="N278" s="117"/>
      <c r="O278" s="117"/>
      <c r="P278" s="117">
        <f t="shared" si="147"/>
        <v>0</v>
      </c>
      <c r="Q278" s="117">
        <v>6000000000</v>
      </c>
      <c r="R278" s="117">
        <f t="shared" si="148"/>
        <v>6000000000</v>
      </c>
      <c r="S278" s="117">
        <v>2475068000</v>
      </c>
      <c r="T278" s="119">
        <v>3524932000</v>
      </c>
      <c r="U278" s="117"/>
      <c r="V278" s="117">
        <f t="shared" si="149"/>
        <v>0</v>
      </c>
      <c r="W278" s="117">
        <f t="shared" si="150"/>
        <v>2475068000</v>
      </c>
      <c r="X278" s="117">
        <f t="shared" si="151"/>
        <v>3524932000</v>
      </c>
      <c r="Y278" s="117">
        <f t="shared" si="152"/>
        <v>6000000000</v>
      </c>
      <c r="Z278" s="204">
        <f t="shared" si="153"/>
        <v>0</v>
      </c>
    </row>
    <row r="279" spans="1:26" s="113" customFormat="1" ht="24">
      <c r="A279" s="114" t="s">
        <v>668</v>
      </c>
      <c r="B279" s="115" t="s">
        <v>1017</v>
      </c>
      <c r="C279" s="116" t="s">
        <v>457</v>
      </c>
      <c r="D279" s="116" t="s">
        <v>1018</v>
      </c>
      <c r="E279" s="117">
        <v>3996000000</v>
      </c>
      <c r="F279" s="117"/>
      <c r="G279" s="117"/>
      <c r="H279" s="117"/>
      <c r="I279" s="117"/>
      <c r="J279" s="118">
        <f t="shared" si="145"/>
        <v>0</v>
      </c>
      <c r="K279" s="117"/>
      <c r="L279" s="117">
        <f t="shared" si="146"/>
        <v>0</v>
      </c>
      <c r="M279" s="117"/>
      <c r="N279" s="117"/>
      <c r="O279" s="117"/>
      <c r="P279" s="117">
        <f t="shared" si="147"/>
        <v>0</v>
      </c>
      <c r="Q279" s="117">
        <v>2500000000</v>
      </c>
      <c r="R279" s="117">
        <f t="shared" si="148"/>
        <v>2500000000</v>
      </c>
      <c r="S279" s="117">
        <v>1226599542</v>
      </c>
      <c r="T279" s="119">
        <v>1273400458</v>
      </c>
      <c r="U279" s="117"/>
      <c r="V279" s="117">
        <f t="shared" si="149"/>
        <v>0</v>
      </c>
      <c r="W279" s="117">
        <f t="shared" si="150"/>
        <v>1226599542</v>
      </c>
      <c r="X279" s="117">
        <f t="shared" si="151"/>
        <v>1273400458</v>
      </c>
      <c r="Y279" s="117">
        <f t="shared" si="152"/>
        <v>2500000000</v>
      </c>
      <c r="Z279" s="204">
        <f t="shared" si="153"/>
        <v>0</v>
      </c>
    </row>
    <row r="280" spans="1:26" s="113" customFormat="1">
      <c r="A280" s="114" t="s">
        <v>671</v>
      </c>
      <c r="B280" s="115" t="s">
        <v>1019</v>
      </c>
      <c r="C280" s="116" t="s">
        <v>457</v>
      </c>
      <c r="D280" s="116" t="s">
        <v>1020</v>
      </c>
      <c r="E280" s="117">
        <v>7244000000</v>
      </c>
      <c r="F280" s="117"/>
      <c r="G280" s="117"/>
      <c r="H280" s="117"/>
      <c r="I280" s="117"/>
      <c r="J280" s="118">
        <f t="shared" si="145"/>
        <v>0</v>
      </c>
      <c r="K280" s="117"/>
      <c r="L280" s="117">
        <f t="shared" si="146"/>
        <v>0</v>
      </c>
      <c r="M280" s="117"/>
      <c r="N280" s="117"/>
      <c r="O280" s="117"/>
      <c r="P280" s="117">
        <f t="shared" si="147"/>
        <v>0</v>
      </c>
      <c r="Q280" s="117">
        <v>3000000000</v>
      </c>
      <c r="R280" s="117">
        <f t="shared" si="148"/>
        <v>3000000000</v>
      </c>
      <c r="S280" s="117">
        <v>3000000000</v>
      </c>
      <c r="T280" s="119"/>
      <c r="U280" s="117"/>
      <c r="V280" s="117">
        <f t="shared" si="149"/>
        <v>0</v>
      </c>
      <c r="W280" s="117">
        <f t="shared" si="150"/>
        <v>3000000000</v>
      </c>
      <c r="X280" s="117">
        <f t="shared" si="151"/>
        <v>0</v>
      </c>
      <c r="Y280" s="117">
        <f t="shared" si="152"/>
        <v>3000000000</v>
      </c>
      <c r="Z280" s="204">
        <f t="shared" si="153"/>
        <v>0</v>
      </c>
    </row>
    <row r="281" spans="1:26" s="113" customFormat="1">
      <c r="A281" s="114" t="s">
        <v>674</v>
      </c>
      <c r="B281" s="115" t="s">
        <v>1021</v>
      </c>
      <c r="C281" s="116" t="s">
        <v>457</v>
      </c>
      <c r="D281" s="116" t="s">
        <v>1022</v>
      </c>
      <c r="E281" s="117">
        <v>7285000000</v>
      </c>
      <c r="F281" s="117"/>
      <c r="G281" s="117"/>
      <c r="H281" s="117"/>
      <c r="I281" s="117"/>
      <c r="J281" s="118">
        <f t="shared" si="145"/>
        <v>0</v>
      </c>
      <c r="K281" s="117"/>
      <c r="L281" s="117">
        <f t="shared" si="146"/>
        <v>0</v>
      </c>
      <c r="M281" s="117"/>
      <c r="N281" s="117"/>
      <c r="O281" s="117"/>
      <c r="P281" s="117">
        <f t="shared" si="147"/>
        <v>0</v>
      </c>
      <c r="Q281" s="117">
        <v>3000000000</v>
      </c>
      <c r="R281" s="117">
        <f t="shared" si="148"/>
        <v>3000000000</v>
      </c>
      <c r="S281" s="117">
        <v>67531000</v>
      </c>
      <c r="T281" s="119">
        <v>2932469000</v>
      </c>
      <c r="U281" s="117"/>
      <c r="V281" s="117">
        <f t="shared" si="149"/>
        <v>0</v>
      </c>
      <c r="W281" s="117">
        <f t="shared" si="150"/>
        <v>67531000</v>
      </c>
      <c r="X281" s="117">
        <f t="shared" si="151"/>
        <v>2932469000</v>
      </c>
      <c r="Y281" s="117">
        <f t="shared" si="152"/>
        <v>3000000000</v>
      </c>
      <c r="Z281" s="204">
        <f t="shared" si="153"/>
        <v>0</v>
      </c>
    </row>
    <row r="282" spans="1:26" s="113" customFormat="1" ht="24">
      <c r="A282" s="114" t="s">
        <v>749</v>
      </c>
      <c r="B282" s="115" t="s">
        <v>1023</v>
      </c>
      <c r="C282" s="116" t="s">
        <v>457</v>
      </c>
      <c r="D282" s="116" t="s">
        <v>1024</v>
      </c>
      <c r="E282" s="117">
        <v>3523000000</v>
      </c>
      <c r="F282" s="117"/>
      <c r="G282" s="117"/>
      <c r="H282" s="117"/>
      <c r="I282" s="117"/>
      <c r="J282" s="118">
        <f t="shared" si="145"/>
        <v>0</v>
      </c>
      <c r="K282" s="117"/>
      <c r="L282" s="117">
        <f t="shared" si="146"/>
        <v>0</v>
      </c>
      <c r="M282" s="117"/>
      <c r="N282" s="117"/>
      <c r="O282" s="117"/>
      <c r="P282" s="117">
        <f t="shared" si="147"/>
        <v>0</v>
      </c>
      <c r="Q282" s="117">
        <v>3250000000</v>
      </c>
      <c r="R282" s="117">
        <f t="shared" si="148"/>
        <v>2166440000</v>
      </c>
      <c r="S282" s="117">
        <v>2166440000</v>
      </c>
      <c r="T282" s="119"/>
      <c r="U282" s="117"/>
      <c r="V282" s="117">
        <f t="shared" si="149"/>
        <v>1083560000</v>
      </c>
      <c r="W282" s="117">
        <f t="shared" si="150"/>
        <v>2166440000</v>
      </c>
      <c r="X282" s="117">
        <f t="shared" si="151"/>
        <v>0</v>
      </c>
      <c r="Y282" s="117">
        <f t="shared" si="152"/>
        <v>2166440000</v>
      </c>
      <c r="Z282" s="204">
        <f t="shared" si="153"/>
        <v>0</v>
      </c>
    </row>
    <row r="283" spans="1:26" s="113" customFormat="1" ht="24">
      <c r="A283" s="114" t="s">
        <v>752</v>
      </c>
      <c r="B283" s="115" t="s">
        <v>1025</v>
      </c>
      <c r="C283" s="116" t="s">
        <v>457</v>
      </c>
      <c r="D283" s="116" t="s">
        <v>1026</v>
      </c>
      <c r="E283" s="117">
        <v>14596000000</v>
      </c>
      <c r="F283" s="117"/>
      <c r="G283" s="117"/>
      <c r="H283" s="117"/>
      <c r="I283" s="117"/>
      <c r="J283" s="118">
        <f t="shared" si="145"/>
        <v>0</v>
      </c>
      <c r="K283" s="117"/>
      <c r="L283" s="117">
        <f t="shared" si="146"/>
        <v>0</v>
      </c>
      <c r="M283" s="117"/>
      <c r="N283" s="117"/>
      <c r="O283" s="117"/>
      <c r="P283" s="117">
        <f t="shared" si="147"/>
        <v>0</v>
      </c>
      <c r="Q283" s="117">
        <v>5000000000</v>
      </c>
      <c r="R283" s="117">
        <f t="shared" si="148"/>
        <v>5000000000</v>
      </c>
      <c r="S283" s="117">
        <v>1858038000</v>
      </c>
      <c r="T283" s="119">
        <v>3141962000</v>
      </c>
      <c r="U283" s="117"/>
      <c r="V283" s="117">
        <f t="shared" si="149"/>
        <v>0</v>
      </c>
      <c r="W283" s="117">
        <f t="shared" si="150"/>
        <v>1858038000</v>
      </c>
      <c r="X283" s="117">
        <f t="shared" si="151"/>
        <v>3141962000</v>
      </c>
      <c r="Y283" s="117">
        <f t="shared" si="152"/>
        <v>5000000000</v>
      </c>
      <c r="Z283" s="204">
        <f t="shared" si="153"/>
        <v>0</v>
      </c>
    </row>
    <row r="284" spans="1:26" s="113" customFormat="1">
      <c r="A284" s="114" t="s">
        <v>755</v>
      </c>
      <c r="B284" s="115" t="s">
        <v>1027</v>
      </c>
      <c r="C284" s="116" t="s">
        <v>457</v>
      </c>
      <c r="D284" s="116" t="s">
        <v>1028</v>
      </c>
      <c r="E284" s="117">
        <v>13066000000</v>
      </c>
      <c r="F284" s="117"/>
      <c r="G284" s="117"/>
      <c r="H284" s="117"/>
      <c r="I284" s="117"/>
      <c r="J284" s="118">
        <f t="shared" si="145"/>
        <v>0</v>
      </c>
      <c r="K284" s="117"/>
      <c r="L284" s="117">
        <f t="shared" si="146"/>
        <v>0</v>
      </c>
      <c r="M284" s="117"/>
      <c r="N284" s="117"/>
      <c r="O284" s="117"/>
      <c r="P284" s="117">
        <f t="shared" si="147"/>
        <v>0</v>
      </c>
      <c r="Q284" s="117">
        <v>5000000000</v>
      </c>
      <c r="R284" s="117">
        <f t="shared" si="148"/>
        <v>5000000000</v>
      </c>
      <c r="S284" s="117">
        <v>2202000000</v>
      </c>
      <c r="T284" s="119">
        <v>2798000000</v>
      </c>
      <c r="U284" s="117"/>
      <c r="V284" s="117">
        <f t="shared" si="149"/>
        <v>0</v>
      </c>
      <c r="W284" s="117">
        <f t="shared" si="150"/>
        <v>2202000000</v>
      </c>
      <c r="X284" s="117">
        <f t="shared" si="151"/>
        <v>2798000000</v>
      </c>
      <c r="Y284" s="117">
        <f t="shared" si="152"/>
        <v>5000000000</v>
      </c>
      <c r="Z284" s="204">
        <f t="shared" si="153"/>
        <v>0</v>
      </c>
    </row>
    <row r="285" spans="1:26" s="113" customFormat="1">
      <c r="A285" s="114" t="s">
        <v>758</v>
      </c>
      <c r="B285" s="115" t="s">
        <v>1029</v>
      </c>
      <c r="C285" s="116" t="s">
        <v>457</v>
      </c>
      <c r="D285" s="116" t="s">
        <v>1030</v>
      </c>
      <c r="E285" s="117">
        <v>6338000000</v>
      </c>
      <c r="F285" s="117"/>
      <c r="G285" s="117"/>
      <c r="H285" s="117"/>
      <c r="I285" s="117"/>
      <c r="J285" s="118">
        <f t="shared" si="145"/>
        <v>0</v>
      </c>
      <c r="K285" s="117"/>
      <c r="L285" s="117">
        <f t="shared" si="146"/>
        <v>0</v>
      </c>
      <c r="M285" s="117"/>
      <c r="N285" s="117"/>
      <c r="O285" s="117"/>
      <c r="P285" s="117">
        <f t="shared" si="147"/>
        <v>0</v>
      </c>
      <c r="Q285" s="117">
        <v>5230000000</v>
      </c>
      <c r="R285" s="117">
        <f t="shared" si="148"/>
        <v>4932114303</v>
      </c>
      <c r="S285" s="117">
        <v>4930821464</v>
      </c>
      <c r="T285" s="119">
        <v>1292839</v>
      </c>
      <c r="U285" s="117"/>
      <c r="V285" s="117">
        <f t="shared" si="149"/>
        <v>297885697</v>
      </c>
      <c r="W285" s="117">
        <f t="shared" si="150"/>
        <v>4930821464</v>
      </c>
      <c r="X285" s="117">
        <f t="shared" si="151"/>
        <v>1292839</v>
      </c>
      <c r="Y285" s="117">
        <f t="shared" si="152"/>
        <v>4932114303</v>
      </c>
      <c r="Z285" s="204">
        <f t="shared" si="153"/>
        <v>0</v>
      </c>
    </row>
    <row r="286" spans="1:26" s="113" customFormat="1">
      <c r="A286" s="114" t="s">
        <v>761</v>
      </c>
      <c r="B286" s="115" t="s">
        <v>1031</v>
      </c>
      <c r="C286" s="116" t="s">
        <v>457</v>
      </c>
      <c r="D286" s="116" t="s">
        <v>1032</v>
      </c>
      <c r="E286" s="117">
        <v>12638000000</v>
      </c>
      <c r="F286" s="117"/>
      <c r="G286" s="117"/>
      <c r="H286" s="117"/>
      <c r="I286" s="117"/>
      <c r="J286" s="118">
        <f t="shared" si="145"/>
        <v>0</v>
      </c>
      <c r="K286" s="117"/>
      <c r="L286" s="117">
        <f t="shared" si="146"/>
        <v>0</v>
      </c>
      <c r="M286" s="117"/>
      <c r="N286" s="117"/>
      <c r="O286" s="117"/>
      <c r="P286" s="117">
        <f t="shared" si="147"/>
        <v>0</v>
      </c>
      <c r="Q286" s="117">
        <v>6132000000</v>
      </c>
      <c r="R286" s="117">
        <f t="shared" si="148"/>
        <v>6132000000</v>
      </c>
      <c r="S286" s="117">
        <v>4099400000</v>
      </c>
      <c r="T286" s="119">
        <v>2032600000</v>
      </c>
      <c r="U286" s="117"/>
      <c r="V286" s="117">
        <f t="shared" si="149"/>
        <v>0</v>
      </c>
      <c r="W286" s="117">
        <f t="shared" si="150"/>
        <v>4099400000</v>
      </c>
      <c r="X286" s="117">
        <f t="shared" si="151"/>
        <v>2032600000</v>
      </c>
      <c r="Y286" s="117">
        <f t="shared" si="152"/>
        <v>6132000000</v>
      </c>
      <c r="Z286" s="204">
        <f t="shared" si="153"/>
        <v>0</v>
      </c>
    </row>
    <row r="287" spans="1:26" s="113" customFormat="1" ht="24">
      <c r="A287" s="114" t="s">
        <v>764</v>
      </c>
      <c r="B287" s="115" t="s">
        <v>1033</v>
      </c>
      <c r="C287" s="116" t="s">
        <v>457</v>
      </c>
      <c r="D287" s="116" t="s">
        <v>1034</v>
      </c>
      <c r="E287" s="117">
        <v>5619000000</v>
      </c>
      <c r="F287" s="117"/>
      <c r="G287" s="117"/>
      <c r="H287" s="117"/>
      <c r="I287" s="117"/>
      <c r="J287" s="118">
        <f t="shared" si="145"/>
        <v>0</v>
      </c>
      <c r="K287" s="117"/>
      <c r="L287" s="117">
        <f t="shared" si="146"/>
        <v>0</v>
      </c>
      <c r="M287" s="117"/>
      <c r="N287" s="117"/>
      <c r="O287" s="117"/>
      <c r="P287" s="117">
        <f t="shared" si="147"/>
        <v>0</v>
      </c>
      <c r="Q287" s="117">
        <v>3500000000</v>
      </c>
      <c r="R287" s="117">
        <f t="shared" si="148"/>
        <v>3393810000</v>
      </c>
      <c r="S287" s="117">
        <v>3335336000</v>
      </c>
      <c r="T287" s="119">
        <v>58474000</v>
      </c>
      <c r="U287" s="117"/>
      <c r="V287" s="117">
        <f t="shared" si="149"/>
        <v>106190000</v>
      </c>
      <c r="W287" s="117">
        <f t="shared" si="150"/>
        <v>3335336000</v>
      </c>
      <c r="X287" s="117">
        <f t="shared" si="151"/>
        <v>58474000</v>
      </c>
      <c r="Y287" s="117">
        <f t="shared" si="152"/>
        <v>3393810000</v>
      </c>
      <c r="Z287" s="204">
        <f t="shared" si="153"/>
        <v>0</v>
      </c>
    </row>
    <row r="288" spans="1:26" s="113" customFormat="1" ht="24">
      <c r="A288" s="114" t="s">
        <v>767</v>
      </c>
      <c r="B288" s="115" t="s">
        <v>1035</v>
      </c>
      <c r="C288" s="116" t="s">
        <v>457</v>
      </c>
      <c r="D288" s="116" t="s">
        <v>1036</v>
      </c>
      <c r="E288" s="117">
        <v>7881000000</v>
      </c>
      <c r="F288" s="117"/>
      <c r="G288" s="117"/>
      <c r="H288" s="117"/>
      <c r="I288" s="117"/>
      <c r="J288" s="118">
        <f t="shared" si="145"/>
        <v>0</v>
      </c>
      <c r="K288" s="117"/>
      <c r="L288" s="117">
        <f t="shared" si="146"/>
        <v>0</v>
      </c>
      <c r="M288" s="117"/>
      <c r="N288" s="117"/>
      <c r="O288" s="117"/>
      <c r="P288" s="117">
        <f t="shared" si="147"/>
        <v>0</v>
      </c>
      <c r="Q288" s="117">
        <v>3500000000</v>
      </c>
      <c r="R288" s="117">
        <f t="shared" si="148"/>
        <v>3500000000</v>
      </c>
      <c r="S288" s="117">
        <v>2468112000</v>
      </c>
      <c r="T288" s="119">
        <v>1031888000</v>
      </c>
      <c r="U288" s="117"/>
      <c r="V288" s="117">
        <f t="shared" si="149"/>
        <v>0</v>
      </c>
      <c r="W288" s="117">
        <f t="shared" si="150"/>
        <v>2468112000</v>
      </c>
      <c r="X288" s="117">
        <f t="shared" si="151"/>
        <v>1031888000</v>
      </c>
      <c r="Y288" s="117">
        <f t="shared" si="152"/>
        <v>3500000000</v>
      </c>
      <c r="Z288" s="204">
        <f t="shared" si="153"/>
        <v>0</v>
      </c>
    </row>
    <row r="289" spans="1:26" s="113" customFormat="1" ht="24">
      <c r="A289" s="114" t="s">
        <v>770</v>
      </c>
      <c r="B289" s="115" t="s">
        <v>1037</v>
      </c>
      <c r="C289" s="116" t="s">
        <v>457</v>
      </c>
      <c r="D289" s="116" t="s">
        <v>1038</v>
      </c>
      <c r="E289" s="117">
        <v>10848000000</v>
      </c>
      <c r="F289" s="117"/>
      <c r="G289" s="117"/>
      <c r="H289" s="117"/>
      <c r="I289" s="117"/>
      <c r="J289" s="118">
        <f t="shared" si="145"/>
        <v>0</v>
      </c>
      <c r="K289" s="117"/>
      <c r="L289" s="117">
        <f t="shared" si="146"/>
        <v>0</v>
      </c>
      <c r="M289" s="117"/>
      <c r="N289" s="117"/>
      <c r="O289" s="117"/>
      <c r="P289" s="117">
        <f t="shared" si="147"/>
        <v>0</v>
      </c>
      <c r="Q289" s="117">
        <v>2000000000</v>
      </c>
      <c r="R289" s="117">
        <f t="shared" si="148"/>
        <v>2000000000</v>
      </c>
      <c r="S289" s="117">
        <v>643626240</v>
      </c>
      <c r="T289" s="119">
        <v>1356373760</v>
      </c>
      <c r="U289" s="117"/>
      <c r="V289" s="117">
        <f t="shared" si="149"/>
        <v>0</v>
      </c>
      <c r="W289" s="117">
        <f t="shared" si="150"/>
        <v>643626240</v>
      </c>
      <c r="X289" s="117">
        <f t="shared" si="151"/>
        <v>1356373760</v>
      </c>
      <c r="Y289" s="117">
        <f t="shared" si="152"/>
        <v>2000000000</v>
      </c>
      <c r="Z289" s="204">
        <f t="shared" si="153"/>
        <v>0</v>
      </c>
    </row>
    <row r="290" spans="1:26" s="113" customFormat="1" ht="24">
      <c r="A290" s="114" t="s">
        <v>773</v>
      </c>
      <c r="B290" s="115" t="s">
        <v>1039</v>
      </c>
      <c r="C290" s="116" t="s">
        <v>457</v>
      </c>
      <c r="D290" s="116" t="s">
        <v>1040</v>
      </c>
      <c r="E290" s="117">
        <v>9135000000</v>
      </c>
      <c r="F290" s="117"/>
      <c r="G290" s="117"/>
      <c r="H290" s="117"/>
      <c r="I290" s="117"/>
      <c r="J290" s="118">
        <f t="shared" si="145"/>
        <v>0</v>
      </c>
      <c r="K290" s="117"/>
      <c r="L290" s="117">
        <f t="shared" si="146"/>
        <v>0</v>
      </c>
      <c r="M290" s="117"/>
      <c r="N290" s="117"/>
      <c r="O290" s="117"/>
      <c r="P290" s="117">
        <f t="shared" si="147"/>
        <v>0</v>
      </c>
      <c r="Q290" s="117">
        <v>3700000000</v>
      </c>
      <c r="R290" s="117">
        <f t="shared" si="148"/>
        <v>3700000000</v>
      </c>
      <c r="S290" s="117">
        <v>2818680000</v>
      </c>
      <c r="T290" s="119">
        <v>881320000</v>
      </c>
      <c r="U290" s="117"/>
      <c r="V290" s="117">
        <f t="shared" si="149"/>
        <v>0</v>
      </c>
      <c r="W290" s="117">
        <f t="shared" si="150"/>
        <v>2818680000</v>
      </c>
      <c r="X290" s="117">
        <f t="shared" si="151"/>
        <v>881320000</v>
      </c>
      <c r="Y290" s="117">
        <f t="shared" si="152"/>
        <v>3700000000</v>
      </c>
      <c r="Z290" s="204">
        <f t="shared" si="153"/>
        <v>0</v>
      </c>
    </row>
    <row r="291" spans="1:26" s="113" customFormat="1">
      <c r="A291" s="114" t="s">
        <v>776</v>
      </c>
      <c r="B291" s="115" t="s">
        <v>1041</v>
      </c>
      <c r="C291" s="116" t="s">
        <v>457</v>
      </c>
      <c r="D291" s="116" t="s">
        <v>1042</v>
      </c>
      <c r="E291" s="117">
        <v>23911000000</v>
      </c>
      <c r="F291" s="117"/>
      <c r="G291" s="117"/>
      <c r="H291" s="117"/>
      <c r="I291" s="117"/>
      <c r="J291" s="118">
        <f t="shared" si="145"/>
        <v>0</v>
      </c>
      <c r="K291" s="117"/>
      <c r="L291" s="117">
        <f t="shared" si="146"/>
        <v>0</v>
      </c>
      <c r="M291" s="117"/>
      <c r="N291" s="117"/>
      <c r="O291" s="117"/>
      <c r="P291" s="117">
        <f t="shared" si="147"/>
        <v>0</v>
      </c>
      <c r="Q291" s="117">
        <v>11000000000</v>
      </c>
      <c r="R291" s="117">
        <f t="shared" si="148"/>
        <v>11000000000</v>
      </c>
      <c r="S291" s="117">
        <v>9388148000</v>
      </c>
      <c r="T291" s="119">
        <v>1611852000</v>
      </c>
      <c r="U291" s="117"/>
      <c r="V291" s="117">
        <f t="shared" si="149"/>
        <v>0</v>
      </c>
      <c r="W291" s="117">
        <f t="shared" si="150"/>
        <v>9388148000</v>
      </c>
      <c r="X291" s="117">
        <f t="shared" si="151"/>
        <v>1611852000</v>
      </c>
      <c r="Y291" s="117">
        <f t="shared" si="152"/>
        <v>11000000000</v>
      </c>
      <c r="Z291" s="204">
        <f t="shared" si="153"/>
        <v>0</v>
      </c>
    </row>
    <row r="292" spans="1:26" s="124" customFormat="1">
      <c r="A292" s="120" t="s">
        <v>192</v>
      </c>
      <c r="B292" s="121" t="s">
        <v>1043</v>
      </c>
      <c r="C292" s="122"/>
      <c r="D292" s="123" t="str">
        <f t="shared" ref="D292:P292" si="154">D293</f>
        <v>7626272</v>
      </c>
      <c r="E292" s="123">
        <f t="shared" si="154"/>
        <v>10087000000</v>
      </c>
      <c r="F292" s="123">
        <f t="shared" si="154"/>
        <v>0</v>
      </c>
      <c r="G292" s="123">
        <f t="shared" si="154"/>
        <v>0</v>
      </c>
      <c r="H292" s="123">
        <f t="shared" si="154"/>
        <v>0</v>
      </c>
      <c r="I292" s="123">
        <f t="shared" si="154"/>
        <v>0</v>
      </c>
      <c r="J292" s="123">
        <f t="shared" si="154"/>
        <v>0</v>
      </c>
      <c r="K292" s="123">
        <f t="shared" si="154"/>
        <v>0</v>
      </c>
      <c r="L292" s="123">
        <f t="shared" si="154"/>
        <v>0</v>
      </c>
      <c r="M292" s="123">
        <f t="shared" si="154"/>
        <v>0</v>
      </c>
      <c r="N292" s="123">
        <f t="shared" si="154"/>
        <v>0</v>
      </c>
      <c r="O292" s="123">
        <f t="shared" si="154"/>
        <v>0</v>
      </c>
      <c r="P292" s="123">
        <f t="shared" si="154"/>
        <v>0</v>
      </c>
      <c r="Q292" s="123">
        <f>Q293</f>
        <v>10000000000</v>
      </c>
      <c r="R292" s="123">
        <f t="shared" ref="R292:Y292" si="155">R293</f>
        <v>5641143000</v>
      </c>
      <c r="S292" s="123">
        <f t="shared" si="155"/>
        <v>5641143000</v>
      </c>
      <c r="T292" s="123">
        <f t="shared" si="155"/>
        <v>0</v>
      </c>
      <c r="U292" s="123">
        <f t="shared" si="155"/>
        <v>0</v>
      </c>
      <c r="V292" s="123">
        <f t="shared" si="155"/>
        <v>4358857000</v>
      </c>
      <c r="W292" s="123">
        <f t="shared" si="155"/>
        <v>5641143000</v>
      </c>
      <c r="X292" s="123">
        <f t="shared" si="155"/>
        <v>0</v>
      </c>
      <c r="Y292" s="123">
        <f t="shared" si="155"/>
        <v>5641143000</v>
      </c>
      <c r="Z292" s="204">
        <f t="shared" si="153"/>
        <v>0</v>
      </c>
    </row>
    <row r="293" spans="1:26" s="113" customFormat="1">
      <c r="A293" s="114" t="s">
        <v>455</v>
      </c>
      <c r="B293" s="115" t="s">
        <v>1044</v>
      </c>
      <c r="C293" s="116" t="s">
        <v>457</v>
      </c>
      <c r="D293" s="116" t="s">
        <v>1045</v>
      </c>
      <c r="E293" s="117">
        <v>10087000000</v>
      </c>
      <c r="F293" s="117"/>
      <c r="G293" s="117"/>
      <c r="H293" s="117"/>
      <c r="I293" s="117"/>
      <c r="J293" s="118">
        <f>G293-H293-I293+N293</f>
        <v>0</v>
      </c>
      <c r="K293" s="117"/>
      <c r="L293" s="117">
        <f>SUM(M293:N293)</f>
        <v>0</v>
      </c>
      <c r="M293" s="117"/>
      <c r="N293" s="117"/>
      <c r="O293" s="117"/>
      <c r="P293" s="117">
        <f>K293-L293-O293</f>
        <v>0</v>
      </c>
      <c r="Q293" s="117">
        <v>10000000000</v>
      </c>
      <c r="R293" s="117">
        <f>SUM(S293:T293)</f>
        <v>5641143000</v>
      </c>
      <c r="S293" s="117">
        <v>5641143000</v>
      </c>
      <c r="T293" s="117"/>
      <c r="U293" s="117"/>
      <c r="V293" s="117">
        <f>Q293-R293-U293</f>
        <v>4358857000</v>
      </c>
      <c r="W293" s="117">
        <f>SUM(I293,M293,S293)</f>
        <v>5641143000</v>
      </c>
      <c r="X293" s="117">
        <f>G293-H293-I293+N293+T293</f>
        <v>0</v>
      </c>
      <c r="Y293" s="117">
        <f>F293+L293+R293</f>
        <v>5641143000</v>
      </c>
      <c r="Z293" s="204">
        <f t="shared" si="153"/>
        <v>0</v>
      </c>
    </row>
    <row r="294" spans="1:26" s="124" customFormat="1">
      <c r="A294" s="120" t="s">
        <v>416</v>
      </c>
      <c r="B294" s="121" t="s">
        <v>1046</v>
      </c>
      <c r="C294" s="122"/>
      <c r="D294" s="123">
        <f t="shared" ref="D294:P294" si="156">SUM(D295:D355)</f>
        <v>7053037</v>
      </c>
      <c r="E294" s="123">
        <f t="shared" si="156"/>
        <v>1431757389637</v>
      </c>
      <c r="F294" s="123">
        <f t="shared" si="156"/>
        <v>191958552279</v>
      </c>
      <c r="G294" s="123">
        <f t="shared" si="156"/>
        <v>9407508722</v>
      </c>
      <c r="H294" s="123">
        <f t="shared" si="156"/>
        <v>201901000</v>
      </c>
      <c r="I294" s="123">
        <f t="shared" si="156"/>
        <v>7470846722</v>
      </c>
      <c r="J294" s="123">
        <f t="shared" si="156"/>
        <v>1903487024</v>
      </c>
      <c r="K294" s="123">
        <f t="shared" si="156"/>
        <v>37405865626</v>
      </c>
      <c r="L294" s="123">
        <f t="shared" si="156"/>
        <v>15409237585</v>
      </c>
      <c r="M294" s="123">
        <f t="shared" si="156"/>
        <v>15240511561</v>
      </c>
      <c r="N294" s="123">
        <f t="shared" si="156"/>
        <v>168726024</v>
      </c>
      <c r="O294" s="123">
        <f t="shared" si="156"/>
        <v>0</v>
      </c>
      <c r="P294" s="123">
        <f t="shared" si="156"/>
        <v>21996628041</v>
      </c>
      <c r="Q294" s="123">
        <f>SUM(Q295:Q355)</f>
        <v>17256000000</v>
      </c>
      <c r="R294" s="123">
        <f t="shared" ref="R294:Y294" si="157">SUM(R295:R355)</f>
        <v>10834593202</v>
      </c>
      <c r="S294" s="123">
        <f t="shared" si="157"/>
        <v>10834593202</v>
      </c>
      <c r="T294" s="123">
        <f t="shared" si="157"/>
        <v>0</v>
      </c>
      <c r="U294" s="123">
        <f t="shared" si="157"/>
        <v>0</v>
      </c>
      <c r="V294" s="123">
        <f t="shared" si="157"/>
        <v>3006406798</v>
      </c>
      <c r="W294" s="123">
        <f t="shared" si="157"/>
        <v>33545951485</v>
      </c>
      <c r="X294" s="123">
        <f t="shared" si="157"/>
        <v>1903487024</v>
      </c>
      <c r="Y294" s="123">
        <f t="shared" si="157"/>
        <v>218202383066</v>
      </c>
      <c r="Z294" s="204">
        <f t="shared" si="153"/>
        <v>0</v>
      </c>
    </row>
    <row r="295" spans="1:26" s="113" customFormat="1">
      <c r="A295" s="114" t="s">
        <v>455</v>
      </c>
      <c r="B295" s="115" t="s">
        <v>1047</v>
      </c>
      <c r="C295" s="116" t="s">
        <v>457</v>
      </c>
      <c r="D295" s="116" t="s">
        <v>1048</v>
      </c>
      <c r="E295" s="117">
        <v>5106000000</v>
      </c>
      <c r="F295" s="117"/>
      <c r="G295" s="117"/>
      <c r="H295" s="117"/>
      <c r="I295" s="117"/>
      <c r="J295" s="118">
        <f t="shared" ref="J295:J334" si="158">G295-H295-I295+N295</f>
        <v>0</v>
      </c>
      <c r="K295" s="117"/>
      <c r="L295" s="117">
        <f>SUM(M295:N295)</f>
        <v>0</v>
      </c>
      <c r="M295" s="117"/>
      <c r="N295" s="117"/>
      <c r="O295" s="117"/>
      <c r="P295" s="117">
        <f>K295-L295-O295</f>
        <v>0</v>
      </c>
      <c r="Q295" s="117">
        <v>17000000</v>
      </c>
      <c r="R295" s="117">
        <f t="shared" ref="R295:R334" si="159">SUM(S295:T295)</f>
        <v>16720000</v>
      </c>
      <c r="S295" s="117">
        <v>16720000</v>
      </c>
      <c r="T295" s="117"/>
      <c r="U295" s="117"/>
      <c r="V295" s="117">
        <f t="shared" ref="V295:V334" si="160">Q295-R295-U295</f>
        <v>280000</v>
      </c>
      <c r="W295" s="117">
        <f t="shared" ref="W295:W334" si="161">SUM(I295,M295,S295)</f>
        <v>16720000</v>
      </c>
      <c r="X295" s="117">
        <f t="shared" ref="X295:X334" si="162">G295-H295-I295+N295+T295</f>
        <v>0</v>
      </c>
      <c r="Y295" s="117">
        <f t="shared" ref="Y295:Y334" si="163">F295+L295+R295</f>
        <v>16720000</v>
      </c>
      <c r="Z295" s="204">
        <f t="shared" si="153"/>
        <v>0</v>
      </c>
    </row>
    <row r="296" spans="1:26" s="113" customFormat="1">
      <c r="A296" s="114" t="s">
        <v>459</v>
      </c>
      <c r="B296" s="115" t="s">
        <v>1049</v>
      </c>
      <c r="C296" s="116" t="s">
        <v>457</v>
      </c>
      <c r="D296" s="116" t="s">
        <v>1050</v>
      </c>
      <c r="E296" s="117">
        <v>18218000000</v>
      </c>
      <c r="F296" s="117"/>
      <c r="G296" s="117"/>
      <c r="H296" s="117"/>
      <c r="I296" s="117"/>
      <c r="J296" s="118">
        <f t="shared" si="158"/>
        <v>0</v>
      </c>
      <c r="K296" s="117"/>
      <c r="L296" s="117">
        <f>SUM(M296:N296)</f>
        <v>0</v>
      </c>
      <c r="M296" s="117"/>
      <c r="N296" s="117"/>
      <c r="O296" s="117"/>
      <c r="P296" s="117">
        <f>K296-L296-O296</f>
        <v>0</v>
      </c>
      <c r="Q296" s="117">
        <v>424000000</v>
      </c>
      <c r="R296" s="117">
        <f t="shared" si="159"/>
        <v>0</v>
      </c>
      <c r="S296" s="117"/>
      <c r="T296" s="117"/>
      <c r="U296" s="117"/>
      <c r="V296" s="117">
        <f t="shared" si="160"/>
        <v>424000000</v>
      </c>
      <c r="W296" s="117">
        <f t="shared" si="161"/>
        <v>0</v>
      </c>
      <c r="X296" s="117">
        <f t="shared" si="162"/>
        <v>0</v>
      </c>
      <c r="Y296" s="117">
        <f t="shared" si="163"/>
        <v>0</v>
      </c>
      <c r="Z296" s="204">
        <f t="shared" si="153"/>
        <v>0</v>
      </c>
    </row>
    <row r="297" spans="1:26" s="113" customFormat="1">
      <c r="A297" s="114" t="s">
        <v>462</v>
      </c>
      <c r="B297" s="115" t="s">
        <v>1051</v>
      </c>
      <c r="C297" s="116" t="s">
        <v>1052</v>
      </c>
      <c r="D297" s="116">
        <v>7053037</v>
      </c>
      <c r="E297" s="117"/>
      <c r="F297" s="117"/>
      <c r="G297" s="117"/>
      <c r="H297" s="117"/>
      <c r="I297" s="117"/>
      <c r="J297" s="118">
        <f t="shared" si="158"/>
        <v>0</v>
      </c>
      <c r="K297" s="117"/>
      <c r="L297" s="117"/>
      <c r="M297" s="117"/>
      <c r="N297" s="117"/>
      <c r="O297" s="117"/>
      <c r="P297" s="117"/>
      <c r="Q297" s="117">
        <v>78000000</v>
      </c>
      <c r="R297" s="117">
        <f t="shared" si="159"/>
        <v>0</v>
      </c>
      <c r="S297" s="117"/>
      <c r="T297" s="117"/>
      <c r="U297" s="117"/>
      <c r="V297" s="117">
        <f t="shared" si="160"/>
        <v>78000000</v>
      </c>
      <c r="W297" s="117">
        <f t="shared" si="161"/>
        <v>0</v>
      </c>
      <c r="X297" s="117">
        <f t="shared" si="162"/>
        <v>0</v>
      </c>
      <c r="Y297" s="117">
        <f t="shared" si="163"/>
        <v>0</v>
      </c>
      <c r="Z297" s="204">
        <f t="shared" si="153"/>
        <v>0</v>
      </c>
    </row>
    <row r="298" spans="1:26" s="113" customFormat="1">
      <c r="A298" s="114" t="s">
        <v>465</v>
      </c>
      <c r="B298" s="115" t="s">
        <v>1053</v>
      </c>
      <c r="C298" s="116" t="s">
        <v>457</v>
      </c>
      <c r="D298" s="116" t="s">
        <v>1054</v>
      </c>
      <c r="E298" s="117">
        <v>2883523196</v>
      </c>
      <c r="F298" s="117"/>
      <c r="G298" s="117"/>
      <c r="H298" s="117"/>
      <c r="I298" s="117"/>
      <c r="J298" s="118">
        <f t="shared" si="158"/>
        <v>0</v>
      </c>
      <c r="K298" s="117"/>
      <c r="L298" s="117">
        <f t="shared" ref="L298:L334" si="164">SUM(M298:N298)</f>
        <v>0</v>
      </c>
      <c r="M298" s="117"/>
      <c r="N298" s="117"/>
      <c r="O298" s="117"/>
      <c r="P298" s="117">
        <f t="shared" ref="P298:P334" si="165">K298-L298-O298</f>
        <v>0</v>
      </c>
      <c r="Q298" s="117">
        <v>11000000</v>
      </c>
      <c r="R298" s="117">
        <f t="shared" si="159"/>
        <v>10957000</v>
      </c>
      <c r="S298" s="117">
        <v>10957000</v>
      </c>
      <c r="T298" s="117"/>
      <c r="U298" s="117"/>
      <c r="V298" s="117">
        <f t="shared" si="160"/>
        <v>43000</v>
      </c>
      <c r="W298" s="117">
        <f t="shared" si="161"/>
        <v>10957000</v>
      </c>
      <c r="X298" s="117">
        <f t="shared" si="162"/>
        <v>0</v>
      </c>
      <c r="Y298" s="117">
        <f t="shared" si="163"/>
        <v>10957000</v>
      </c>
      <c r="Z298" s="204">
        <f t="shared" si="153"/>
        <v>0</v>
      </c>
    </row>
    <row r="299" spans="1:26" s="113" customFormat="1">
      <c r="A299" s="114" t="s">
        <v>468</v>
      </c>
      <c r="B299" s="115" t="s">
        <v>1055</v>
      </c>
      <c r="C299" s="116" t="s">
        <v>457</v>
      </c>
      <c r="D299" s="116" t="s">
        <v>1056</v>
      </c>
      <c r="E299" s="117">
        <v>3180761684</v>
      </c>
      <c r="F299" s="117"/>
      <c r="G299" s="117"/>
      <c r="H299" s="117"/>
      <c r="I299" s="117"/>
      <c r="J299" s="118">
        <f t="shared" si="158"/>
        <v>0</v>
      </c>
      <c r="K299" s="117"/>
      <c r="L299" s="117">
        <f t="shared" si="164"/>
        <v>0</v>
      </c>
      <c r="M299" s="117"/>
      <c r="N299" s="117"/>
      <c r="O299" s="117"/>
      <c r="P299" s="117">
        <f t="shared" si="165"/>
        <v>0</v>
      </c>
      <c r="Q299" s="117">
        <v>17000000</v>
      </c>
      <c r="R299" s="117">
        <f t="shared" si="159"/>
        <v>16915000</v>
      </c>
      <c r="S299" s="117">
        <v>16915000</v>
      </c>
      <c r="T299" s="117"/>
      <c r="U299" s="117"/>
      <c r="V299" s="117">
        <f t="shared" si="160"/>
        <v>85000</v>
      </c>
      <c r="W299" s="117">
        <f t="shared" si="161"/>
        <v>16915000</v>
      </c>
      <c r="X299" s="117">
        <f t="shared" si="162"/>
        <v>0</v>
      </c>
      <c r="Y299" s="117">
        <f t="shared" si="163"/>
        <v>16915000</v>
      </c>
      <c r="Z299" s="204">
        <f t="shared" si="153"/>
        <v>0</v>
      </c>
    </row>
    <row r="300" spans="1:26" s="113" customFormat="1">
      <c r="A300" s="114" t="s">
        <v>471</v>
      </c>
      <c r="B300" s="115" t="s">
        <v>1057</v>
      </c>
      <c r="C300" s="116" t="s">
        <v>457</v>
      </c>
      <c r="D300" s="116" t="s">
        <v>1058</v>
      </c>
      <c r="E300" s="117">
        <v>12220000000</v>
      </c>
      <c r="F300" s="117"/>
      <c r="G300" s="117"/>
      <c r="H300" s="117"/>
      <c r="I300" s="117"/>
      <c r="J300" s="118">
        <f t="shared" si="158"/>
        <v>0</v>
      </c>
      <c r="K300" s="117"/>
      <c r="L300" s="117">
        <f t="shared" si="164"/>
        <v>0</v>
      </c>
      <c r="M300" s="117"/>
      <c r="N300" s="117"/>
      <c r="O300" s="117"/>
      <c r="P300" s="117">
        <f t="shared" si="165"/>
        <v>0</v>
      </c>
      <c r="Q300" s="117">
        <v>76000000</v>
      </c>
      <c r="R300" s="117">
        <f t="shared" si="159"/>
        <v>73920000</v>
      </c>
      <c r="S300" s="117">
        <v>73920000</v>
      </c>
      <c r="T300" s="117"/>
      <c r="U300" s="117"/>
      <c r="V300" s="117">
        <f t="shared" si="160"/>
        <v>2080000</v>
      </c>
      <c r="W300" s="117">
        <f t="shared" si="161"/>
        <v>73920000</v>
      </c>
      <c r="X300" s="117">
        <f t="shared" si="162"/>
        <v>0</v>
      </c>
      <c r="Y300" s="117">
        <f t="shared" si="163"/>
        <v>73920000</v>
      </c>
      <c r="Z300" s="204">
        <f t="shared" si="153"/>
        <v>0</v>
      </c>
    </row>
    <row r="301" spans="1:26" s="113" customFormat="1" ht="24">
      <c r="A301" s="114" t="s">
        <v>474</v>
      </c>
      <c r="B301" s="115" t="s">
        <v>1059</v>
      </c>
      <c r="C301" s="116" t="s">
        <v>457</v>
      </c>
      <c r="D301" s="116" t="s">
        <v>1060</v>
      </c>
      <c r="E301" s="117">
        <v>69827000000</v>
      </c>
      <c r="F301" s="117">
        <v>1496140315</v>
      </c>
      <c r="G301" s="117"/>
      <c r="H301" s="117"/>
      <c r="I301" s="117"/>
      <c r="J301" s="118">
        <f t="shared" si="158"/>
        <v>0</v>
      </c>
      <c r="K301" s="117"/>
      <c r="L301" s="117">
        <f t="shared" si="164"/>
        <v>0</v>
      </c>
      <c r="M301" s="117"/>
      <c r="N301" s="117"/>
      <c r="O301" s="117"/>
      <c r="P301" s="117">
        <f t="shared" si="165"/>
        <v>0</v>
      </c>
      <c r="Q301" s="117">
        <v>430000000</v>
      </c>
      <c r="R301" s="117">
        <f t="shared" si="159"/>
        <v>196200000</v>
      </c>
      <c r="S301" s="117">
        <v>196200000</v>
      </c>
      <c r="T301" s="117"/>
      <c r="U301" s="117"/>
      <c r="V301" s="117">
        <f t="shared" si="160"/>
        <v>233800000</v>
      </c>
      <c r="W301" s="117">
        <f t="shared" si="161"/>
        <v>196200000</v>
      </c>
      <c r="X301" s="117">
        <f t="shared" si="162"/>
        <v>0</v>
      </c>
      <c r="Y301" s="117">
        <f t="shared" si="163"/>
        <v>1692340315</v>
      </c>
      <c r="Z301" s="204">
        <f t="shared" si="153"/>
        <v>0</v>
      </c>
    </row>
    <row r="302" spans="1:26" s="113" customFormat="1">
      <c r="A302" s="114" t="s">
        <v>477</v>
      </c>
      <c r="B302" s="115" t="s">
        <v>1061</v>
      </c>
      <c r="C302" s="116" t="s">
        <v>457</v>
      </c>
      <c r="D302" s="116" t="s">
        <v>1062</v>
      </c>
      <c r="E302" s="117">
        <v>6025174366</v>
      </c>
      <c r="F302" s="117"/>
      <c r="G302" s="117"/>
      <c r="H302" s="117"/>
      <c r="I302" s="117"/>
      <c r="J302" s="118">
        <f t="shared" si="158"/>
        <v>0</v>
      </c>
      <c r="K302" s="117"/>
      <c r="L302" s="117">
        <f t="shared" si="164"/>
        <v>0</v>
      </c>
      <c r="M302" s="117"/>
      <c r="N302" s="117"/>
      <c r="O302" s="117"/>
      <c r="P302" s="117">
        <f t="shared" si="165"/>
        <v>0</v>
      </c>
      <c r="Q302" s="117">
        <v>16000000</v>
      </c>
      <c r="R302" s="117">
        <f t="shared" si="159"/>
        <v>16000000</v>
      </c>
      <c r="S302" s="117">
        <v>16000000</v>
      </c>
      <c r="T302" s="119"/>
      <c r="U302" s="117"/>
      <c r="V302" s="117">
        <f t="shared" si="160"/>
        <v>0</v>
      </c>
      <c r="W302" s="117">
        <f t="shared" si="161"/>
        <v>16000000</v>
      </c>
      <c r="X302" s="117">
        <f t="shared" si="162"/>
        <v>0</v>
      </c>
      <c r="Y302" s="117">
        <f t="shared" si="163"/>
        <v>16000000</v>
      </c>
      <c r="Z302" s="204">
        <f t="shared" si="153"/>
        <v>0</v>
      </c>
    </row>
    <row r="303" spans="1:26" s="113" customFormat="1">
      <c r="A303" s="114" t="s">
        <v>480</v>
      </c>
      <c r="B303" s="115" t="s">
        <v>1063</v>
      </c>
      <c r="C303" s="116" t="s">
        <v>457</v>
      </c>
      <c r="D303" s="116" t="s">
        <v>1064</v>
      </c>
      <c r="E303" s="117">
        <v>6701000000</v>
      </c>
      <c r="F303" s="117"/>
      <c r="G303" s="117"/>
      <c r="H303" s="117"/>
      <c r="I303" s="117"/>
      <c r="J303" s="118">
        <f t="shared" si="158"/>
        <v>0</v>
      </c>
      <c r="K303" s="117"/>
      <c r="L303" s="117">
        <f t="shared" si="164"/>
        <v>0</v>
      </c>
      <c r="M303" s="117"/>
      <c r="N303" s="117"/>
      <c r="O303" s="117"/>
      <c r="P303" s="117">
        <f t="shared" si="165"/>
        <v>0</v>
      </c>
      <c r="Q303" s="117">
        <v>48000000</v>
      </c>
      <c r="R303" s="117">
        <f t="shared" si="159"/>
        <v>47125000</v>
      </c>
      <c r="S303" s="117">
        <v>47125000</v>
      </c>
      <c r="T303" s="119"/>
      <c r="U303" s="117"/>
      <c r="V303" s="117">
        <f t="shared" si="160"/>
        <v>875000</v>
      </c>
      <c r="W303" s="117">
        <f t="shared" si="161"/>
        <v>47125000</v>
      </c>
      <c r="X303" s="117">
        <f t="shared" si="162"/>
        <v>0</v>
      </c>
      <c r="Y303" s="117">
        <f t="shared" si="163"/>
        <v>47125000</v>
      </c>
      <c r="Z303" s="204">
        <f t="shared" si="153"/>
        <v>0</v>
      </c>
    </row>
    <row r="304" spans="1:26" s="113" customFormat="1">
      <c r="A304" s="114" t="s">
        <v>483</v>
      </c>
      <c r="B304" s="115" t="s">
        <v>1065</v>
      </c>
      <c r="C304" s="116" t="s">
        <v>457</v>
      </c>
      <c r="D304" s="116" t="s">
        <v>1066</v>
      </c>
      <c r="E304" s="117">
        <v>17050000000</v>
      </c>
      <c r="F304" s="117"/>
      <c r="G304" s="117"/>
      <c r="H304" s="117"/>
      <c r="I304" s="117"/>
      <c r="J304" s="118">
        <f t="shared" si="158"/>
        <v>0</v>
      </c>
      <c r="K304" s="117"/>
      <c r="L304" s="117">
        <f t="shared" si="164"/>
        <v>0</v>
      </c>
      <c r="M304" s="117"/>
      <c r="N304" s="117"/>
      <c r="O304" s="117"/>
      <c r="P304" s="117">
        <f t="shared" si="165"/>
        <v>0</v>
      </c>
      <c r="Q304" s="117">
        <v>374000000</v>
      </c>
      <c r="R304" s="117">
        <f t="shared" si="159"/>
        <v>321065616</v>
      </c>
      <c r="S304" s="117">
        <v>321065616</v>
      </c>
      <c r="T304" s="119"/>
      <c r="U304" s="117"/>
      <c r="V304" s="117">
        <f t="shared" si="160"/>
        <v>52934384</v>
      </c>
      <c r="W304" s="117">
        <f t="shared" si="161"/>
        <v>321065616</v>
      </c>
      <c r="X304" s="117">
        <f t="shared" si="162"/>
        <v>0</v>
      </c>
      <c r="Y304" s="117">
        <f t="shared" si="163"/>
        <v>321065616</v>
      </c>
      <c r="Z304" s="204">
        <f t="shared" si="153"/>
        <v>0</v>
      </c>
    </row>
    <row r="305" spans="1:26" s="113" customFormat="1">
      <c r="A305" s="114" t="s">
        <v>486</v>
      </c>
      <c r="B305" s="115" t="s">
        <v>1067</v>
      </c>
      <c r="C305" s="116" t="s">
        <v>457</v>
      </c>
      <c r="D305" s="116" t="s">
        <v>1068</v>
      </c>
      <c r="E305" s="117">
        <v>1778592207</v>
      </c>
      <c r="F305" s="117"/>
      <c r="G305" s="117"/>
      <c r="H305" s="117"/>
      <c r="I305" s="117"/>
      <c r="J305" s="118">
        <f t="shared" si="158"/>
        <v>0</v>
      </c>
      <c r="K305" s="117"/>
      <c r="L305" s="117">
        <f t="shared" si="164"/>
        <v>0</v>
      </c>
      <c r="M305" s="117"/>
      <c r="N305" s="117"/>
      <c r="O305" s="117"/>
      <c r="P305" s="117">
        <f t="shared" si="165"/>
        <v>0</v>
      </c>
      <c r="Q305" s="117">
        <v>30000000</v>
      </c>
      <c r="R305" s="117">
        <f t="shared" si="159"/>
        <v>30000000</v>
      </c>
      <c r="S305" s="117">
        <v>30000000</v>
      </c>
      <c r="T305" s="119"/>
      <c r="U305" s="117"/>
      <c r="V305" s="117">
        <f t="shared" si="160"/>
        <v>0</v>
      </c>
      <c r="W305" s="117">
        <f t="shared" si="161"/>
        <v>30000000</v>
      </c>
      <c r="X305" s="117">
        <f t="shared" si="162"/>
        <v>0</v>
      </c>
      <c r="Y305" s="117">
        <f t="shared" si="163"/>
        <v>30000000</v>
      </c>
      <c r="Z305" s="204">
        <f t="shared" si="153"/>
        <v>0</v>
      </c>
    </row>
    <row r="306" spans="1:26" s="113" customFormat="1" ht="24">
      <c r="A306" s="114" t="s">
        <v>489</v>
      </c>
      <c r="B306" s="115" t="s">
        <v>1069</v>
      </c>
      <c r="C306" s="116" t="s">
        <v>457</v>
      </c>
      <c r="D306" s="116" t="s">
        <v>1070</v>
      </c>
      <c r="E306" s="117">
        <v>6789623986</v>
      </c>
      <c r="F306" s="117"/>
      <c r="G306" s="117"/>
      <c r="H306" s="117"/>
      <c r="I306" s="117"/>
      <c r="J306" s="118">
        <f t="shared" si="158"/>
        <v>0</v>
      </c>
      <c r="K306" s="117"/>
      <c r="L306" s="117">
        <f t="shared" si="164"/>
        <v>0</v>
      </c>
      <c r="M306" s="117"/>
      <c r="N306" s="117"/>
      <c r="O306" s="117"/>
      <c r="P306" s="117">
        <f t="shared" si="165"/>
        <v>0</v>
      </c>
      <c r="Q306" s="117">
        <v>9000000</v>
      </c>
      <c r="R306" s="117">
        <f t="shared" si="159"/>
        <v>0</v>
      </c>
      <c r="S306" s="117"/>
      <c r="T306" s="119"/>
      <c r="U306" s="117"/>
      <c r="V306" s="117">
        <f t="shared" si="160"/>
        <v>9000000</v>
      </c>
      <c r="W306" s="117">
        <f t="shared" si="161"/>
        <v>0</v>
      </c>
      <c r="X306" s="117">
        <f t="shared" si="162"/>
        <v>0</v>
      </c>
      <c r="Y306" s="117">
        <f t="shared" si="163"/>
        <v>0</v>
      </c>
      <c r="Z306" s="204">
        <f t="shared" si="153"/>
        <v>0</v>
      </c>
    </row>
    <row r="307" spans="1:26" s="113" customFormat="1">
      <c r="A307" s="114" t="s">
        <v>553</v>
      </c>
      <c r="B307" s="115" t="s">
        <v>1071</v>
      </c>
      <c r="C307" s="116" t="s">
        <v>457</v>
      </c>
      <c r="D307" s="116" t="s">
        <v>1072</v>
      </c>
      <c r="E307" s="117">
        <v>3040338520</v>
      </c>
      <c r="F307" s="117"/>
      <c r="G307" s="117"/>
      <c r="H307" s="117"/>
      <c r="I307" s="117"/>
      <c r="J307" s="118">
        <f t="shared" si="158"/>
        <v>0</v>
      </c>
      <c r="K307" s="117"/>
      <c r="L307" s="117">
        <f t="shared" si="164"/>
        <v>0</v>
      </c>
      <c r="M307" s="117"/>
      <c r="N307" s="117"/>
      <c r="O307" s="117"/>
      <c r="P307" s="117">
        <f t="shared" si="165"/>
        <v>0</v>
      </c>
      <c r="Q307" s="117">
        <v>16000000</v>
      </c>
      <c r="R307" s="117">
        <f t="shared" si="159"/>
        <v>0</v>
      </c>
      <c r="S307" s="117"/>
      <c r="T307" s="119"/>
      <c r="U307" s="117"/>
      <c r="V307" s="117">
        <f t="shared" si="160"/>
        <v>16000000</v>
      </c>
      <c r="W307" s="117">
        <f t="shared" si="161"/>
        <v>0</v>
      </c>
      <c r="X307" s="117">
        <f t="shared" si="162"/>
        <v>0</v>
      </c>
      <c r="Y307" s="117">
        <f t="shared" si="163"/>
        <v>0</v>
      </c>
      <c r="Z307" s="204">
        <f t="shared" si="153"/>
        <v>0</v>
      </c>
    </row>
    <row r="308" spans="1:26" s="113" customFormat="1" ht="24">
      <c r="A308" s="114" t="s">
        <v>556</v>
      </c>
      <c r="B308" s="115" t="s">
        <v>1073</v>
      </c>
      <c r="C308" s="116" t="s">
        <v>457</v>
      </c>
      <c r="D308" s="116" t="s">
        <v>1074</v>
      </c>
      <c r="E308" s="117">
        <v>4342567716</v>
      </c>
      <c r="F308" s="117"/>
      <c r="G308" s="117"/>
      <c r="H308" s="117"/>
      <c r="I308" s="117"/>
      <c r="J308" s="118">
        <f t="shared" si="158"/>
        <v>0</v>
      </c>
      <c r="K308" s="117"/>
      <c r="L308" s="117">
        <f t="shared" si="164"/>
        <v>0</v>
      </c>
      <c r="M308" s="117"/>
      <c r="N308" s="117"/>
      <c r="O308" s="117"/>
      <c r="P308" s="117">
        <f t="shared" si="165"/>
        <v>0</v>
      </c>
      <c r="Q308" s="117">
        <v>28000000</v>
      </c>
      <c r="R308" s="117">
        <f t="shared" si="159"/>
        <v>27122000</v>
      </c>
      <c r="S308" s="117">
        <v>27122000</v>
      </c>
      <c r="T308" s="119"/>
      <c r="U308" s="117"/>
      <c r="V308" s="117">
        <f t="shared" si="160"/>
        <v>878000</v>
      </c>
      <c r="W308" s="117">
        <f t="shared" si="161"/>
        <v>27122000</v>
      </c>
      <c r="X308" s="117">
        <f t="shared" si="162"/>
        <v>0</v>
      </c>
      <c r="Y308" s="117">
        <f t="shared" si="163"/>
        <v>27122000</v>
      </c>
      <c r="Z308" s="204">
        <f t="shared" si="153"/>
        <v>0</v>
      </c>
    </row>
    <row r="309" spans="1:26" s="113" customFormat="1">
      <c r="A309" s="114" t="s">
        <v>559</v>
      </c>
      <c r="B309" s="115" t="s">
        <v>1075</v>
      </c>
      <c r="C309" s="116" t="s">
        <v>457</v>
      </c>
      <c r="D309" s="116" t="s">
        <v>1076</v>
      </c>
      <c r="E309" s="117">
        <v>19963000000</v>
      </c>
      <c r="F309" s="117"/>
      <c r="G309" s="117"/>
      <c r="H309" s="117"/>
      <c r="I309" s="117"/>
      <c r="J309" s="118">
        <f t="shared" si="158"/>
        <v>0</v>
      </c>
      <c r="K309" s="117"/>
      <c r="L309" s="117">
        <f t="shared" si="164"/>
        <v>0</v>
      </c>
      <c r="M309" s="117"/>
      <c r="N309" s="117"/>
      <c r="O309" s="117"/>
      <c r="P309" s="117">
        <f t="shared" si="165"/>
        <v>0</v>
      </c>
      <c r="Q309" s="117">
        <v>89000000</v>
      </c>
      <c r="R309" s="117">
        <f t="shared" si="159"/>
        <v>88620000</v>
      </c>
      <c r="S309" s="117">
        <v>88620000</v>
      </c>
      <c r="T309" s="119"/>
      <c r="U309" s="117"/>
      <c r="V309" s="117">
        <f t="shared" si="160"/>
        <v>380000</v>
      </c>
      <c r="W309" s="117">
        <f t="shared" si="161"/>
        <v>88620000</v>
      </c>
      <c r="X309" s="117">
        <f t="shared" si="162"/>
        <v>0</v>
      </c>
      <c r="Y309" s="117">
        <f t="shared" si="163"/>
        <v>88620000</v>
      </c>
      <c r="Z309" s="204">
        <f t="shared" si="153"/>
        <v>0</v>
      </c>
    </row>
    <row r="310" spans="1:26" s="113" customFormat="1" ht="24">
      <c r="A310" s="114" t="s">
        <v>562</v>
      </c>
      <c r="B310" s="115" t="s">
        <v>1077</v>
      </c>
      <c r="C310" s="116" t="s">
        <v>457</v>
      </c>
      <c r="D310" s="116" t="s">
        <v>1078</v>
      </c>
      <c r="E310" s="117">
        <v>18115000000</v>
      </c>
      <c r="F310" s="117"/>
      <c r="G310" s="117"/>
      <c r="H310" s="117"/>
      <c r="I310" s="117"/>
      <c r="J310" s="118">
        <f t="shared" si="158"/>
        <v>0</v>
      </c>
      <c r="K310" s="117"/>
      <c r="L310" s="117">
        <f t="shared" si="164"/>
        <v>0</v>
      </c>
      <c r="M310" s="117"/>
      <c r="N310" s="117"/>
      <c r="O310" s="117"/>
      <c r="P310" s="117">
        <f t="shared" si="165"/>
        <v>0</v>
      </c>
      <c r="Q310" s="117">
        <v>54000000</v>
      </c>
      <c r="R310" s="117">
        <f t="shared" si="159"/>
        <v>50460000</v>
      </c>
      <c r="S310" s="117">
        <v>50460000</v>
      </c>
      <c r="T310" s="119"/>
      <c r="U310" s="117"/>
      <c r="V310" s="117">
        <f t="shared" si="160"/>
        <v>3540000</v>
      </c>
      <c r="W310" s="117">
        <f t="shared" si="161"/>
        <v>50460000</v>
      </c>
      <c r="X310" s="117">
        <f t="shared" si="162"/>
        <v>0</v>
      </c>
      <c r="Y310" s="117">
        <f t="shared" si="163"/>
        <v>50460000</v>
      </c>
      <c r="Z310" s="204">
        <f t="shared" si="153"/>
        <v>0</v>
      </c>
    </row>
    <row r="311" spans="1:26" s="113" customFormat="1">
      <c r="A311" s="114" t="s">
        <v>565</v>
      </c>
      <c r="B311" s="115" t="s">
        <v>1079</v>
      </c>
      <c r="C311" s="116" t="s">
        <v>457</v>
      </c>
      <c r="D311" s="116" t="s">
        <v>1080</v>
      </c>
      <c r="E311" s="117">
        <v>4616000000</v>
      </c>
      <c r="F311" s="117"/>
      <c r="G311" s="117"/>
      <c r="H311" s="117"/>
      <c r="I311" s="117"/>
      <c r="J311" s="118">
        <f t="shared" si="158"/>
        <v>0</v>
      </c>
      <c r="K311" s="117"/>
      <c r="L311" s="117">
        <f t="shared" si="164"/>
        <v>0</v>
      </c>
      <c r="M311" s="117"/>
      <c r="N311" s="117"/>
      <c r="O311" s="117"/>
      <c r="P311" s="117">
        <f t="shared" si="165"/>
        <v>0</v>
      </c>
      <c r="Q311" s="117">
        <v>33000000</v>
      </c>
      <c r="R311" s="117">
        <f t="shared" si="159"/>
        <v>25526000</v>
      </c>
      <c r="S311" s="117">
        <v>25526000</v>
      </c>
      <c r="T311" s="119"/>
      <c r="U311" s="117"/>
      <c r="V311" s="117">
        <f t="shared" si="160"/>
        <v>7474000</v>
      </c>
      <c r="W311" s="117">
        <f t="shared" si="161"/>
        <v>25526000</v>
      </c>
      <c r="X311" s="117">
        <f t="shared" si="162"/>
        <v>0</v>
      </c>
      <c r="Y311" s="117">
        <f t="shared" si="163"/>
        <v>25526000</v>
      </c>
      <c r="Z311" s="204">
        <f t="shared" si="153"/>
        <v>0</v>
      </c>
    </row>
    <row r="312" spans="1:26" s="113" customFormat="1">
      <c r="A312" s="114" t="s">
        <v>568</v>
      </c>
      <c r="B312" s="115" t="s">
        <v>1081</v>
      </c>
      <c r="C312" s="116" t="s">
        <v>457</v>
      </c>
      <c r="D312" s="116" t="s">
        <v>1082</v>
      </c>
      <c r="E312" s="117">
        <v>12311000000</v>
      </c>
      <c r="F312" s="117"/>
      <c r="G312" s="117"/>
      <c r="H312" s="117"/>
      <c r="I312" s="117"/>
      <c r="J312" s="118">
        <f t="shared" si="158"/>
        <v>0</v>
      </c>
      <c r="K312" s="117"/>
      <c r="L312" s="117">
        <f t="shared" si="164"/>
        <v>0</v>
      </c>
      <c r="M312" s="117"/>
      <c r="N312" s="117"/>
      <c r="O312" s="117"/>
      <c r="P312" s="117">
        <f t="shared" si="165"/>
        <v>0</v>
      </c>
      <c r="Q312" s="117">
        <v>102000000</v>
      </c>
      <c r="R312" s="117">
        <f t="shared" si="159"/>
        <v>0</v>
      </c>
      <c r="S312" s="117"/>
      <c r="T312" s="119"/>
      <c r="U312" s="117"/>
      <c r="V312" s="117">
        <f t="shared" si="160"/>
        <v>102000000</v>
      </c>
      <c r="W312" s="117">
        <f t="shared" si="161"/>
        <v>0</v>
      </c>
      <c r="X312" s="117">
        <f t="shared" si="162"/>
        <v>0</v>
      </c>
      <c r="Y312" s="117">
        <f t="shared" si="163"/>
        <v>0</v>
      </c>
      <c r="Z312" s="204">
        <f t="shared" si="153"/>
        <v>0</v>
      </c>
    </row>
    <row r="313" spans="1:26" s="113" customFormat="1">
      <c r="A313" s="114" t="s">
        <v>571</v>
      </c>
      <c r="B313" s="115" t="s">
        <v>1083</v>
      </c>
      <c r="C313" s="116" t="s">
        <v>457</v>
      </c>
      <c r="D313" s="116" t="s">
        <v>1084</v>
      </c>
      <c r="E313" s="117">
        <v>3967000000</v>
      </c>
      <c r="F313" s="117"/>
      <c r="G313" s="117"/>
      <c r="H313" s="117"/>
      <c r="I313" s="117"/>
      <c r="J313" s="118">
        <f t="shared" si="158"/>
        <v>0</v>
      </c>
      <c r="K313" s="117"/>
      <c r="L313" s="117">
        <f t="shared" si="164"/>
        <v>0</v>
      </c>
      <c r="M313" s="117"/>
      <c r="N313" s="117"/>
      <c r="O313" s="117"/>
      <c r="P313" s="117">
        <f t="shared" si="165"/>
        <v>0</v>
      </c>
      <c r="Q313" s="117">
        <v>46000000</v>
      </c>
      <c r="R313" s="117">
        <f t="shared" si="159"/>
        <v>12694000</v>
      </c>
      <c r="S313" s="117">
        <v>12694000</v>
      </c>
      <c r="T313" s="119"/>
      <c r="U313" s="117"/>
      <c r="V313" s="117">
        <f t="shared" si="160"/>
        <v>33306000</v>
      </c>
      <c r="W313" s="117">
        <f t="shared" si="161"/>
        <v>12694000</v>
      </c>
      <c r="X313" s="117">
        <f t="shared" si="162"/>
        <v>0</v>
      </c>
      <c r="Y313" s="117">
        <f t="shared" si="163"/>
        <v>12694000</v>
      </c>
      <c r="Z313" s="204">
        <f t="shared" si="153"/>
        <v>0</v>
      </c>
    </row>
    <row r="314" spans="1:26" s="113" customFormat="1">
      <c r="A314" s="114" t="s">
        <v>574</v>
      </c>
      <c r="B314" s="115" t="s">
        <v>1085</v>
      </c>
      <c r="C314" s="116" t="s">
        <v>457</v>
      </c>
      <c r="D314" s="116" t="s">
        <v>1086</v>
      </c>
      <c r="E314" s="117">
        <v>3776000000</v>
      </c>
      <c r="F314" s="117"/>
      <c r="G314" s="117"/>
      <c r="H314" s="117"/>
      <c r="I314" s="117"/>
      <c r="J314" s="118">
        <f t="shared" si="158"/>
        <v>0</v>
      </c>
      <c r="K314" s="117"/>
      <c r="L314" s="117">
        <f t="shared" si="164"/>
        <v>0</v>
      </c>
      <c r="M314" s="117"/>
      <c r="N314" s="117"/>
      <c r="O314" s="117"/>
      <c r="P314" s="117">
        <f t="shared" si="165"/>
        <v>0</v>
      </c>
      <c r="Q314" s="117">
        <v>53000000</v>
      </c>
      <c r="R314" s="117">
        <f t="shared" si="159"/>
        <v>50805019</v>
      </c>
      <c r="S314" s="117">
        <v>50805019</v>
      </c>
      <c r="T314" s="119"/>
      <c r="U314" s="117"/>
      <c r="V314" s="117">
        <f t="shared" si="160"/>
        <v>2194981</v>
      </c>
      <c r="W314" s="117">
        <f t="shared" si="161"/>
        <v>50805019</v>
      </c>
      <c r="X314" s="117">
        <f t="shared" si="162"/>
        <v>0</v>
      </c>
      <c r="Y314" s="117">
        <f t="shared" si="163"/>
        <v>50805019</v>
      </c>
      <c r="Z314" s="204">
        <f t="shared" si="153"/>
        <v>0</v>
      </c>
    </row>
    <row r="315" spans="1:26" s="113" customFormat="1">
      <c r="A315" s="114" t="s">
        <v>577</v>
      </c>
      <c r="B315" s="115" t="s">
        <v>1087</v>
      </c>
      <c r="C315" s="116" t="s">
        <v>457</v>
      </c>
      <c r="D315" s="116" t="s">
        <v>1088</v>
      </c>
      <c r="E315" s="117">
        <v>28371000000</v>
      </c>
      <c r="F315" s="117"/>
      <c r="G315" s="117"/>
      <c r="H315" s="117"/>
      <c r="I315" s="117"/>
      <c r="J315" s="118">
        <f t="shared" si="158"/>
        <v>0</v>
      </c>
      <c r="K315" s="117"/>
      <c r="L315" s="117">
        <f t="shared" si="164"/>
        <v>0</v>
      </c>
      <c r="M315" s="117"/>
      <c r="N315" s="117"/>
      <c r="O315" s="117"/>
      <c r="P315" s="117">
        <f t="shared" si="165"/>
        <v>0</v>
      </c>
      <c r="Q315" s="117">
        <v>30000000</v>
      </c>
      <c r="R315" s="117">
        <f t="shared" si="159"/>
        <v>29918000</v>
      </c>
      <c r="S315" s="117">
        <v>29918000</v>
      </c>
      <c r="T315" s="119"/>
      <c r="U315" s="117"/>
      <c r="V315" s="117">
        <f t="shared" si="160"/>
        <v>82000</v>
      </c>
      <c r="W315" s="117">
        <f t="shared" si="161"/>
        <v>29918000</v>
      </c>
      <c r="X315" s="117">
        <f t="shared" si="162"/>
        <v>0</v>
      </c>
      <c r="Y315" s="117">
        <f t="shared" si="163"/>
        <v>29918000</v>
      </c>
      <c r="Z315" s="204">
        <f t="shared" si="153"/>
        <v>0</v>
      </c>
    </row>
    <row r="316" spans="1:26" s="113" customFormat="1">
      <c r="A316" s="114" t="s">
        <v>656</v>
      </c>
      <c r="B316" s="115" t="s">
        <v>1089</v>
      </c>
      <c r="C316" s="116" t="s">
        <v>457</v>
      </c>
      <c r="D316" s="116" t="s">
        <v>1090</v>
      </c>
      <c r="E316" s="117">
        <v>7685000000</v>
      </c>
      <c r="F316" s="117"/>
      <c r="G316" s="117"/>
      <c r="H316" s="117"/>
      <c r="I316" s="117"/>
      <c r="J316" s="118">
        <f t="shared" si="158"/>
        <v>0</v>
      </c>
      <c r="K316" s="117"/>
      <c r="L316" s="117">
        <f t="shared" si="164"/>
        <v>0</v>
      </c>
      <c r="M316" s="117"/>
      <c r="N316" s="117"/>
      <c r="O316" s="117"/>
      <c r="P316" s="117">
        <f t="shared" si="165"/>
        <v>0</v>
      </c>
      <c r="Q316" s="117">
        <v>64000000</v>
      </c>
      <c r="R316" s="117">
        <f t="shared" si="159"/>
        <v>63063456</v>
      </c>
      <c r="S316" s="117">
        <v>63063456</v>
      </c>
      <c r="T316" s="119"/>
      <c r="U316" s="117"/>
      <c r="V316" s="117">
        <f t="shared" si="160"/>
        <v>936544</v>
      </c>
      <c r="W316" s="117">
        <f t="shared" si="161"/>
        <v>63063456</v>
      </c>
      <c r="X316" s="117">
        <f t="shared" si="162"/>
        <v>0</v>
      </c>
      <c r="Y316" s="117">
        <f t="shared" si="163"/>
        <v>63063456</v>
      </c>
      <c r="Z316" s="204">
        <f t="shared" si="153"/>
        <v>0</v>
      </c>
    </row>
    <row r="317" spans="1:26" s="113" customFormat="1">
      <c r="A317" s="114" t="s">
        <v>659</v>
      </c>
      <c r="B317" s="115" t="s">
        <v>1091</v>
      </c>
      <c r="C317" s="116" t="s">
        <v>457</v>
      </c>
      <c r="D317" s="116" t="s">
        <v>1092</v>
      </c>
      <c r="E317" s="117">
        <v>3185000000</v>
      </c>
      <c r="F317" s="117"/>
      <c r="G317" s="117"/>
      <c r="H317" s="117"/>
      <c r="I317" s="117"/>
      <c r="J317" s="118">
        <f t="shared" si="158"/>
        <v>0</v>
      </c>
      <c r="K317" s="117"/>
      <c r="L317" s="117">
        <f t="shared" si="164"/>
        <v>0</v>
      </c>
      <c r="M317" s="117"/>
      <c r="N317" s="117"/>
      <c r="O317" s="117"/>
      <c r="P317" s="117">
        <f t="shared" si="165"/>
        <v>0</v>
      </c>
      <c r="Q317" s="117">
        <v>11000000</v>
      </c>
      <c r="R317" s="117">
        <f t="shared" si="159"/>
        <v>10045000</v>
      </c>
      <c r="S317" s="117">
        <v>10045000</v>
      </c>
      <c r="T317" s="119"/>
      <c r="U317" s="117"/>
      <c r="V317" s="117">
        <f t="shared" si="160"/>
        <v>955000</v>
      </c>
      <c r="W317" s="117">
        <f t="shared" si="161"/>
        <v>10045000</v>
      </c>
      <c r="X317" s="117">
        <f t="shared" si="162"/>
        <v>0</v>
      </c>
      <c r="Y317" s="117">
        <f t="shared" si="163"/>
        <v>10045000</v>
      </c>
      <c r="Z317" s="204">
        <f t="shared" si="153"/>
        <v>0</v>
      </c>
    </row>
    <row r="318" spans="1:26" s="113" customFormat="1">
      <c r="A318" s="114" t="s">
        <v>662</v>
      </c>
      <c r="B318" s="115" t="s">
        <v>1093</v>
      </c>
      <c r="C318" s="116" t="s">
        <v>457</v>
      </c>
      <c r="D318" s="116" t="s">
        <v>1094</v>
      </c>
      <c r="E318" s="117">
        <v>1684000000</v>
      </c>
      <c r="F318" s="117"/>
      <c r="G318" s="117"/>
      <c r="H318" s="117"/>
      <c r="I318" s="117"/>
      <c r="J318" s="118">
        <f t="shared" si="158"/>
        <v>0</v>
      </c>
      <c r="K318" s="117"/>
      <c r="L318" s="117">
        <f t="shared" si="164"/>
        <v>0</v>
      </c>
      <c r="M318" s="117"/>
      <c r="N318" s="117"/>
      <c r="O318" s="117"/>
      <c r="P318" s="117">
        <f t="shared" si="165"/>
        <v>0</v>
      </c>
      <c r="Q318" s="117">
        <v>16000000</v>
      </c>
      <c r="R318" s="117">
        <f t="shared" si="159"/>
        <v>15774000</v>
      </c>
      <c r="S318" s="117">
        <v>15774000</v>
      </c>
      <c r="T318" s="119"/>
      <c r="U318" s="117"/>
      <c r="V318" s="117">
        <f t="shared" si="160"/>
        <v>226000</v>
      </c>
      <c r="W318" s="117">
        <f t="shared" si="161"/>
        <v>15774000</v>
      </c>
      <c r="X318" s="117">
        <f t="shared" si="162"/>
        <v>0</v>
      </c>
      <c r="Y318" s="117">
        <f t="shared" si="163"/>
        <v>15774000</v>
      </c>
      <c r="Z318" s="204">
        <f t="shared" si="153"/>
        <v>0</v>
      </c>
    </row>
    <row r="319" spans="1:26" s="113" customFormat="1" ht="24">
      <c r="A319" s="114" t="s">
        <v>665</v>
      </c>
      <c r="B319" s="115" t="s">
        <v>1095</v>
      </c>
      <c r="C319" s="116" t="s">
        <v>457</v>
      </c>
      <c r="D319" s="116" t="s">
        <v>1096</v>
      </c>
      <c r="E319" s="117">
        <v>1285000000</v>
      </c>
      <c r="F319" s="117"/>
      <c r="G319" s="117"/>
      <c r="H319" s="117"/>
      <c r="I319" s="117"/>
      <c r="J319" s="118">
        <f t="shared" si="158"/>
        <v>0</v>
      </c>
      <c r="K319" s="117"/>
      <c r="L319" s="117">
        <f t="shared" si="164"/>
        <v>0</v>
      </c>
      <c r="M319" s="117"/>
      <c r="N319" s="117"/>
      <c r="O319" s="117"/>
      <c r="P319" s="117">
        <f t="shared" si="165"/>
        <v>0</v>
      </c>
      <c r="Q319" s="117">
        <v>6000000</v>
      </c>
      <c r="R319" s="117">
        <f t="shared" si="159"/>
        <v>5675000</v>
      </c>
      <c r="S319" s="117">
        <v>5675000</v>
      </c>
      <c r="T319" s="119"/>
      <c r="U319" s="117"/>
      <c r="V319" s="117">
        <f t="shared" si="160"/>
        <v>325000</v>
      </c>
      <c r="W319" s="117">
        <f t="shared" si="161"/>
        <v>5675000</v>
      </c>
      <c r="X319" s="117">
        <f t="shared" si="162"/>
        <v>0</v>
      </c>
      <c r="Y319" s="117">
        <f t="shared" si="163"/>
        <v>5675000</v>
      </c>
      <c r="Z319" s="204">
        <f t="shared" si="153"/>
        <v>0</v>
      </c>
    </row>
    <row r="320" spans="1:26" s="113" customFormat="1">
      <c r="A320" s="114" t="s">
        <v>668</v>
      </c>
      <c r="B320" s="115" t="s">
        <v>1097</v>
      </c>
      <c r="C320" s="116" t="s">
        <v>457</v>
      </c>
      <c r="D320" s="116" t="s">
        <v>1098</v>
      </c>
      <c r="E320" s="117">
        <v>14556874724</v>
      </c>
      <c r="F320" s="117"/>
      <c r="G320" s="117"/>
      <c r="H320" s="117"/>
      <c r="I320" s="117"/>
      <c r="J320" s="118">
        <f t="shared" si="158"/>
        <v>0</v>
      </c>
      <c r="K320" s="117"/>
      <c r="L320" s="117">
        <f t="shared" si="164"/>
        <v>0</v>
      </c>
      <c r="M320" s="117"/>
      <c r="N320" s="117"/>
      <c r="O320" s="117"/>
      <c r="P320" s="117">
        <f t="shared" si="165"/>
        <v>0</v>
      </c>
      <c r="Q320" s="117">
        <v>74000000</v>
      </c>
      <c r="R320" s="117">
        <f t="shared" si="159"/>
        <v>73092000</v>
      </c>
      <c r="S320" s="117">
        <v>73092000</v>
      </c>
      <c r="T320" s="119"/>
      <c r="U320" s="117"/>
      <c r="V320" s="117">
        <f t="shared" si="160"/>
        <v>908000</v>
      </c>
      <c r="W320" s="117">
        <f t="shared" si="161"/>
        <v>73092000</v>
      </c>
      <c r="X320" s="117">
        <f t="shared" si="162"/>
        <v>0</v>
      </c>
      <c r="Y320" s="117">
        <f t="shared" si="163"/>
        <v>73092000</v>
      </c>
      <c r="Z320" s="204">
        <f t="shared" si="153"/>
        <v>0</v>
      </c>
    </row>
    <row r="321" spans="1:26" s="113" customFormat="1">
      <c r="A321" s="114" t="s">
        <v>671</v>
      </c>
      <c r="B321" s="115" t="s">
        <v>1099</v>
      </c>
      <c r="C321" s="116" t="s">
        <v>457</v>
      </c>
      <c r="D321" s="116" t="s">
        <v>1100</v>
      </c>
      <c r="E321" s="117">
        <v>275960000000</v>
      </c>
      <c r="F321" s="117">
        <v>43070874544</v>
      </c>
      <c r="G321" s="148">
        <v>4095287247</v>
      </c>
      <c r="H321" s="149">
        <v>0</v>
      </c>
      <c r="I321" s="149">
        <v>4095287247</v>
      </c>
      <c r="J321" s="118">
        <f t="shared" si="158"/>
        <v>0</v>
      </c>
      <c r="K321" s="117"/>
      <c r="L321" s="117">
        <f t="shared" si="164"/>
        <v>0</v>
      </c>
      <c r="M321" s="117"/>
      <c r="N321" s="117"/>
      <c r="O321" s="117"/>
      <c r="P321" s="117">
        <f t="shared" si="165"/>
        <v>0</v>
      </c>
      <c r="Q321" s="117">
        <v>922000000</v>
      </c>
      <c r="R321" s="117">
        <f t="shared" si="159"/>
        <v>922000000</v>
      </c>
      <c r="S321" s="117">
        <v>922000000</v>
      </c>
      <c r="T321" s="119"/>
      <c r="U321" s="117"/>
      <c r="V321" s="117">
        <f t="shared" si="160"/>
        <v>0</v>
      </c>
      <c r="W321" s="117">
        <f t="shared" si="161"/>
        <v>5017287247</v>
      </c>
      <c r="X321" s="117">
        <f t="shared" si="162"/>
        <v>0</v>
      </c>
      <c r="Y321" s="117">
        <f t="shared" si="163"/>
        <v>43992874544</v>
      </c>
      <c r="Z321" s="204">
        <f t="shared" si="153"/>
        <v>0</v>
      </c>
    </row>
    <row r="322" spans="1:26" s="113" customFormat="1">
      <c r="A322" s="114" t="s">
        <v>674</v>
      </c>
      <c r="B322" s="115" t="s">
        <v>1101</v>
      </c>
      <c r="C322" s="116" t="s">
        <v>457</v>
      </c>
      <c r="D322" s="116" t="s">
        <v>1102</v>
      </c>
      <c r="E322" s="117">
        <v>7799000000</v>
      </c>
      <c r="F322" s="117"/>
      <c r="G322" s="117"/>
      <c r="H322" s="117"/>
      <c r="I322" s="117"/>
      <c r="J322" s="118">
        <f t="shared" si="158"/>
        <v>0</v>
      </c>
      <c r="K322" s="117"/>
      <c r="L322" s="117">
        <f t="shared" si="164"/>
        <v>0</v>
      </c>
      <c r="M322" s="117"/>
      <c r="N322" s="117"/>
      <c r="O322" s="117"/>
      <c r="P322" s="117">
        <f t="shared" si="165"/>
        <v>0</v>
      </c>
      <c r="Q322" s="117">
        <v>57000000</v>
      </c>
      <c r="R322" s="117">
        <f t="shared" si="159"/>
        <v>0</v>
      </c>
      <c r="S322" s="117"/>
      <c r="T322" s="119"/>
      <c r="U322" s="117"/>
      <c r="V322" s="117">
        <f t="shared" si="160"/>
        <v>57000000</v>
      </c>
      <c r="W322" s="117">
        <f t="shared" si="161"/>
        <v>0</v>
      </c>
      <c r="X322" s="117">
        <f t="shared" si="162"/>
        <v>0</v>
      </c>
      <c r="Y322" s="117">
        <f t="shared" si="163"/>
        <v>0</v>
      </c>
      <c r="Z322" s="204">
        <f t="shared" si="153"/>
        <v>0</v>
      </c>
    </row>
    <row r="323" spans="1:26" s="113" customFormat="1">
      <c r="A323" s="114" t="s">
        <v>749</v>
      </c>
      <c r="B323" s="115" t="s">
        <v>1103</v>
      </c>
      <c r="C323" s="116" t="s">
        <v>457</v>
      </c>
      <c r="D323" s="116" t="s">
        <v>1104</v>
      </c>
      <c r="E323" s="117">
        <v>5585000000</v>
      </c>
      <c r="F323" s="117"/>
      <c r="G323" s="117"/>
      <c r="H323" s="117"/>
      <c r="I323" s="117"/>
      <c r="J323" s="118">
        <f t="shared" si="158"/>
        <v>0</v>
      </c>
      <c r="K323" s="117"/>
      <c r="L323" s="117">
        <f t="shared" si="164"/>
        <v>0</v>
      </c>
      <c r="M323" s="117"/>
      <c r="N323" s="117"/>
      <c r="O323" s="117"/>
      <c r="P323" s="117">
        <f t="shared" si="165"/>
        <v>0</v>
      </c>
      <c r="Q323" s="117">
        <v>49000000</v>
      </c>
      <c r="R323" s="117">
        <f t="shared" si="159"/>
        <v>0</v>
      </c>
      <c r="S323" s="117"/>
      <c r="T323" s="119"/>
      <c r="U323" s="117"/>
      <c r="V323" s="117">
        <f t="shared" si="160"/>
        <v>49000000</v>
      </c>
      <c r="W323" s="117">
        <f t="shared" si="161"/>
        <v>0</v>
      </c>
      <c r="X323" s="117">
        <f t="shared" si="162"/>
        <v>0</v>
      </c>
      <c r="Y323" s="117">
        <f t="shared" si="163"/>
        <v>0</v>
      </c>
      <c r="Z323" s="204">
        <f t="shared" si="153"/>
        <v>0</v>
      </c>
    </row>
    <row r="324" spans="1:26" s="113" customFormat="1">
      <c r="A324" s="114" t="s">
        <v>752</v>
      </c>
      <c r="B324" s="115" t="s">
        <v>1105</v>
      </c>
      <c r="C324" s="116" t="s">
        <v>457</v>
      </c>
      <c r="D324" s="116" t="s">
        <v>1106</v>
      </c>
      <c r="E324" s="117">
        <v>3808000000</v>
      </c>
      <c r="F324" s="117"/>
      <c r="G324" s="117"/>
      <c r="H324" s="117"/>
      <c r="I324" s="117"/>
      <c r="J324" s="118">
        <f t="shared" si="158"/>
        <v>0</v>
      </c>
      <c r="K324" s="117"/>
      <c r="L324" s="117">
        <f t="shared" si="164"/>
        <v>0</v>
      </c>
      <c r="M324" s="117"/>
      <c r="N324" s="117"/>
      <c r="O324" s="117"/>
      <c r="P324" s="117">
        <f t="shared" si="165"/>
        <v>0</v>
      </c>
      <c r="Q324" s="117">
        <v>73000000</v>
      </c>
      <c r="R324" s="117">
        <f t="shared" si="159"/>
        <v>73000000</v>
      </c>
      <c r="S324" s="117">
        <v>73000000</v>
      </c>
      <c r="T324" s="119"/>
      <c r="U324" s="117"/>
      <c r="V324" s="117">
        <f t="shared" si="160"/>
        <v>0</v>
      </c>
      <c r="W324" s="117">
        <f t="shared" si="161"/>
        <v>73000000</v>
      </c>
      <c r="X324" s="117">
        <f t="shared" si="162"/>
        <v>0</v>
      </c>
      <c r="Y324" s="117">
        <f t="shared" si="163"/>
        <v>73000000</v>
      </c>
      <c r="Z324" s="204">
        <f t="shared" si="153"/>
        <v>0</v>
      </c>
    </row>
    <row r="325" spans="1:26" s="113" customFormat="1">
      <c r="A325" s="114" t="s">
        <v>755</v>
      </c>
      <c r="B325" s="115" t="s">
        <v>1107</v>
      </c>
      <c r="C325" s="116" t="s">
        <v>457</v>
      </c>
      <c r="D325" s="116" t="s">
        <v>1108</v>
      </c>
      <c r="E325" s="117">
        <v>57409000000</v>
      </c>
      <c r="F325" s="117"/>
      <c r="G325" s="117"/>
      <c r="H325" s="117"/>
      <c r="I325" s="117"/>
      <c r="J325" s="118">
        <f t="shared" si="158"/>
        <v>0</v>
      </c>
      <c r="K325" s="117"/>
      <c r="L325" s="117">
        <f t="shared" si="164"/>
        <v>0</v>
      </c>
      <c r="M325" s="117"/>
      <c r="N325" s="117"/>
      <c r="O325" s="117"/>
      <c r="P325" s="117">
        <f t="shared" si="165"/>
        <v>0</v>
      </c>
      <c r="Q325" s="117">
        <v>3000000000</v>
      </c>
      <c r="R325" s="117">
        <f t="shared" si="159"/>
        <v>2999999000</v>
      </c>
      <c r="S325" s="117">
        <v>2999999000</v>
      </c>
      <c r="T325" s="119"/>
      <c r="U325" s="117"/>
      <c r="V325" s="117">
        <f t="shared" si="160"/>
        <v>1000</v>
      </c>
      <c r="W325" s="117">
        <f t="shared" si="161"/>
        <v>2999999000</v>
      </c>
      <c r="X325" s="117">
        <f t="shared" si="162"/>
        <v>0</v>
      </c>
      <c r="Y325" s="117">
        <f t="shared" si="163"/>
        <v>2999999000</v>
      </c>
      <c r="Z325" s="204">
        <f t="shared" si="153"/>
        <v>0</v>
      </c>
    </row>
    <row r="326" spans="1:26" s="113" customFormat="1">
      <c r="A326" s="114" t="s">
        <v>758</v>
      </c>
      <c r="B326" s="115" t="s">
        <v>1109</v>
      </c>
      <c r="C326" s="116" t="s">
        <v>457</v>
      </c>
      <c r="D326" s="116" t="s">
        <v>1110</v>
      </c>
      <c r="E326" s="117">
        <v>19026000000</v>
      </c>
      <c r="F326" s="117"/>
      <c r="G326" s="117"/>
      <c r="H326" s="117"/>
      <c r="I326" s="117"/>
      <c r="J326" s="118">
        <f t="shared" si="158"/>
        <v>0</v>
      </c>
      <c r="K326" s="117"/>
      <c r="L326" s="117">
        <f t="shared" si="164"/>
        <v>0</v>
      </c>
      <c r="M326" s="117"/>
      <c r="N326" s="117"/>
      <c r="O326" s="117"/>
      <c r="P326" s="117">
        <f t="shared" si="165"/>
        <v>0</v>
      </c>
      <c r="Q326" s="117">
        <v>430000000</v>
      </c>
      <c r="R326" s="117">
        <f t="shared" si="159"/>
        <v>430000000</v>
      </c>
      <c r="S326" s="117">
        <v>430000000</v>
      </c>
      <c r="T326" s="119"/>
      <c r="U326" s="117"/>
      <c r="V326" s="117">
        <f t="shared" si="160"/>
        <v>0</v>
      </c>
      <c r="W326" s="117">
        <f t="shared" si="161"/>
        <v>430000000</v>
      </c>
      <c r="X326" s="117">
        <f t="shared" si="162"/>
        <v>0</v>
      </c>
      <c r="Y326" s="117">
        <f t="shared" si="163"/>
        <v>430000000</v>
      </c>
      <c r="Z326" s="204">
        <f t="shared" si="153"/>
        <v>0</v>
      </c>
    </row>
    <row r="327" spans="1:26" s="113" customFormat="1" ht="24">
      <c r="A327" s="114" t="s">
        <v>761</v>
      </c>
      <c r="B327" s="115" t="s">
        <v>1111</v>
      </c>
      <c r="C327" s="116" t="s">
        <v>457</v>
      </c>
      <c r="D327" s="116" t="s">
        <v>1112</v>
      </c>
      <c r="E327" s="117">
        <v>1050000000</v>
      </c>
      <c r="F327" s="117"/>
      <c r="G327" s="117"/>
      <c r="H327" s="117"/>
      <c r="I327" s="117"/>
      <c r="J327" s="118">
        <f t="shared" si="158"/>
        <v>0</v>
      </c>
      <c r="K327" s="117"/>
      <c r="L327" s="117">
        <f t="shared" si="164"/>
        <v>0</v>
      </c>
      <c r="M327" s="117"/>
      <c r="N327" s="117"/>
      <c r="O327" s="117"/>
      <c r="P327" s="117">
        <f t="shared" si="165"/>
        <v>0</v>
      </c>
      <c r="Q327" s="117">
        <v>6000000</v>
      </c>
      <c r="R327" s="117">
        <f t="shared" si="159"/>
        <v>5816000</v>
      </c>
      <c r="S327" s="117">
        <v>5816000</v>
      </c>
      <c r="T327" s="119"/>
      <c r="U327" s="117"/>
      <c r="V327" s="117">
        <f t="shared" si="160"/>
        <v>184000</v>
      </c>
      <c r="W327" s="117">
        <f t="shared" si="161"/>
        <v>5816000</v>
      </c>
      <c r="X327" s="117">
        <f t="shared" si="162"/>
        <v>0</v>
      </c>
      <c r="Y327" s="117">
        <f t="shared" si="163"/>
        <v>5816000</v>
      </c>
      <c r="Z327" s="204">
        <f t="shared" si="153"/>
        <v>0</v>
      </c>
    </row>
    <row r="328" spans="1:26" s="113" customFormat="1" ht="24">
      <c r="A328" s="114" t="s">
        <v>764</v>
      </c>
      <c r="B328" s="115" t="s">
        <v>1113</v>
      </c>
      <c r="C328" s="116" t="s">
        <v>457</v>
      </c>
      <c r="D328" s="116" t="s">
        <v>1114</v>
      </c>
      <c r="E328" s="117">
        <v>12974000000</v>
      </c>
      <c r="F328" s="117">
        <v>2000000000</v>
      </c>
      <c r="G328" s="117">
        <v>60082000</v>
      </c>
      <c r="H328" s="117">
        <v>0</v>
      </c>
      <c r="I328" s="117">
        <v>60082000</v>
      </c>
      <c r="J328" s="118">
        <f t="shared" si="158"/>
        <v>0</v>
      </c>
      <c r="K328" s="117"/>
      <c r="L328" s="117">
        <f t="shared" si="164"/>
        <v>0</v>
      </c>
      <c r="M328" s="117"/>
      <c r="N328" s="117"/>
      <c r="O328" s="117"/>
      <c r="P328" s="117">
        <f t="shared" si="165"/>
        <v>0</v>
      </c>
      <c r="Q328" s="117">
        <v>1050000000</v>
      </c>
      <c r="R328" s="117">
        <f t="shared" si="159"/>
        <v>1045210000</v>
      </c>
      <c r="S328" s="117">
        <v>1045210000</v>
      </c>
      <c r="T328" s="119"/>
      <c r="U328" s="117"/>
      <c r="V328" s="117">
        <f t="shared" si="160"/>
        <v>4790000</v>
      </c>
      <c r="W328" s="117">
        <f t="shared" si="161"/>
        <v>1105292000</v>
      </c>
      <c r="X328" s="117">
        <f t="shared" si="162"/>
        <v>0</v>
      </c>
      <c r="Y328" s="117">
        <f t="shared" si="163"/>
        <v>3045210000</v>
      </c>
      <c r="Z328" s="204">
        <f t="shared" si="153"/>
        <v>0</v>
      </c>
    </row>
    <row r="329" spans="1:26" s="113" customFormat="1" ht="24">
      <c r="A329" s="114" t="s">
        <v>767</v>
      </c>
      <c r="B329" s="115" t="s">
        <v>1115</v>
      </c>
      <c r="C329" s="116" t="s">
        <v>457</v>
      </c>
      <c r="D329" s="116" t="s">
        <v>1116</v>
      </c>
      <c r="E329" s="117">
        <v>14588000000</v>
      </c>
      <c r="F329" s="117"/>
      <c r="G329" s="117"/>
      <c r="H329" s="117"/>
      <c r="I329" s="117"/>
      <c r="J329" s="118">
        <f t="shared" si="158"/>
        <v>0</v>
      </c>
      <c r="K329" s="117"/>
      <c r="L329" s="117">
        <f t="shared" si="164"/>
        <v>0</v>
      </c>
      <c r="M329" s="117"/>
      <c r="N329" s="117"/>
      <c r="O329" s="117"/>
      <c r="P329" s="117">
        <f t="shared" si="165"/>
        <v>0</v>
      </c>
      <c r="Q329" s="117">
        <v>37000000</v>
      </c>
      <c r="R329" s="117">
        <f t="shared" si="159"/>
        <v>36760000</v>
      </c>
      <c r="S329" s="117">
        <v>36760000</v>
      </c>
      <c r="T329" s="119"/>
      <c r="U329" s="117"/>
      <c r="V329" s="117">
        <f t="shared" si="160"/>
        <v>240000</v>
      </c>
      <c r="W329" s="117">
        <f t="shared" si="161"/>
        <v>36760000</v>
      </c>
      <c r="X329" s="117">
        <f t="shared" si="162"/>
        <v>0</v>
      </c>
      <c r="Y329" s="117">
        <f t="shared" si="163"/>
        <v>36760000</v>
      </c>
      <c r="Z329" s="204">
        <f t="shared" si="153"/>
        <v>0</v>
      </c>
    </row>
    <row r="330" spans="1:26" s="113" customFormat="1">
      <c r="A330" s="114" t="s">
        <v>770</v>
      </c>
      <c r="B330" s="115" t="s">
        <v>1117</v>
      </c>
      <c r="C330" s="116" t="s">
        <v>457</v>
      </c>
      <c r="D330" s="116" t="s">
        <v>1118</v>
      </c>
      <c r="E330" s="117">
        <v>46756000000</v>
      </c>
      <c r="F330" s="117"/>
      <c r="G330" s="149">
        <v>699761000</v>
      </c>
      <c r="H330" s="117"/>
      <c r="I330" s="117">
        <v>0</v>
      </c>
      <c r="J330" s="118">
        <f t="shared" si="158"/>
        <v>699761000</v>
      </c>
      <c r="K330" s="117"/>
      <c r="L330" s="117">
        <f t="shared" si="164"/>
        <v>0</v>
      </c>
      <c r="M330" s="117"/>
      <c r="N330" s="117"/>
      <c r="O330" s="117"/>
      <c r="P330" s="117">
        <f t="shared" si="165"/>
        <v>0</v>
      </c>
      <c r="Q330" s="117">
        <v>932000000</v>
      </c>
      <c r="R330" s="117">
        <f t="shared" si="159"/>
        <v>295645000</v>
      </c>
      <c r="S330" s="117">
        <v>295645000</v>
      </c>
      <c r="T330" s="119"/>
      <c r="U330" s="117"/>
      <c r="V330" s="117">
        <f t="shared" si="160"/>
        <v>636355000</v>
      </c>
      <c r="W330" s="117">
        <f t="shared" si="161"/>
        <v>295645000</v>
      </c>
      <c r="X330" s="117">
        <f t="shared" si="162"/>
        <v>699761000</v>
      </c>
      <c r="Y330" s="117">
        <f t="shared" si="163"/>
        <v>295645000</v>
      </c>
      <c r="Z330" s="204">
        <f t="shared" si="153"/>
        <v>0</v>
      </c>
    </row>
    <row r="331" spans="1:26" s="113" customFormat="1" ht="24">
      <c r="A331" s="114" t="s">
        <v>773</v>
      </c>
      <c r="B331" s="115" t="s">
        <v>1119</v>
      </c>
      <c r="C331" s="116" t="s">
        <v>457</v>
      </c>
      <c r="D331" s="116" t="s">
        <v>1120</v>
      </c>
      <c r="E331" s="117">
        <v>4941000000</v>
      </c>
      <c r="F331" s="117"/>
      <c r="G331" s="117"/>
      <c r="H331" s="117"/>
      <c r="I331" s="117"/>
      <c r="J331" s="118">
        <f t="shared" si="158"/>
        <v>0</v>
      </c>
      <c r="K331" s="117"/>
      <c r="L331" s="117">
        <f t="shared" si="164"/>
        <v>0</v>
      </c>
      <c r="M331" s="117"/>
      <c r="N331" s="117"/>
      <c r="O331" s="117"/>
      <c r="P331" s="117">
        <f t="shared" si="165"/>
        <v>0</v>
      </c>
      <c r="Q331" s="117">
        <v>20000000</v>
      </c>
      <c r="R331" s="117">
        <f t="shared" si="159"/>
        <v>19400000</v>
      </c>
      <c r="S331" s="117">
        <v>19400000</v>
      </c>
      <c r="T331" s="119"/>
      <c r="U331" s="117"/>
      <c r="V331" s="117">
        <f t="shared" si="160"/>
        <v>600000</v>
      </c>
      <c r="W331" s="117">
        <f t="shared" si="161"/>
        <v>19400000</v>
      </c>
      <c r="X331" s="117">
        <f t="shared" si="162"/>
        <v>0</v>
      </c>
      <c r="Y331" s="117">
        <f t="shared" si="163"/>
        <v>19400000</v>
      </c>
      <c r="Z331" s="204">
        <f t="shared" si="153"/>
        <v>0</v>
      </c>
    </row>
    <row r="332" spans="1:26" s="113" customFormat="1" ht="24">
      <c r="A332" s="114" t="s">
        <v>776</v>
      </c>
      <c r="B332" s="115" t="s">
        <v>1121</v>
      </c>
      <c r="C332" s="116" t="s">
        <v>457</v>
      </c>
      <c r="D332" s="116" t="s">
        <v>1122</v>
      </c>
      <c r="E332" s="117">
        <v>4569000000</v>
      </c>
      <c r="F332" s="117"/>
      <c r="G332" s="117"/>
      <c r="H332" s="117"/>
      <c r="I332" s="117"/>
      <c r="J332" s="118">
        <f t="shared" si="158"/>
        <v>0</v>
      </c>
      <c r="K332" s="117"/>
      <c r="L332" s="117">
        <f t="shared" si="164"/>
        <v>0</v>
      </c>
      <c r="M332" s="117"/>
      <c r="N332" s="117"/>
      <c r="O332" s="117"/>
      <c r="P332" s="117">
        <f t="shared" si="165"/>
        <v>0</v>
      </c>
      <c r="Q332" s="117">
        <v>26000000</v>
      </c>
      <c r="R332" s="117">
        <f t="shared" si="159"/>
        <v>25516000</v>
      </c>
      <c r="S332" s="117">
        <v>25516000</v>
      </c>
      <c r="T332" s="119"/>
      <c r="U332" s="117"/>
      <c r="V332" s="117">
        <f t="shared" si="160"/>
        <v>484000</v>
      </c>
      <c r="W332" s="117">
        <f t="shared" si="161"/>
        <v>25516000</v>
      </c>
      <c r="X332" s="117">
        <f t="shared" si="162"/>
        <v>0</v>
      </c>
      <c r="Y332" s="117">
        <f t="shared" si="163"/>
        <v>25516000</v>
      </c>
      <c r="Z332" s="204">
        <f t="shared" si="153"/>
        <v>0</v>
      </c>
    </row>
    <row r="333" spans="1:26" s="113" customFormat="1" ht="24">
      <c r="A333" s="114" t="s">
        <v>779</v>
      </c>
      <c r="B333" s="115" t="s">
        <v>1123</v>
      </c>
      <c r="C333" s="116" t="s">
        <v>457</v>
      </c>
      <c r="D333" s="116" t="s">
        <v>1124</v>
      </c>
      <c r="E333" s="117">
        <v>65767000000</v>
      </c>
      <c r="F333" s="117"/>
      <c r="G333" s="117"/>
      <c r="H333" s="117"/>
      <c r="I333" s="117"/>
      <c r="J333" s="118">
        <f t="shared" si="158"/>
        <v>0</v>
      </c>
      <c r="K333" s="117"/>
      <c r="L333" s="117">
        <f t="shared" si="164"/>
        <v>0</v>
      </c>
      <c r="M333" s="117"/>
      <c r="N333" s="117"/>
      <c r="O333" s="117"/>
      <c r="P333" s="117">
        <f t="shared" si="165"/>
        <v>0</v>
      </c>
      <c r="Q333" s="117">
        <v>5000000000</v>
      </c>
      <c r="R333" s="117">
        <f t="shared" si="159"/>
        <v>3788710111</v>
      </c>
      <c r="S333" s="117">
        <v>3788710111</v>
      </c>
      <c r="T333" s="119"/>
      <c r="U333" s="117"/>
      <c r="V333" s="117">
        <f t="shared" si="160"/>
        <v>1211289889</v>
      </c>
      <c r="W333" s="117">
        <f t="shared" si="161"/>
        <v>3788710111</v>
      </c>
      <c r="X333" s="117">
        <f t="shared" si="162"/>
        <v>0</v>
      </c>
      <c r="Y333" s="117">
        <f t="shared" si="163"/>
        <v>3788710111</v>
      </c>
      <c r="Z333" s="204">
        <f t="shared" ref="Z333:Z396" si="166">S333+M333+I333-W333</f>
        <v>0</v>
      </c>
    </row>
    <row r="334" spans="1:26" s="113" customFormat="1" ht="24">
      <c r="A334" s="114" t="s">
        <v>782</v>
      </c>
      <c r="B334" s="115" t="s">
        <v>1125</v>
      </c>
      <c r="C334" s="116" t="s">
        <v>457</v>
      </c>
      <c r="D334" s="116" t="s">
        <v>1126</v>
      </c>
      <c r="E334" s="117">
        <v>1141000000</v>
      </c>
      <c r="F334" s="117"/>
      <c r="G334" s="117"/>
      <c r="H334" s="117"/>
      <c r="I334" s="117"/>
      <c r="J334" s="118">
        <f t="shared" si="158"/>
        <v>0</v>
      </c>
      <c r="K334" s="117"/>
      <c r="L334" s="117">
        <f t="shared" si="164"/>
        <v>0</v>
      </c>
      <c r="M334" s="117"/>
      <c r="N334" s="117"/>
      <c r="O334" s="117"/>
      <c r="P334" s="117">
        <f t="shared" si="165"/>
        <v>0</v>
      </c>
      <c r="Q334" s="117">
        <v>11000000</v>
      </c>
      <c r="R334" s="117">
        <f t="shared" si="159"/>
        <v>10840000</v>
      </c>
      <c r="S334" s="117">
        <v>10840000</v>
      </c>
      <c r="T334" s="117"/>
      <c r="U334" s="117"/>
      <c r="V334" s="117">
        <f t="shared" si="160"/>
        <v>160000</v>
      </c>
      <c r="W334" s="117">
        <f t="shared" si="161"/>
        <v>10840000</v>
      </c>
      <c r="X334" s="117">
        <f t="shared" si="162"/>
        <v>0</v>
      </c>
      <c r="Y334" s="117">
        <f t="shared" si="163"/>
        <v>10840000</v>
      </c>
      <c r="Z334" s="204">
        <f t="shared" si="166"/>
        <v>0</v>
      </c>
    </row>
    <row r="335" spans="1:26" s="113" customFormat="1" ht="24">
      <c r="A335" s="114" t="s">
        <v>785</v>
      </c>
      <c r="B335" s="115" t="s">
        <v>1127</v>
      </c>
      <c r="C335" s="116" t="s">
        <v>457</v>
      </c>
      <c r="D335" s="116" t="s">
        <v>1128</v>
      </c>
      <c r="E335" s="117">
        <v>9012000000</v>
      </c>
      <c r="F335" s="117">
        <v>6355441000</v>
      </c>
      <c r="G335" s="117">
        <v>0</v>
      </c>
      <c r="H335" s="117"/>
      <c r="I335" s="117"/>
      <c r="J335" s="118">
        <f>G335-H335-I335+N335</f>
        <v>0</v>
      </c>
      <c r="K335" s="140">
        <v>65000000</v>
      </c>
      <c r="L335" s="117">
        <f>SUM(M335:N335)</f>
        <v>0</v>
      </c>
      <c r="M335" s="117"/>
      <c r="N335" s="117"/>
      <c r="O335" s="117"/>
      <c r="P335" s="117">
        <f>K335-L335-O335</f>
        <v>65000000</v>
      </c>
      <c r="Q335" s="117"/>
      <c r="R335" s="117">
        <f>SUM(S335:T335)</f>
        <v>0</v>
      </c>
      <c r="S335" s="117"/>
      <c r="T335" s="117"/>
      <c r="U335" s="117"/>
      <c r="V335" s="117">
        <f>Q335-R335-U335</f>
        <v>0</v>
      </c>
      <c r="W335" s="117">
        <f>SUM(I335,M335,S335)</f>
        <v>0</v>
      </c>
      <c r="X335" s="117">
        <f>G335-H335-I335+N335+T335</f>
        <v>0</v>
      </c>
      <c r="Y335" s="117">
        <f>F335+L335+R335</f>
        <v>6355441000</v>
      </c>
      <c r="Z335" s="204">
        <f t="shared" si="166"/>
        <v>0</v>
      </c>
    </row>
    <row r="336" spans="1:26" s="113" customFormat="1" ht="24">
      <c r="A336" s="114" t="s">
        <v>788</v>
      </c>
      <c r="B336" s="115" t="s">
        <v>1129</v>
      </c>
      <c r="C336" s="116" t="s">
        <v>457</v>
      </c>
      <c r="D336" s="116" t="s">
        <v>1130</v>
      </c>
      <c r="E336" s="117">
        <v>28098000000</v>
      </c>
      <c r="F336" s="117">
        <v>19425151135</v>
      </c>
      <c r="G336" s="117">
        <v>0</v>
      </c>
      <c r="H336" s="117"/>
      <c r="I336" s="117"/>
      <c r="J336" s="118">
        <f t="shared" ref="J336" si="167">G336-H336-I336+N336</f>
        <v>0</v>
      </c>
      <c r="K336" s="140">
        <v>577000000</v>
      </c>
      <c r="L336" s="117">
        <f t="shared" ref="L336:L337" si="168">SUM(M336:N336)</f>
        <v>0</v>
      </c>
      <c r="M336" s="117"/>
      <c r="N336" s="117"/>
      <c r="O336" s="117"/>
      <c r="P336" s="117">
        <f t="shared" ref="P336:P337" si="169">K336-L336-O336</f>
        <v>577000000</v>
      </c>
      <c r="Q336" s="117"/>
      <c r="R336" s="117">
        <f t="shared" ref="R336" si="170">SUM(S336:T336)</f>
        <v>0</v>
      </c>
      <c r="S336" s="117"/>
      <c r="T336" s="117"/>
      <c r="U336" s="117"/>
      <c r="V336" s="117">
        <f t="shared" ref="V336:V337" si="171">Q336-R336-U336</f>
        <v>0</v>
      </c>
      <c r="W336" s="117">
        <f t="shared" ref="W336" si="172">SUM(I336,M336,S336)</f>
        <v>0</v>
      </c>
      <c r="X336" s="117">
        <f t="shared" ref="X336" si="173">G336-H336-I336+N336+T336</f>
        <v>0</v>
      </c>
      <c r="Y336" s="117">
        <f t="shared" ref="Y336" si="174">F336+L336+R336</f>
        <v>19425151135</v>
      </c>
      <c r="Z336" s="204">
        <f t="shared" si="166"/>
        <v>0</v>
      </c>
    </row>
    <row r="337" spans="1:26" s="113" customFormat="1">
      <c r="A337" s="114" t="s">
        <v>791</v>
      </c>
      <c r="B337" s="115" t="s">
        <v>1131</v>
      </c>
      <c r="C337" s="116" t="s">
        <v>457</v>
      </c>
      <c r="D337" s="116" t="s">
        <v>1132</v>
      </c>
      <c r="E337" s="117">
        <v>26301000000</v>
      </c>
      <c r="F337" s="117">
        <v>5741644000</v>
      </c>
      <c r="G337" s="117">
        <f>1367818000+2000000000</f>
        <v>3367818000</v>
      </c>
      <c r="H337" s="117">
        <v>201901000</v>
      </c>
      <c r="I337" s="117">
        <v>2130917000</v>
      </c>
      <c r="J337" s="118">
        <f>G337-H337-I337+N337</f>
        <v>1035000000</v>
      </c>
      <c r="K337" s="140">
        <v>11364000000</v>
      </c>
      <c r="L337" s="117">
        <f t="shared" si="168"/>
        <v>3329328000</v>
      </c>
      <c r="M337" s="117">
        <v>3329328000</v>
      </c>
      <c r="N337" s="117"/>
      <c r="O337" s="117"/>
      <c r="P337" s="117">
        <f t="shared" si="169"/>
        <v>8034672000</v>
      </c>
      <c r="Q337" s="117"/>
      <c r="R337" s="117">
        <f>SUM(S337:T337)</f>
        <v>0</v>
      </c>
      <c r="S337" s="117"/>
      <c r="T337" s="117"/>
      <c r="U337" s="117"/>
      <c r="V337" s="117">
        <f t="shared" si="171"/>
        <v>0</v>
      </c>
      <c r="W337" s="117">
        <f>SUM(I337,M337,S337)</f>
        <v>5460245000</v>
      </c>
      <c r="X337" s="117">
        <f>G337-H337-I337+N337+T337</f>
        <v>1035000000</v>
      </c>
      <c r="Y337" s="117">
        <f>F337+L337+R337</f>
        <v>9070972000</v>
      </c>
      <c r="Z337" s="204">
        <f t="shared" si="166"/>
        <v>0</v>
      </c>
    </row>
    <row r="338" spans="1:26" s="113" customFormat="1">
      <c r="A338" s="114" t="s">
        <v>794</v>
      </c>
      <c r="B338" s="115" t="s">
        <v>1133</v>
      </c>
      <c r="C338" s="116" t="s">
        <v>457</v>
      </c>
      <c r="D338" s="116" t="s">
        <v>1134</v>
      </c>
      <c r="E338" s="117">
        <v>13598000000</v>
      </c>
      <c r="F338" s="117">
        <v>7363670000</v>
      </c>
      <c r="G338" s="117">
        <v>189937000</v>
      </c>
      <c r="H338" s="117">
        <v>0</v>
      </c>
      <c r="I338" s="117">
        <v>189937000</v>
      </c>
      <c r="J338" s="118">
        <f>G338-H338-I338+N338</f>
        <v>0</v>
      </c>
      <c r="K338" s="140">
        <v>255513000</v>
      </c>
      <c r="L338" s="117">
        <f>SUM(M338:N338)</f>
        <v>0</v>
      </c>
      <c r="M338" s="117"/>
      <c r="N338" s="117"/>
      <c r="O338" s="117"/>
      <c r="P338" s="117">
        <f>K338-L338-O338</f>
        <v>255513000</v>
      </c>
      <c r="Q338" s="117"/>
      <c r="R338" s="117">
        <f>SUM(S338:T338)</f>
        <v>0</v>
      </c>
      <c r="S338" s="117"/>
      <c r="T338" s="117"/>
      <c r="U338" s="117"/>
      <c r="V338" s="117">
        <f>Q338-R338-U338</f>
        <v>0</v>
      </c>
      <c r="W338" s="117">
        <f>SUM(I338,M338,S338)</f>
        <v>189937000</v>
      </c>
      <c r="X338" s="117">
        <f>G338-H338-I338+N338+T338</f>
        <v>0</v>
      </c>
      <c r="Y338" s="117">
        <f>F338+L338+R338</f>
        <v>7363670000</v>
      </c>
      <c r="Z338" s="204">
        <f t="shared" si="166"/>
        <v>0</v>
      </c>
    </row>
    <row r="339" spans="1:26" s="113" customFormat="1">
      <c r="A339" s="114" t="s">
        <v>797</v>
      </c>
      <c r="B339" s="115" t="s">
        <v>1135</v>
      </c>
      <c r="C339" s="116" t="s">
        <v>457</v>
      </c>
      <c r="D339" s="116" t="s">
        <v>1136</v>
      </c>
      <c r="E339" s="117">
        <v>33892000000</v>
      </c>
      <c r="F339" s="117">
        <v>14519396000</v>
      </c>
      <c r="G339" s="117">
        <v>0</v>
      </c>
      <c r="H339" s="117"/>
      <c r="I339" s="117"/>
      <c r="J339" s="118">
        <f>G339-H339-I339+N339</f>
        <v>0</v>
      </c>
      <c r="K339" s="140">
        <v>687737000</v>
      </c>
      <c r="L339" s="117">
        <f>SUM(M339:N339)</f>
        <v>678943000</v>
      </c>
      <c r="M339" s="117">
        <v>678943000</v>
      </c>
      <c r="N339" s="117"/>
      <c r="O339" s="117"/>
      <c r="P339" s="117">
        <f>K339-L339-O339</f>
        <v>8794000</v>
      </c>
      <c r="Q339" s="117"/>
      <c r="R339" s="117">
        <f>SUM(S339:T339)</f>
        <v>0</v>
      </c>
      <c r="S339" s="117"/>
      <c r="T339" s="117"/>
      <c r="U339" s="117"/>
      <c r="V339" s="117">
        <f>Q339-R339-U339</f>
        <v>0</v>
      </c>
      <c r="W339" s="117">
        <f>SUM(I339,M339,S339)</f>
        <v>678943000</v>
      </c>
      <c r="X339" s="117">
        <f>G339-H339-I339+N339+T339</f>
        <v>0</v>
      </c>
      <c r="Y339" s="117">
        <f>F339+L339+R339</f>
        <v>15198339000</v>
      </c>
      <c r="Z339" s="204">
        <f t="shared" si="166"/>
        <v>0</v>
      </c>
    </row>
    <row r="340" spans="1:26" s="113" customFormat="1" ht="24">
      <c r="A340" s="114" t="s">
        <v>800</v>
      </c>
      <c r="B340" s="115" t="s">
        <v>819</v>
      </c>
      <c r="C340" s="116" t="s">
        <v>457</v>
      </c>
      <c r="D340" s="116" t="s">
        <v>820</v>
      </c>
      <c r="E340" s="117">
        <v>10500000000</v>
      </c>
      <c r="F340" s="117"/>
      <c r="G340" s="117"/>
      <c r="H340" s="117"/>
      <c r="I340" s="117"/>
      <c r="J340" s="118">
        <f>G340-H340-I340+N340</f>
        <v>0</v>
      </c>
      <c r="K340" s="140">
        <v>2421834000</v>
      </c>
      <c r="L340" s="117">
        <f>SUM(M340:N340)</f>
        <v>2421834000</v>
      </c>
      <c r="M340" s="117">
        <v>2421834000</v>
      </c>
      <c r="N340" s="117"/>
      <c r="O340" s="117"/>
      <c r="P340" s="117">
        <f>K340-L340-O340</f>
        <v>0</v>
      </c>
      <c r="Q340" s="117"/>
      <c r="R340" s="117">
        <f>SUM(S340:T340)</f>
        <v>0</v>
      </c>
      <c r="S340" s="117"/>
      <c r="T340" s="117"/>
      <c r="U340" s="117"/>
      <c r="V340" s="117">
        <f>Q340-R340-U340</f>
        <v>0</v>
      </c>
      <c r="W340" s="117">
        <f>SUM(I340,M340,S340)</f>
        <v>2421834000</v>
      </c>
      <c r="X340" s="117">
        <f>G340-H340-I340+N340+T340</f>
        <v>0</v>
      </c>
      <c r="Y340" s="117">
        <f>F340+L340+R340</f>
        <v>2421834000</v>
      </c>
      <c r="Z340" s="204">
        <f t="shared" si="166"/>
        <v>0</v>
      </c>
    </row>
    <row r="341" spans="1:26" s="113" customFormat="1" ht="24">
      <c r="A341" s="114" t="s">
        <v>803</v>
      </c>
      <c r="B341" s="115" t="s">
        <v>1137</v>
      </c>
      <c r="C341" s="116" t="s">
        <v>457</v>
      </c>
      <c r="D341" s="116" t="s">
        <v>1138</v>
      </c>
      <c r="E341" s="117">
        <v>219984000000</v>
      </c>
      <c r="F341" s="117">
        <v>35455429500</v>
      </c>
      <c r="G341" s="117">
        <v>0</v>
      </c>
      <c r="H341" s="117"/>
      <c r="I341" s="117"/>
      <c r="J341" s="118">
        <f>G341-H341-I341+N341</f>
        <v>0</v>
      </c>
      <c r="K341" s="140">
        <v>283100000</v>
      </c>
      <c r="L341" s="117">
        <f>SUM(M341:N341)</f>
        <v>0</v>
      </c>
      <c r="M341" s="117"/>
      <c r="N341" s="117"/>
      <c r="O341" s="117"/>
      <c r="P341" s="117">
        <f>K341-L341-O341</f>
        <v>283100000</v>
      </c>
      <c r="Q341" s="117"/>
      <c r="R341" s="117">
        <f>SUM(S341:T341)</f>
        <v>0</v>
      </c>
      <c r="S341" s="117"/>
      <c r="T341" s="117"/>
      <c r="U341" s="117"/>
      <c r="V341" s="117">
        <f>Q341-R341-U341</f>
        <v>0</v>
      </c>
      <c r="W341" s="117">
        <f>SUM(I341,M341,S341)</f>
        <v>0</v>
      </c>
      <c r="X341" s="117">
        <f>G341-H341-I341+N341+T341</f>
        <v>0</v>
      </c>
      <c r="Y341" s="117">
        <f>F341+L341+R341</f>
        <v>35455429500</v>
      </c>
      <c r="Z341" s="204">
        <f t="shared" si="166"/>
        <v>0</v>
      </c>
    </row>
    <row r="342" spans="1:26" s="113" customFormat="1">
      <c r="A342" s="114" t="s">
        <v>806</v>
      </c>
      <c r="B342" s="115" t="s">
        <v>931</v>
      </c>
      <c r="C342" s="116" t="s">
        <v>457</v>
      </c>
      <c r="D342" s="116" t="s">
        <v>932</v>
      </c>
      <c r="E342" s="117">
        <v>33819000000</v>
      </c>
      <c r="F342" s="117"/>
      <c r="G342" s="117"/>
      <c r="H342" s="117"/>
      <c r="I342" s="117"/>
      <c r="J342" s="118">
        <f t="shared" ref="J342:J343" si="175">G342-H342-I342+N342</f>
        <v>0</v>
      </c>
      <c r="K342" s="140">
        <v>2550692240</v>
      </c>
      <c r="L342" s="117">
        <f t="shared" ref="L342:L343" si="176">SUM(M342:N342)</f>
        <v>17801000</v>
      </c>
      <c r="M342" s="117">
        <v>17801000</v>
      </c>
      <c r="N342" s="117"/>
      <c r="O342" s="117"/>
      <c r="P342" s="117">
        <f t="shared" ref="P342:P343" si="177">K342-L342-O342</f>
        <v>2532891240</v>
      </c>
      <c r="Q342" s="117"/>
      <c r="R342" s="117">
        <f t="shared" ref="R342:R343" si="178">SUM(S342:T342)</f>
        <v>0</v>
      </c>
      <c r="S342" s="117"/>
      <c r="T342" s="117"/>
      <c r="U342" s="117"/>
      <c r="V342" s="117">
        <f t="shared" ref="V342:V343" si="179">Q342-R342-U342</f>
        <v>0</v>
      </c>
      <c r="W342" s="117">
        <f t="shared" ref="W342:W343" si="180">SUM(I342,M342,S342)</f>
        <v>17801000</v>
      </c>
      <c r="X342" s="117">
        <f t="shared" ref="X342:X343" si="181">G342-H342-I342+N342+T342</f>
        <v>0</v>
      </c>
      <c r="Y342" s="117">
        <f t="shared" ref="Y342:Y343" si="182">F342+L342+R342</f>
        <v>17801000</v>
      </c>
      <c r="Z342" s="204">
        <f t="shared" si="166"/>
        <v>0</v>
      </c>
    </row>
    <row r="343" spans="1:26" s="113" customFormat="1" ht="24">
      <c r="A343" s="114" t="s">
        <v>809</v>
      </c>
      <c r="B343" s="115" t="s">
        <v>1139</v>
      </c>
      <c r="C343" s="116" t="s">
        <v>457</v>
      </c>
      <c r="D343" s="116" t="s">
        <v>1140</v>
      </c>
      <c r="E343" s="117">
        <v>29822933238</v>
      </c>
      <c r="F343" s="117">
        <v>18495265000</v>
      </c>
      <c r="G343" s="117">
        <v>0</v>
      </c>
      <c r="H343" s="117"/>
      <c r="I343" s="117"/>
      <c r="J343" s="118">
        <f t="shared" si="175"/>
        <v>0</v>
      </c>
      <c r="K343" s="140">
        <v>677000000</v>
      </c>
      <c r="L343" s="117">
        <f t="shared" si="176"/>
        <v>0</v>
      </c>
      <c r="M343" s="117"/>
      <c r="N343" s="117"/>
      <c r="O343" s="117"/>
      <c r="P343" s="117">
        <f t="shared" si="177"/>
        <v>677000000</v>
      </c>
      <c r="Q343" s="117"/>
      <c r="R343" s="117">
        <f t="shared" si="178"/>
        <v>0</v>
      </c>
      <c r="S343" s="117"/>
      <c r="T343" s="117"/>
      <c r="U343" s="117"/>
      <c r="V343" s="117">
        <f t="shared" si="179"/>
        <v>0</v>
      </c>
      <c r="W343" s="117">
        <f t="shared" si="180"/>
        <v>0</v>
      </c>
      <c r="X343" s="117">
        <f t="shared" si="181"/>
        <v>0</v>
      </c>
      <c r="Y343" s="117">
        <f t="shared" si="182"/>
        <v>18495265000</v>
      </c>
      <c r="Z343" s="204">
        <f t="shared" si="166"/>
        <v>0</v>
      </c>
    </row>
    <row r="344" spans="1:26" s="113" customFormat="1">
      <c r="A344" s="114" t="s">
        <v>812</v>
      </c>
      <c r="B344" s="115" t="s">
        <v>1141</v>
      </c>
      <c r="C344" s="116" t="s">
        <v>457</v>
      </c>
      <c r="D344" s="116" t="s">
        <v>1142</v>
      </c>
      <c r="E344" s="117">
        <v>153164000000</v>
      </c>
      <c r="F344" s="117">
        <v>19263256953</v>
      </c>
      <c r="G344" s="125">
        <v>129604000</v>
      </c>
      <c r="H344" s="117">
        <v>0</v>
      </c>
      <c r="I344" s="117">
        <v>129604000</v>
      </c>
      <c r="J344" s="118">
        <f>G344-H344-I344+N344</f>
        <v>0</v>
      </c>
      <c r="K344" s="140">
        <v>323000000</v>
      </c>
      <c r="L344" s="117">
        <f>SUM(M344:N344)</f>
        <v>287500000</v>
      </c>
      <c r="M344" s="117">
        <v>287500000</v>
      </c>
      <c r="N344" s="117"/>
      <c r="O344" s="117"/>
      <c r="P344" s="117">
        <f>K344-L344-O344</f>
        <v>35500000</v>
      </c>
      <c r="Q344" s="117"/>
      <c r="R344" s="117">
        <f>SUM(S344:T344)</f>
        <v>0</v>
      </c>
      <c r="S344" s="117"/>
      <c r="T344" s="117"/>
      <c r="U344" s="117"/>
      <c r="V344" s="117">
        <f>Q344-R344-U344</f>
        <v>0</v>
      </c>
      <c r="W344" s="117">
        <f>SUM(I344,M344,S344)</f>
        <v>417104000</v>
      </c>
      <c r="X344" s="117">
        <f>G344-H344-I344+N344+T344</f>
        <v>0</v>
      </c>
      <c r="Y344" s="117">
        <f>F344+L344+R344</f>
        <v>19550756953</v>
      </c>
      <c r="Z344" s="204">
        <f t="shared" si="166"/>
        <v>0</v>
      </c>
    </row>
    <row r="345" spans="1:26" s="113" customFormat="1">
      <c r="A345" s="114" t="s">
        <v>815</v>
      </c>
      <c r="B345" s="115" t="s">
        <v>1143</v>
      </c>
      <c r="C345" s="116" t="s">
        <v>457</v>
      </c>
      <c r="D345" s="116" t="s">
        <v>1144</v>
      </c>
      <c r="E345" s="117">
        <v>6963000000</v>
      </c>
      <c r="F345" s="117">
        <v>156644000</v>
      </c>
      <c r="G345" s="117"/>
      <c r="H345" s="117"/>
      <c r="I345" s="117"/>
      <c r="J345" s="118">
        <f>G345-H345-I345+N345</f>
        <v>0</v>
      </c>
      <c r="K345" s="140">
        <v>6963000000</v>
      </c>
      <c r="L345" s="117">
        <f>SUM(M345:N345)</f>
        <v>0</v>
      </c>
      <c r="M345" s="117"/>
      <c r="N345" s="117"/>
      <c r="O345" s="117"/>
      <c r="P345" s="117">
        <f>K345-L345-O345</f>
        <v>6963000000</v>
      </c>
      <c r="Q345" s="117"/>
      <c r="R345" s="117">
        <f>SUM(S345:T345)</f>
        <v>0</v>
      </c>
      <c r="S345" s="117"/>
      <c r="T345" s="117"/>
      <c r="U345" s="117"/>
      <c r="V345" s="117">
        <f>Q345-R345-U345</f>
        <v>0</v>
      </c>
      <c r="W345" s="117">
        <f>SUM(I345,M345,S345)</f>
        <v>0</v>
      </c>
      <c r="X345" s="117">
        <f>G345-H345-I345+N345+T345</f>
        <v>0</v>
      </c>
      <c r="Y345" s="117">
        <f>F345+L345+R345</f>
        <v>156644000</v>
      </c>
      <c r="Z345" s="204">
        <f t="shared" si="166"/>
        <v>0</v>
      </c>
    </row>
    <row r="346" spans="1:26" s="113" customFormat="1">
      <c r="A346" s="114" t="s">
        <v>818</v>
      </c>
      <c r="B346" s="115" t="s">
        <v>1145</v>
      </c>
      <c r="C346" s="116" t="s">
        <v>457</v>
      </c>
      <c r="D346" s="116" t="s">
        <v>1146</v>
      </c>
      <c r="E346" s="117">
        <v>6908000000</v>
      </c>
      <c r="F346" s="117">
        <v>4174641000</v>
      </c>
      <c r="G346" s="117">
        <v>0</v>
      </c>
      <c r="H346" s="117"/>
      <c r="I346" s="117"/>
      <c r="J346" s="118">
        <f>G346-H346-I346+N346</f>
        <v>0</v>
      </c>
      <c r="K346" s="140">
        <v>1048000000</v>
      </c>
      <c r="L346" s="117">
        <f>SUM(M346:N346)</f>
        <v>904438000</v>
      </c>
      <c r="M346" s="117">
        <v>904438000</v>
      </c>
      <c r="N346" s="117"/>
      <c r="O346" s="117"/>
      <c r="P346" s="117">
        <f>K346-L346-O346</f>
        <v>143562000</v>
      </c>
      <c r="Q346" s="117"/>
      <c r="R346" s="117">
        <f>SUM(S346:T346)</f>
        <v>0</v>
      </c>
      <c r="S346" s="117"/>
      <c r="T346" s="117"/>
      <c r="U346" s="117"/>
      <c r="V346" s="117">
        <f>Q346-R346-U346</f>
        <v>0</v>
      </c>
      <c r="W346" s="117">
        <f>SUM(I346,M346,S346)</f>
        <v>904438000</v>
      </c>
      <c r="X346" s="117">
        <f>G346-H346-I346+N346+T346</f>
        <v>0</v>
      </c>
      <c r="Y346" s="117">
        <f>F346+L346+R346</f>
        <v>5079079000</v>
      </c>
      <c r="Z346" s="204">
        <f t="shared" si="166"/>
        <v>0</v>
      </c>
    </row>
    <row r="347" spans="1:26" s="113" customFormat="1">
      <c r="A347" s="114" t="s">
        <v>821</v>
      </c>
      <c r="B347" s="115" t="s">
        <v>1147</v>
      </c>
      <c r="C347" s="116" t="s">
        <v>457</v>
      </c>
      <c r="D347" s="116" t="s">
        <v>1148</v>
      </c>
      <c r="E347" s="117">
        <v>8399000000</v>
      </c>
      <c r="F347" s="117">
        <v>711515000</v>
      </c>
      <c r="G347" s="117"/>
      <c r="H347" s="117"/>
      <c r="I347" s="117"/>
      <c r="J347" s="118">
        <f t="shared" ref="J347:J349" si="183">G347-H347-I347+N347</f>
        <v>0</v>
      </c>
      <c r="K347" s="140">
        <v>138000000</v>
      </c>
      <c r="L347" s="117">
        <f t="shared" ref="L347:L349" si="184">SUM(M347:N347)</f>
        <v>31655599</v>
      </c>
      <c r="M347" s="117">
        <v>31655599</v>
      </c>
      <c r="N347" s="117"/>
      <c r="O347" s="117"/>
      <c r="P347" s="117">
        <f t="shared" ref="P347:P349" si="185">K347-L347-O347</f>
        <v>106344401</v>
      </c>
      <c r="Q347" s="117"/>
      <c r="R347" s="117">
        <f t="shared" ref="R347:R349" si="186">SUM(S347:T347)</f>
        <v>0</v>
      </c>
      <c r="S347" s="117"/>
      <c r="T347" s="119"/>
      <c r="U347" s="117"/>
      <c r="V347" s="117">
        <f t="shared" ref="V347:V349" si="187">Q347-R347-U347</f>
        <v>0</v>
      </c>
      <c r="W347" s="117">
        <f t="shared" ref="W347:W349" si="188">SUM(I347,M347,S347)</f>
        <v>31655599</v>
      </c>
      <c r="X347" s="117">
        <f t="shared" ref="X347:X349" si="189">G347-H347-I347+N347+T347</f>
        <v>0</v>
      </c>
      <c r="Y347" s="117">
        <f t="shared" ref="Y347:Y349" si="190">F347+L347+R347</f>
        <v>743170599</v>
      </c>
      <c r="Z347" s="204">
        <f t="shared" si="166"/>
        <v>0</v>
      </c>
    </row>
    <row r="348" spans="1:26" s="113" customFormat="1">
      <c r="A348" s="114" t="s">
        <v>824</v>
      </c>
      <c r="B348" s="115" t="s">
        <v>1149</v>
      </c>
      <c r="C348" s="116" t="s">
        <v>457</v>
      </c>
      <c r="D348" s="116" t="s">
        <v>1150</v>
      </c>
      <c r="E348" s="117">
        <v>6064000000</v>
      </c>
      <c r="F348" s="117">
        <v>2681043000</v>
      </c>
      <c r="G348" s="117">
        <v>4271000</v>
      </c>
      <c r="H348" s="117">
        <v>0</v>
      </c>
      <c r="I348" s="117">
        <v>4271000</v>
      </c>
      <c r="J348" s="118">
        <f t="shared" si="183"/>
        <v>0</v>
      </c>
      <c r="K348" s="140">
        <v>60000000</v>
      </c>
      <c r="L348" s="117">
        <f t="shared" si="184"/>
        <v>52546000</v>
      </c>
      <c r="M348" s="117">
        <v>52546000</v>
      </c>
      <c r="N348" s="117"/>
      <c r="O348" s="117"/>
      <c r="P348" s="117">
        <f t="shared" si="185"/>
        <v>7454000</v>
      </c>
      <c r="Q348" s="117"/>
      <c r="R348" s="117">
        <f t="shared" si="186"/>
        <v>0</v>
      </c>
      <c r="S348" s="117"/>
      <c r="T348" s="119"/>
      <c r="U348" s="117"/>
      <c r="V348" s="117">
        <f t="shared" si="187"/>
        <v>0</v>
      </c>
      <c r="W348" s="117">
        <f t="shared" si="188"/>
        <v>56817000</v>
      </c>
      <c r="X348" s="117">
        <f t="shared" si="189"/>
        <v>0</v>
      </c>
      <c r="Y348" s="117">
        <f t="shared" si="190"/>
        <v>2733589000</v>
      </c>
      <c r="Z348" s="204">
        <f t="shared" si="166"/>
        <v>0</v>
      </c>
    </row>
    <row r="349" spans="1:26" s="113" customFormat="1">
      <c r="A349" s="114" t="s">
        <v>827</v>
      </c>
      <c r="B349" s="115" t="s">
        <v>1151</v>
      </c>
      <c r="C349" s="116" t="s">
        <v>457</v>
      </c>
      <c r="D349" s="116" t="s">
        <v>1152</v>
      </c>
      <c r="E349" s="117">
        <v>9202000000</v>
      </c>
      <c r="F349" s="117">
        <v>2207805875</v>
      </c>
      <c r="G349" s="150">
        <v>181761875</v>
      </c>
      <c r="H349" s="150">
        <v>0</v>
      </c>
      <c r="I349" s="150">
        <v>181761875</v>
      </c>
      <c r="J349" s="118">
        <f t="shared" si="183"/>
        <v>49988024</v>
      </c>
      <c r="K349" s="140">
        <v>1992000000</v>
      </c>
      <c r="L349" s="117">
        <f t="shared" si="184"/>
        <v>1251586303</v>
      </c>
      <c r="M349" s="117">
        <v>1201598279</v>
      </c>
      <c r="N349" s="117">
        <v>49988024</v>
      </c>
      <c r="O349" s="117"/>
      <c r="P349" s="117">
        <f t="shared" si="185"/>
        <v>740413697</v>
      </c>
      <c r="Q349" s="117"/>
      <c r="R349" s="117">
        <f t="shared" si="186"/>
        <v>0</v>
      </c>
      <c r="S349" s="117"/>
      <c r="T349" s="119"/>
      <c r="U349" s="117"/>
      <c r="V349" s="117">
        <f t="shared" si="187"/>
        <v>0</v>
      </c>
      <c r="W349" s="117">
        <f t="shared" si="188"/>
        <v>1383360154</v>
      </c>
      <c r="X349" s="117">
        <f t="shared" si="189"/>
        <v>49988024</v>
      </c>
      <c r="Y349" s="117">
        <f t="shared" si="190"/>
        <v>3459392178</v>
      </c>
      <c r="Z349" s="204">
        <f t="shared" si="166"/>
        <v>0</v>
      </c>
    </row>
    <row r="350" spans="1:26" s="113" customFormat="1">
      <c r="A350" s="114" t="s">
        <v>830</v>
      </c>
      <c r="B350" s="115" t="s">
        <v>1153</v>
      </c>
      <c r="C350" s="116" t="s">
        <v>457</v>
      </c>
      <c r="D350" s="116" t="s">
        <v>1154</v>
      </c>
      <c r="E350" s="117">
        <v>6774000000</v>
      </c>
      <c r="F350" s="117">
        <v>978734527</v>
      </c>
      <c r="G350" s="117"/>
      <c r="H350" s="117"/>
      <c r="I350" s="117"/>
      <c r="J350" s="118">
        <f>G350-H350-I350+N350</f>
        <v>0</v>
      </c>
      <c r="K350" s="140">
        <v>1021000000</v>
      </c>
      <c r="L350" s="117">
        <f>SUM(M350:N350)</f>
        <v>1021000000</v>
      </c>
      <c r="M350" s="117">
        <v>1021000000</v>
      </c>
      <c r="N350" s="117"/>
      <c r="O350" s="117"/>
      <c r="P350" s="117">
        <f>K350-L350-O350</f>
        <v>0</v>
      </c>
      <c r="Q350" s="117"/>
      <c r="R350" s="117">
        <f>SUM(S350:T350)</f>
        <v>0</v>
      </c>
      <c r="S350" s="117"/>
      <c r="T350" s="119"/>
      <c r="U350" s="117"/>
      <c r="V350" s="117">
        <f>Q350-R350-U350</f>
        <v>0</v>
      </c>
      <c r="W350" s="117">
        <f>SUM(I350,M350,S350)</f>
        <v>1021000000</v>
      </c>
      <c r="X350" s="117">
        <f>G350-H350-I350+N350+T350</f>
        <v>0</v>
      </c>
      <c r="Y350" s="117">
        <f>F350+L350+R350</f>
        <v>1999734527</v>
      </c>
      <c r="Z350" s="204">
        <f t="shared" si="166"/>
        <v>0</v>
      </c>
    </row>
    <row r="351" spans="1:26" s="113" customFormat="1">
      <c r="A351" s="114" t="s">
        <v>833</v>
      </c>
      <c r="B351" s="115" t="s">
        <v>1155</v>
      </c>
      <c r="C351" s="116" t="s">
        <v>457</v>
      </c>
      <c r="D351" s="116" t="s">
        <v>1156</v>
      </c>
      <c r="E351" s="117">
        <v>4586000000</v>
      </c>
      <c r="F351" s="117">
        <v>1152743816</v>
      </c>
      <c r="G351" s="117">
        <v>627979000</v>
      </c>
      <c r="H351" s="117">
        <v>0</v>
      </c>
      <c r="I351" s="117">
        <v>627979000</v>
      </c>
      <c r="J351" s="118">
        <f>G351-H351-I351+N351</f>
        <v>57140000</v>
      </c>
      <c r="K351" s="140">
        <v>2096000000</v>
      </c>
      <c r="L351" s="117">
        <f>SUM(M351:N351)</f>
        <v>1503631617</v>
      </c>
      <c r="M351" s="117">
        <v>1446491617</v>
      </c>
      <c r="N351" s="117">
        <v>57140000</v>
      </c>
      <c r="O351" s="117"/>
      <c r="P351" s="117">
        <f>K351-L351-O351</f>
        <v>592368383</v>
      </c>
      <c r="Q351" s="117"/>
      <c r="R351" s="117">
        <f>SUM(S351:T351)</f>
        <v>0</v>
      </c>
      <c r="S351" s="117"/>
      <c r="T351" s="119"/>
      <c r="U351" s="117"/>
      <c r="V351" s="117">
        <f>Q351-R351-U351</f>
        <v>0</v>
      </c>
      <c r="W351" s="117">
        <f>SUM(I351,M351,S351)</f>
        <v>2074470617</v>
      </c>
      <c r="X351" s="117">
        <f>G351-H351-I351+N351+T351</f>
        <v>57140000</v>
      </c>
      <c r="Y351" s="117">
        <f>F351+L351+R351</f>
        <v>2656375433</v>
      </c>
      <c r="Z351" s="204">
        <f t="shared" si="166"/>
        <v>0</v>
      </c>
    </row>
    <row r="352" spans="1:26" s="113" customFormat="1">
      <c r="A352" s="114" t="s">
        <v>836</v>
      </c>
      <c r="B352" s="115" t="s">
        <v>1157</v>
      </c>
      <c r="C352" s="116" t="s">
        <v>457</v>
      </c>
      <c r="D352" s="116" t="s">
        <v>1158</v>
      </c>
      <c r="E352" s="117">
        <v>10974000000</v>
      </c>
      <c r="F352" s="117">
        <v>4406146000</v>
      </c>
      <c r="G352" s="117">
        <v>51007600</v>
      </c>
      <c r="H352" s="117">
        <v>0</v>
      </c>
      <c r="I352" s="117">
        <v>51007600</v>
      </c>
      <c r="J352" s="118">
        <f>G352-H352-I352+N352</f>
        <v>0</v>
      </c>
      <c r="K352" s="140">
        <v>2186000000</v>
      </c>
      <c r="L352" s="117">
        <f>SUM(M352:N352)</f>
        <v>1867207400</v>
      </c>
      <c r="M352" s="117">
        <v>1867207400</v>
      </c>
      <c r="N352" s="117"/>
      <c r="O352" s="117"/>
      <c r="P352" s="117">
        <f>K352-L352-O352</f>
        <v>318792600</v>
      </c>
      <c r="Q352" s="117"/>
      <c r="R352" s="117">
        <f>SUM(S352:T352)</f>
        <v>0</v>
      </c>
      <c r="S352" s="117"/>
      <c r="T352" s="119"/>
      <c r="U352" s="117"/>
      <c r="V352" s="117">
        <f>Q352-R352-U352</f>
        <v>0</v>
      </c>
      <c r="W352" s="117">
        <f>SUM(I352,M352,S352)</f>
        <v>1918215000</v>
      </c>
      <c r="X352" s="117">
        <f>G352-H352-I352+N352+T352</f>
        <v>0</v>
      </c>
      <c r="Y352" s="117">
        <f>F352+L352+R352</f>
        <v>6273353400</v>
      </c>
      <c r="Z352" s="204">
        <f t="shared" si="166"/>
        <v>0</v>
      </c>
    </row>
    <row r="353" spans="1:26" s="113" customFormat="1" ht="24">
      <c r="A353" s="114" t="s">
        <v>1159</v>
      </c>
      <c r="B353" s="115" t="s">
        <v>1160</v>
      </c>
      <c r="C353" s="116" t="s">
        <v>457</v>
      </c>
      <c r="D353" s="116" t="s">
        <v>1161</v>
      </c>
      <c r="E353" s="117">
        <v>7755000000</v>
      </c>
      <c r="F353" s="117">
        <v>2303010614</v>
      </c>
      <c r="G353" s="117"/>
      <c r="H353" s="117"/>
      <c r="I353" s="117"/>
      <c r="J353" s="118">
        <f>G353-H353-I353+N353</f>
        <v>61598000</v>
      </c>
      <c r="K353" s="140">
        <v>2696989386</v>
      </c>
      <c r="L353" s="117">
        <f>SUM(M353:N353)</f>
        <v>2041766666</v>
      </c>
      <c r="M353" s="117">
        <v>1980168666</v>
      </c>
      <c r="N353" s="117">
        <v>61598000</v>
      </c>
      <c r="O353" s="117"/>
      <c r="P353" s="117">
        <f>K353-L353-O353</f>
        <v>655222720</v>
      </c>
      <c r="Q353" s="117"/>
      <c r="R353" s="117">
        <f>SUM(S353:T353)</f>
        <v>0</v>
      </c>
      <c r="S353" s="117"/>
      <c r="T353" s="119"/>
      <c r="U353" s="117"/>
      <c r="V353" s="117">
        <f>Q353-R353-U353</f>
        <v>0</v>
      </c>
      <c r="W353" s="117">
        <f>SUM(I353,M353,S353)</f>
        <v>1980168666</v>
      </c>
      <c r="X353" s="117">
        <f>G353-H353-I353+N353+T353</f>
        <v>61598000</v>
      </c>
      <c r="Y353" s="117">
        <f>F353+L353+R353</f>
        <v>4344777280</v>
      </c>
      <c r="Z353" s="204">
        <f t="shared" si="166"/>
        <v>0</v>
      </c>
    </row>
    <row r="354" spans="1:26" s="113" customFormat="1">
      <c r="A354" s="114" t="s">
        <v>1162</v>
      </c>
      <c r="B354" s="115" t="s">
        <v>1163</v>
      </c>
      <c r="C354" s="116" t="s">
        <v>457</v>
      </c>
      <c r="D354" s="116" t="s">
        <v>1164</v>
      </c>
      <c r="E354" s="117">
        <v>7891000000</v>
      </c>
      <c r="F354" s="117"/>
      <c r="G354" s="117"/>
      <c r="H354" s="117"/>
      <c r="I354" s="117"/>
      <c r="J354" s="118">
        <f>G354-H354-I354+N354</f>
        <v>0</v>
      </c>
      <c r="K354" s="117"/>
      <c r="L354" s="117">
        <f>SUM(M354:N354)</f>
        <v>0</v>
      </c>
      <c r="M354" s="117"/>
      <c r="N354" s="117"/>
      <c r="O354" s="117"/>
      <c r="P354" s="117">
        <f>K354-L354-O354</f>
        <v>0</v>
      </c>
      <c r="Q354" s="117">
        <v>76000000</v>
      </c>
      <c r="R354" s="117">
        <f>SUM(S354:T354)</f>
        <v>0</v>
      </c>
      <c r="S354" s="117"/>
      <c r="T354" s="117"/>
      <c r="U354" s="117"/>
      <c r="V354" s="117">
        <f>Q354-R354-U354</f>
        <v>76000000</v>
      </c>
      <c r="W354" s="117">
        <f>SUM(I354,M354,S354)</f>
        <v>0</v>
      </c>
      <c r="X354" s="117">
        <f>G354-H354-I354+N354+T354</f>
        <v>0</v>
      </c>
      <c r="Y354" s="117">
        <f>F354+L354+R354</f>
        <v>0</v>
      </c>
      <c r="Z354" s="204">
        <f t="shared" si="166"/>
        <v>0</v>
      </c>
    </row>
    <row r="355" spans="1:26" s="113" customFormat="1">
      <c r="A355" s="114" t="s">
        <v>1165</v>
      </c>
      <c r="B355" s="115" t="s">
        <v>611</v>
      </c>
      <c r="C355" s="116"/>
      <c r="D355" s="116"/>
      <c r="E355" s="117"/>
      <c r="F355" s="117"/>
      <c r="G355" s="117"/>
      <c r="H355" s="117"/>
      <c r="I355" s="117"/>
      <c r="J355" s="118"/>
      <c r="K355" s="117"/>
      <c r="L355" s="117"/>
      <c r="M355" s="117"/>
      <c r="N355" s="117"/>
      <c r="O355" s="117"/>
      <c r="P355" s="117"/>
      <c r="Q355" s="117">
        <f>25000000+1200000000+1537000000+653000000</f>
        <v>3415000000</v>
      </c>
      <c r="R355" s="117"/>
      <c r="S355" s="117"/>
      <c r="T355" s="117"/>
      <c r="U355" s="117"/>
      <c r="V355" s="117"/>
      <c r="W355" s="117"/>
      <c r="X355" s="117"/>
      <c r="Y355" s="117"/>
      <c r="Z355" s="204">
        <f t="shared" si="166"/>
        <v>0</v>
      </c>
    </row>
    <row r="356" spans="1:26" s="139" customFormat="1">
      <c r="A356" s="135" t="s">
        <v>38</v>
      </c>
      <c r="B356" s="136" t="s">
        <v>1166</v>
      </c>
      <c r="C356" s="137"/>
      <c r="D356" s="138">
        <f t="shared" ref="D356:P356" si="191">D357+D364+D366+D368+D370</f>
        <v>22168527</v>
      </c>
      <c r="E356" s="138">
        <f t="shared" si="191"/>
        <v>3834188627067</v>
      </c>
      <c r="F356" s="138">
        <f t="shared" si="191"/>
        <v>373508536640</v>
      </c>
      <c r="G356" s="138">
        <f t="shared" si="191"/>
        <v>30920459388</v>
      </c>
      <c r="H356" s="138">
        <f t="shared" si="191"/>
        <v>0</v>
      </c>
      <c r="I356" s="138">
        <f t="shared" si="191"/>
        <v>23643274221</v>
      </c>
      <c r="J356" s="138">
        <f t="shared" si="191"/>
        <v>18503907247</v>
      </c>
      <c r="K356" s="138">
        <f t="shared" si="191"/>
        <v>24432604749</v>
      </c>
      <c r="L356" s="138">
        <f t="shared" si="191"/>
        <v>23985295000</v>
      </c>
      <c r="M356" s="138">
        <f t="shared" si="191"/>
        <v>12758572920</v>
      </c>
      <c r="N356" s="138">
        <f t="shared" si="191"/>
        <v>11226722080</v>
      </c>
      <c r="O356" s="138">
        <f t="shared" si="191"/>
        <v>0</v>
      </c>
      <c r="P356" s="138">
        <f t="shared" si="191"/>
        <v>447309749</v>
      </c>
      <c r="Q356" s="138">
        <f>Q357+Q364+Q366+Q368+Q370</f>
        <v>157550000000</v>
      </c>
      <c r="R356" s="138">
        <f t="shared" ref="R356:Y356" si="192">R357+R364+R366+R368+R370</f>
        <v>157549998000</v>
      </c>
      <c r="S356" s="138">
        <f t="shared" si="192"/>
        <v>139565775032</v>
      </c>
      <c r="T356" s="138">
        <f t="shared" si="192"/>
        <v>17984222968</v>
      </c>
      <c r="U356" s="138">
        <f t="shared" si="192"/>
        <v>0</v>
      </c>
      <c r="V356" s="138">
        <f t="shared" si="192"/>
        <v>2000</v>
      </c>
      <c r="W356" s="138">
        <f t="shared" si="192"/>
        <v>175967622173</v>
      </c>
      <c r="X356" s="138">
        <f t="shared" si="192"/>
        <v>36488130215</v>
      </c>
      <c r="Y356" s="138">
        <f t="shared" si="192"/>
        <v>555043829640</v>
      </c>
      <c r="Z356" s="204">
        <f t="shared" si="166"/>
        <v>0</v>
      </c>
    </row>
    <row r="357" spans="1:26" s="124" customFormat="1">
      <c r="A357" s="120" t="s">
        <v>11</v>
      </c>
      <c r="B357" s="121" t="s">
        <v>1167</v>
      </c>
      <c r="C357" s="122"/>
      <c r="D357" s="123">
        <f t="shared" ref="D357:P357" si="193">SUM(D359:D363)</f>
        <v>0</v>
      </c>
      <c r="E357" s="123">
        <f t="shared" si="193"/>
        <v>1882678000000</v>
      </c>
      <c r="F357" s="123">
        <f t="shared" si="193"/>
        <v>99101866871</v>
      </c>
      <c r="G357" s="123">
        <f t="shared" si="193"/>
        <v>2118557700</v>
      </c>
      <c r="H357" s="123">
        <f t="shared" si="193"/>
        <v>0</v>
      </c>
      <c r="I357" s="123">
        <f t="shared" si="193"/>
        <v>2118557700</v>
      </c>
      <c r="J357" s="123">
        <f t="shared" si="193"/>
        <v>0</v>
      </c>
      <c r="K357" s="123">
        <f t="shared" si="193"/>
        <v>0</v>
      </c>
      <c r="L357" s="123">
        <f t="shared" si="193"/>
        <v>0</v>
      </c>
      <c r="M357" s="123">
        <f t="shared" si="193"/>
        <v>0</v>
      </c>
      <c r="N357" s="123">
        <f t="shared" si="193"/>
        <v>0</v>
      </c>
      <c r="O357" s="123">
        <f t="shared" si="193"/>
        <v>0</v>
      </c>
      <c r="P357" s="123">
        <f t="shared" si="193"/>
        <v>0</v>
      </c>
      <c r="Q357" s="123">
        <f>SUM(Q359:Q363)</f>
        <v>102550000000</v>
      </c>
      <c r="R357" s="123">
        <f t="shared" ref="R357:Y357" si="194">SUM(R359:R363)</f>
        <v>102549998000</v>
      </c>
      <c r="S357" s="123">
        <f t="shared" si="194"/>
        <v>87629392032</v>
      </c>
      <c r="T357" s="123">
        <f t="shared" si="194"/>
        <v>14920605968</v>
      </c>
      <c r="U357" s="123">
        <f t="shared" si="194"/>
        <v>0</v>
      </c>
      <c r="V357" s="123">
        <f t="shared" si="194"/>
        <v>2000</v>
      </c>
      <c r="W357" s="123">
        <f t="shared" si="194"/>
        <v>89747949732</v>
      </c>
      <c r="X357" s="123">
        <f t="shared" si="194"/>
        <v>14920605968</v>
      </c>
      <c r="Y357" s="123">
        <f t="shared" si="194"/>
        <v>201651864871</v>
      </c>
      <c r="Z357" s="204">
        <f t="shared" si="166"/>
        <v>0</v>
      </c>
    </row>
    <row r="358" spans="1:26" s="124" customFormat="1">
      <c r="A358" s="120"/>
      <c r="B358" s="121" t="s">
        <v>1168</v>
      </c>
      <c r="C358" s="122"/>
      <c r="D358" s="122"/>
      <c r="E358" s="123"/>
      <c r="F358" s="123"/>
      <c r="G358" s="123"/>
      <c r="H358" s="123"/>
      <c r="I358" s="123"/>
      <c r="J358" s="133"/>
      <c r="K358" s="123"/>
      <c r="L358" s="123"/>
      <c r="M358" s="123"/>
      <c r="N358" s="123"/>
      <c r="O358" s="123"/>
      <c r="P358" s="123"/>
      <c r="Q358" s="123"/>
      <c r="R358" s="123"/>
      <c r="S358" s="123"/>
      <c r="T358" s="134"/>
      <c r="U358" s="123"/>
      <c r="V358" s="123"/>
      <c r="W358" s="123"/>
      <c r="X358" s="123"/>
      <c r="Y358" s="123"/>
      <c r="Z358" s="204">
        <f t="shared" si="166"/>
        <v>0</v>
      </c>
    </row>
    <row r="359" spans="1:26" s="113" customFormat="1">
      <c r="A359" s="114" t="s">
        <v>455</v>
      </c>
      <c r="B359" s="115" t="s">
        <v>628</v>
      </c>
      <c r="C359" s="116" t="s">
        <v>457</v>
      </c>
      <c r="D359" s="116" t="s">
        <v>629</v>
      </c>
      <c r="E359" s="117">
        <v>272426000000</v>
      </c>
      <c r="F359" s="117">
        <v>31802098728</v>
      </c>
      <c r="G359" s="117">
        <v>0</v>
      </c>
      <c r="H359" s="117"/>
      <c r="I359" s="117"/>
      <c r="J359" s="118">
        <f>G359-H359-I359+N359</f>
        <v>0</v>
      </c>
      <c r="K359" s="117"/>
      <c r="L359" s="117">
        <f>SUM(M359:N359)</f>
        <v>0</v>
      </c>
      <c r="M359" s="117"/>
      <c r="N359" s="117"/>
      <c r="O359" s="117"/>
      <c r="P359" s="117">
        <f>K359-L359-O359</f>
        <v>0</v>
      </c>
      <c r="Q359" s="117">
        <v>25000000000</v>
      </c>
      <c r="R359" s="117">
        <f>SUM(S359:T359)</f>
        <v>25000000000</v>
      </c>
      <c r="S359" s="117">
        <v>14141596232</v>
      </c>
      <c r="T359" s="119">
        <v>10858403768</v>
      </c>
      <c r="U359" s="117"/>
      <c r="V359" s="117">
        <f>Q359-R359-U359</f>
        <v>0</v>
      </c>
      <c r="W359" s="117">
        <f>SUM(I359,M359,S359)</f>
        <v>14141596232</v>
      </c>
      <c r="X359" s="117">
        <f>G359-H359-I359+N359+T359</f>
        <v>10858403768</v>
      </c>
      <c r="Y359" s="117">
        <f>F359+L359+R359</f>
        <v>56802098728</v>
      </c>
      <c r="Z359" s="204">
        <f t="shared" si="166"/>
        <v>0</v>
      </c>
    </row>
    <row r="360" spans="1:26" s="113" customFormat="1">
      <c r="A360" s="114" t="s">
        <v>459</v>
      </c>
      <c r="B360" s="115" t="s">
        <v>626</v>
      </c>
      <c r="C360" s="116" t="s">
        <v>457</v>
      </c>
      <c r="D360" s="116" t="s">
        <v>627</v>
      </c>
      <c r="E360" s="117">
        <v>984319000000</v>
      </c>
      <c r="F360" s="117">
        <v>1135590143</v>
      </c>
      <c r="G360" s="117">
        <v>401294700</v>
      </c>
      <c r="H360" s="117">
        <v>0</v>
      </c>
      <c r="I360" s="117">
        <v>401294700</v>
      </c>
      <c r="J360" s="118">
        <f>G360-H360-I360+N360</f>
        <v>0</v>
      </c>
      <c r="K360" s="117"/>
      <c r="L360" s="117">
        <f>SUM(M360:N360)</f>
        <v>0</v>
      </c>
      <c r="M360" s="117"/>
      <c r="N360" s="117"/>
      <c r="O360" s="117"/>
      <c r="P360" s="117">
        <f>K360-L360-O360</f>
        <v>0</v>
      </c>
      <c r="Q360" s="117">
        <v>30000000000</v>
      </c>
      <c r="R360" s="117">
        <f>SUM(S360:T360)</f>
        <v>30000000000</v>
      </c>
      <c r="S360" s="117">
        <v>30000000000</v>
      </c>
      <c r="T360" s="119"/>
      <c r="U360" s="117"/>
      <c r="V360" s="117">
        <f>Q360-R360-U360</f>
        <v>0</v>
      </c>
      <c r="W360" s="117">
        <f>SUM(I360,M360,S360)</f>
        <v>30401294700</v>
      </c>
      <c r="X360" s="117">
        <f>G360-H360-I360+N360+T360</f>
        <v>0</v>
      </c>
      <c r="Y360" s="117">
        <f>F360+L360+R360</f>
        <v>31135590143</v>
      </c>
      <c r="Z360" s="204">
        <f t="shared" si="166"/>
        <v>0</v>
      </c>
    </row>
    <row r="361" spans="1:26" s="124" customFormat="1">
      <c r="A361" s="120"/>
      <c r="B361" s="121" t="s">
        <v>1169</v>
      </c>
      <c r="C361" s="122"/>
      <c r="D361" s="122"/>
      <c r="E361" s="123"/>
      <c r="F361" s="123"/>
      <c r="G361" s="123"/>
      <c r="H361" s="123"/>
      <c r="I361" s="123"/>
      <c r="J361" s="133"/>
      <c r="K361" s="123"/>
      <c r="L361" s="123"/>
      <c r="M361" s="123"/>
      <c r="N361" s="123"/>
      <c r="O361" s="123"/>
      <c r="P361" s="123"/>
      <c r="Q361" s="123"/>
      <c r="R361" s="123"/>
      <c r="S361" s="123"/>
      <c r="T361" s="134"/>
      <c r="U361" s="123"/>
      <c r="V361" s="123"/>
      <c r="W361" s="123"/>
      <c r="X361" s="123"/>
      <c r="Y361" s="123"/>
      <c r="Z361" s="204">
        <f t="shared" si="166"/>
        <v>0</v>
      </c>
    </row>
    <row r="362" spans="1:26" s="113" customFormat="1" ht="24">
      <c r="A362" s="114" t="s">
        <v>455</v>
      </c>
      <c r="B362" s="115" t="s">
        <v>1170</v>
      </c>
      <c r="C362" s="116" t="s">
        <v>457</v>
      </c>
      <c r="D362" s="116" t="s">
        <v>1171</v>
      </c>
      <c r="E362" s="117">
        <v>139624000000</v>
      </c>
      <c r="F362" s="117">
        <v>42314792000</v>
      </c>
      <c r="G362" s="117">
        <v>1500000000</v>
      </c>
      <c r="H362" s="117">
        <v>0</v>
      </c>
      <c r="I362" s="117">
        <v>1500000000</v>
      </c>
      <c r="J362" s="118">
        <f>G362-H362-I362+N362</f>
        <v>0</v>
      </c>
      <c r="K362" s="117"/>
      <c r="L362" s="117">
        <f>SUM(M362:N362)</f>
        <v>0</v>
      </c>
      <c r="M362" s="117"/>
      <c r="N362" s="117"/>
      <c r="O362" s="117"/>
      <c r="P362" s="117">
        <f>K362-L362-O362</f>
        <v>0</v>
      </c>
      <c r="Q362" s="117">
        <v>20000000000</v>
      </c>
      <c r="R362" s="117">
        <f>SUM(S362:T362)</f>
        <v>19999998000</v>
      </c>
      <c r="S362" s="117">
        <v>18702074000</v>
      </c>
      <c r="T362" s="119">
        <v>1297924000</v>
      </c>
      <c r="U362" s="117"/>
      <c r="V362" s="117">
        <f>Q362-R362-U362</f>
        <v>2000</v>
      </c>
      <c r="W362" s="117">
        <f>SUM(I362,M362,S362)</f>
        <v>20202074000</v>
      </c>
      <c r="X362" s="117">
        <f>G362-H362-I362+N362+T362</f>
        <v>1297924000</v>
      </c>
      <c r="Y362" s="117">
        <f>F362+L362+R362</f>
        <v>62314790000</v>
      </c>
      <c r="Z362" s="204">
        <f t="shared" si="166"/>
        <v>0</v>
      </c>
    </row>
    <row r="363" spans="1:26" s="113" customFormat="1" ht="24">
      <c r="A363" s="114" t="s">
        <v>459</v>
      </c>
      <c r="B363" s="115" t="s">
        <v>630</v>
      </c>
      <c r="C363" s="116" t="s">
        <v>457</v>
      </c>
      <c r="D363" s="116" t="s">
        <v>631</v>
      </c>
      <c r="E363" s="117">
        <v>486309000000</v>
      </c>
      <c r="F363" s="117">
        <v>23849386000</v>
      </c>
      <c r="G363" s="117">
        <v>217263000</v>
      </c>
      <c r="H363" s="117">
        <v>0</v>
      </c>
      <c r="I363" s="117">
        <v>217263000</v>
      </c>
      <c r="J363" s="118">
        <f>G363-H363-I363+N363</f>
        <v>0</v>
      </c>
      <c r="K363" s="117"/>
      <c r="L363" s="117">
        <f>SUM(M363:N363)</f>
        <v>0</v>
      </c>
      <c r="M363" s="117"/>
      <c r="N363" s="117"/>
      <c r="O363" s="117"/>
      <c r="P363" s="117">
        <f>K363-L363-O363</f>
        <v>0</v>
      </c>
      <c r="Q363" s="117">
        <v>27550000000</v>
      </c>
      <c r="R363" s="117">
        <f>SUM(S363:T363)</f>
        <v>27550000000</v>
      </c>
      <c r="S363" s="117">
        <v>24785721800</v>
      </c>
      <c r="T363" s="117">
        <v>2764278200</v>
      </c>
      <c r="U363" s="117"/>
      <c r="V363" s="117">
        <f>Q363-R363-U363</f>
        <v>0</v>
      </c>
      <c r="W363" s="117">
        <f>SUM(I363,M363,S363)</f>
        <v>25002984800</v>
      </c>
      <c r="X363" s="117">
        <f>G363-H363-I363+N363+T363</f>
        <v>2764278200</v>
      </c>
      <c r="Y363" s="117">
        <f>F363+L363+R363</f>
        <v>51399386000</v>
      </c>
      <c r="Z363" s="204">
        <f t="shared" si="166"/>
        <v>0</v>
      </c>
    </row>
    <row r="364" spans="1:26" s="124" customFormat="1" ht="27" customHeight="1">
      <c r="A364" s="120" t="s">
        <v>16</v>
      </c>
      <c r="B364" s="121" t="s">
        <v>1172</v>
      </c>
      <c r="C364" s="122"/>
      <c r="D364" s="123" t="str">
        <f t="shared" ref="D364:P364" si="195">D365</f>
        <v>7436532</v>
      </c>
      <c r="E364" s="123">
        <f t="shared" si="195"/>
        <v>157525000000</v>
      </c>
      <c r="F364" s="123">
        <f t="shared" si="195"/>
        <v>27078660000</v>
      </c>
      <c r="G364" s="123">
        <f t="shared" si="195"/>
        <v>805000000</v>
      </c>
      <c r="H364" s="123">
        <f t="shared" si="195"/>
        <v>0</v>
      </c>
      <c r="I364" s="123">
        <f t="shared" si="195"/>
        <v>285000000</v>
      </c>
      <c r="J364" s="123">
        <f t="shared" si="195"/>
        <v>520000000</v>
      </c>
      <c r="K364" s="123">
        <f t="shared" si="195"/>
        <v>0</v>
      </c>
      <c r="L364" s="123">
        <f t="shared" si="195"/>
        <v>0</v>
      </c>
      <c r="M364" s="123">
        <f t="shared" si="195"/>
        <v>0</v>
      </c>
      <c r="N364" s="123">
        <f t="shared" si="195"/>
        <v>0</v>
      </c>
      <c r="O364" s="123">
        <f t="shared" si="195"/>
        <v>0</v>
      </c>
      <c r="P364" s="123">
        <f t="shared" si="195"/>
        <v>0</v>
      </c>
      <c r="Q364" s="123">
        <f>Q365</f>
        <v>15000000000</v>
      </c>
      <c r="R364" s="123">
        <f t="shared" ref="R364:Y364" si="196">R365</f>
        <v>15000000000</v>
      </c>
      <c r="S364" s="123">
        <f t="shared" si="196"/>
        <v>12336383000</v>
      </c>
      <c r="T364" s="123">
        <f t="shared" si="196"/>
        <v>2663617000</v>
      </c>
      <c r="U364" s="123">
        <f t="shared" si="196"/>
        <v>0</v>
      </c>
      <c r="V364" s="123">
        <f t="shared" si="196"/>
        <v>0</v>
      </c>
      <c r="W364" s="123">
        <f t="shared" si="196"/>
        <v>12621383000</v>
      </c>
      <c r="X364" s="123">
        <f t="shared" si="196"/>
        <v>3183617000</v>
      </c>
      <c r="Y364" s="123">
        <f t="shared" si="196"/>
        <v>42078660000</v>
      </c>
      <c r="Z364" s="204">
        <f t="shared" si="166"/>
        <v>0</v>
      </c>
    </row>
    <row r="365" spans="1:26" s="113" customFormat="1" ht="28.5" customHeight="1">
      <c r="A365" s="114" t="s">
        <v>455</v>
      </c>
      <c r="B365" s="115" t="s">
        <v>1173</v>
      </c>
      <c r="C365" s="116" t="s">
        <v>457</v>
      </c>
      <c r="D365" s="116" t="s">
        <v>633</v>
      </c>
      <c r="E365" s="117">
        <v>157525000000</v>
      </c>
      <c r="F365" s="117">
        <v>27078660000</v>
      </c>
      <c r="G365" s="117">
        <v>805000000</v>
      </c>
      <c r="H365" s="117"/>
      <c r="I365" s="117">
        <v>285000000</v>
      </c>
      <c r="J365" s="118">
        <f>G365-H365-I365+N365</f>
        <v>520000000</v>
      </c>
      <c r="K365" s="117"/>
      <c r="L365" s="117">
        <f>SUM(M365:N365)</f>
        <v>0</v>
      </c>
      <c r="M365" s="117"/>
      <c r="N365" s="117"/>
      <c r="O365" s="117"/>
      <c r="P365" s="117">
        <f>K365-L365-O365</f>
        <v>0</v>
      </c>
      <c r="Q365" s="117">
        <v>15000000000</v>
      </c>
      <c r="R365" s="117">
        <f>SUM(S365:T365)</f>
        <v>15000000000</v>
      </c>
      <c r="S365" s="117">
        <v>12336383000</v>
      </c>
      <c r="T365" s="119">
        <v>2663617000</v>
      </c>
      <c r="U365" s="117"/>
      <c r="V365" s="117">
        <f>Q365-R365-U365</f>
        <v>0</v>
      </c>
      <c r="W365" s="117">
        <f>SUM(I365,M365,S365)</f>
        <v>12621383000</v>
      </c>
      <c r="X365" s="117">
        <f>G365-H365-I365+N365+T365</f>
        <v>3183617000</v>
      </c>
      <c r="Y365" s="117">
        <f>F365+L365+R365</f>
        <v>42078660000</v>
      </c>
      <c r="Z365" s="204">
        <f t="shared" si="166"/>
        <v>0</v>
      </c>
    </row>
    <row r="366" spans="1:26" s="124" customFormat="1" ht="27" customHeight="1">
      <c r="A366" s="120" t="s">
        <v>20</v>
      </c>
      <c r="B366" s="121" t="s">
        <v>1174</v>
      </c>
      <c r="C366" s="122"/>
      <c r="D366" s="123" t="str">
        <f t="shared" ref="D366:P366" si="197">D367</f>
        <v>7164737</v>
      </c>
      <c r="E366" s="123">
        <f t="shared" si="197"/>
        <v>887165627067</v>
      </c>
      <c r="F366" s="123">
        <f t="shared" si="197"/>
        <v>43206212000</v>
      </c>
      <c r="G366" s="123">
        <f t="shared" si="197"/>
        <v>572880745</v>
      </c>
      <c r="H366" s="123">
        <f t="shared" si="197"/>
        <v>0</v>
      </c>
      <c r="I366" s="123">
        <f t="shared" si="197"/>
        <v>572880745</v>
      </c>
      <c r="J366" s="123">
        <f t="shared" si="197"/>
        <v>0</v>
      </c>
      <c r="K366" s="123">
        <f t="shared" si="197"/>
        <v>0</v>
      </c>
      <c r="L366" s="123">
        <f t="shared" si="197"/>
        <v>0</v>
      </c>
      <c r="M366" s="123">
        <f t="shared" si="197"/>
        <v>0</v>
      </c>
      <c r="N366" s="123">
        <f t="shared" si="197"/>
        <v>0</v>
      </c>
      <c r="O366" s="123">
        <f t="shared" si="197"/>
        <v>0</v>
      </c>
      <c r="P366" s="123">
        <f t="shared" si="197"/>
        <v>0</v>
      </c>
      <c r="Q366" s="123">
        <f>Q367</f>
        <v>20000000000</v>
      </c>
      <c r="R366" s="123">
        <f t="shared" ref="R366:Y366" si="198">R367</f>
        <v>20000000000</v>
      </c>
      <c r="S366" s="123">
        <f t="shared" si="198"/>
        <v>20000000000</v>
      </c>
      <c r="T366" s="123">
        <f t="shared" si="198"/>
        <v>0</v>
      </c>
      <c r="U366" s="123">
        <f t="shared" si="198"/>
        <v>0</v>
      </c>
      <c r="V366" s="123">
        <f t="shared" si="198"/>
        <v>0</v>
      </c>
      <c r="W366" s="123">
        <f t="shared" si="198"/>
        <v>20572880745</v>
      </c>
      <c r="X366" s="123">
        <f t="shared" si="198"/>
        <v>0</v>
      </c>
      <c r="Y366" s="123">
        <f t="shared" si="198"/>
        <v>63206212000</v>
      </c>
      <c r="Z366" s="204">
        <f t="shared" si="166"/>
        <v>0</v>
      </c>
    </row>
    <row r="367" spans="1:26" s="113" customFormat="1">
      <c r="A367" s="114" t="s">
        <v>455</v>
      </c>
      <c r="B367" s="115" t="s">
        <v>1175</v>
      </c>
      <c r="C367" s="116" t="s">
        <v>457</v>
      </c>
      <c r="D367" s="116" t="s">
        <v>1176</v>
      </c>
      <c r="E367" s="117">
        <v>887165627067</v>
      </c>
      <c r="F367" s="117">
        <v>43206212000</v>
      </c>
      <c r="G367" s="117">
        <v>572880745</v>
      </c>
      <c r="H367" s="117">
        <v>0</v>
      </c>
      <c r="I367" s="117">
        <v>572880745</v>
      </c>
      <c r="J367" s="118">
        <f>G367-H367-I367+N367</f>
        <v>0</v>
      </c>
      <c r="K367" s="117"/>
      <c r="L367" s="117">
        <f>SUM(M367:N367)</f>
        <v>0</v>
      </c>
      <c r="M367" s="117"/>
      <c r="N367" s="117"/>
      <c r="O367" s="117"/>
      <c r="P367" s="117">
        <f>K367-L367-O367</f>
        <v>0</v>
      </c>
      <c r="Q367" s="117">
        <v>20000000000</v>
      </c>
      <c r="R367" s="117">
        <f>SUM(S367:T367)</f>
        <v>20000000000</v>
      </c>
      <c r="S367" s="117">
        <v>20000000000</v>
      </c>
      <c r="T367" s="119"/>
      <c r="U367" s="117"/>
      <c r="V367" s="117">
        <f>Q367-R367-U367</f>
        <v>0</v>
      </c>
      <c r="W367" s="117">
        <f>SUM(I367,M367,S367)</f>
        <v>20572880745</v>
      </c>
      <c r="X367" s="117">
        <f>G367-H367-I367+N367+T367</f>
        <v>0</v>
      </c>
      <c r="Y367" s="117">
        <f>F367+L367+R367</f>
        <v>63206212000</v>
      </c>
      <c r="Z367" s="204">
        <f t="shared" si="166"/>
        <v>0</v>
      </c>
    </row>
    <row r="368" spans="1:26" s="124" customFormat="1">
      <c r="A368" s="120" t="s">
        <v>22</v>
      </c>
      <c r="B368" s="121" t="s">
        <v>1177</v>
      </c>
      <c r="C368" s="122"/>
      <c r="D368" s="123" t="str">
        <f t="shared" ref="D368:P368" si="199">D369</f>
        <v>7567258</v>
      </c>
      <c r="E368" s="123">
        <f t="shared" si="199"/>
        <v>150966000000</v>
      </c>
      <c r="F368" s="123">
        <f t="shared" si="199"/>
        <v>17790211330</v>
      </c>
      <c r="G368" s="123">
        <f t="shared" si="199"/>
        <v>9940933330</v>
      </c>
      <c r="H368" s="123">
        <f t="shared" si="199"/>
        <v>0</v>
      </c>
      <c r="I368" s="123">
        <f t="shared" si="199"/>
        <v>4188141499</v>
      </c>
      <c r="J368" s="123">
        <f t="shared" si="199"/>
        <v>5752791831</v>
      </c>
      <c r="K368" s="123">
        <f t="shared" si="199"/>
        <v>0</v>
      </c>
      <c r="L368" s="123">
        <f t="shared" si="199"/>
        <v>0</v>
      </c>
      <c r="M368" s="123">
        <f t="shared" si="199"/>
        <v>0</v>
      </c>
      <c r="N368" s="123">
        <f t="shared" si="199"/>
        <v>0</v>
      </c>
      <c r="O368" s="123">
        <f t="shared" si="199"/>
        <v>0</v>
      </c>
      <c r="P368" s="123">
        <f t="shared" si="199"/>
        <v>0</v>
      </c>
      <c r="Q368" s="123">
        <f>Q369</f>
        <v>20000000000</v>
      </c>
      <c r="R368" s="123">
        <f t="shared" ref="R368:Y368" si="200">R369</f>
        <v>20000000000</v>
      </c>
      <c r="S368" s="123">
        <f t="shared" si="200"/>
        <v>19600000000</v>
      </c>
      <c r="T368" s="123">
        <f t="shared" si="200"/>
        <v>400000000</v>
      </c>
      <c r="U368" s="123">
        <f t="shared" si="200"/>
        <v>0</v>
      </c>
      <c r="V368" s="123">
        <f t="shared" si="200"/>
        <v>0</v>
      </c>
      <c r="W368" s="123">
        <f t="shared" si="200"/>
        <v>23788141499</v>
      </c>
      <c r="X368" s="123">
        <f t="shared" si="200"/>
        <v>6152791831</v>
      </c>
      <c r="Y368" s="123">
        <f t="shared" si="200"/>
        <v>37790211330</v>
      </c>
      <c r="Z368" s="204">
        <f t="shared" si="166"/>
        <v>0</v>
      </c>
    </row>
    <row r="369" spans="1:26" s="113" customFormat="1" ht="24">
      <c r="A369" s="114" t="s">
        <v>455</v>
      </c>
      <c r="B369" s="115" t="s">
        <v>1178</v>
      </c>
      <c r="C369" s="116" t="s">
        <v>457</v>
      </c>
      <c r="D369" s="116" t="s">
        <v>1179</v>
      </c>
      <c r="E369" s="117">
        <v>150966000000</v>
      </c>
      <c r="F369" s="117">
        <v>17790211330</v>
      </c>
      <c r="G369" s="117">
        <v>9940933330</v>
      </c>
      <c r="H369" s="117"/>
      <c r="I369" s="117">
        <v>4188141499</v>
      </c>
      <c r="J369" s="118">
        <f>G369-H369-I369+N369</f>
        <v>5752791831</v>
      </c>
      <c r="K369" s="117"/>
      <c r="L369" s="117">
        <f>SUM(M369:N369)</f>
        <v>0</v>
      </c>
      <c r="M369" s="117"/>
      <c r="N369" s="117"/>
      <c r="O369" s="117"/>
      <c r="P369" s="117">
        <f>K369-L369-O369</f>
        <v>0</v>
      </c>
      <c r="Q369" s="117">
        <v>20000000000</v>
      </c>
      <c r="R369" s="117">
        <f>SUM(S369:T369)</f>
        <v>20000000000</v>
      </c>
      <c r="S369" s="117">
        <v>19600000000</v>
      </c>
      <c r="T369" s="117">
        <v>400000000</v>
      </c>
      <c r="U369" s="117"/>
      <c r="V369" s="117">
        <f>Q369-R369-U369</f>
        <v>0</v>
      </c>
      <c r="W369" s="117">
        <f>SUM(I369,M369,S369)</f>
        <v>23788141499</v>
      </c>
      <c r="X369" s="117">
        <f>G369-H369-I369+N369+T369</f>
        <v>6152791831</v>
      </c>
      <c r="Y369" s="117">
        <f>F369+L369+R369</f>
        <v>37790211330</v>
      </c>
      <c r="Z369" s="204">
        <f t="shared" si="166"/>
        <v>0</v>
      </c>
    </row>
    <row r="370" spans="1:26" s="124" customFormat="1" ht="24">
      <c r="A370" s="120" t="s">
        <v>24</v>
      </c>
      <c r="B370" s="121" t="s">
        <v>1180</v>
      </c>
      <c r="C370" s="122"/>
      <c r="D370" s="123">
        <f t="shared" ref="D370:J370" si="201">SUM(D371:D377)</f>
        <v>0</v>
      </c>
      <c r="E370" s="123">
        <f t="shared" si="201"/>
        <v>755854000000</v>
      </c>
      <c r="F370" s="123">
        <f t="shared" si="201"/>
        <v>186331586439</v>
      </c>
      <c r="G370" s="123">
        <f t="shared" si="201"/>
        <v>17483087613</v>
      </c>
      <c r="H370" s="123">
        <f t="shared" si="201"/>
        <v>0</v>
      </c>
      <c r="I370" s="123">
        <f t="shared" si="201"/>
        <v>16478694277</v>
      </c>
      <c r="J370" s="123">
        <f t="shared" si="201"/>
        <v>12231115416</v>
      </c>
      <c r="K370" s="123">
        <f>SUM(K371:K377)</f>
        <v>24432604749</v>
      </c>
      <c r="L370" s="123">
        <f t="shared" ref="L370:Y370" si="202">SUM(L371:L377)</f>
        <v>23985295000</v>
      </c>
      <c r="M370" s="123">
        <f t="shared" si="202"/>
        <v>12758572920</v>
      </c>
      <c r="N370" s="123">
        <f t="shared" si="202"/>
        <v>11226722080</v>
      </c>
      <c r="O370" s="123">
        <f t="shared" si="202"/>
        <v>0</v>
      </c>
      <c r="P370" s="123">
        <f t="shared" si="202"/>
        <v>447309749</v>
      </c>
      <c r="Q370" s="123">
        <f t="shared" si="202"/>
        <v>0</v>
      </c>
      <c r="R370" s="123">
        <f t="shared" si="202"/>
        <v>0</v>
      </c>
      <c r="S370" s="123">
        <f t="shared" si="202"/>
        <v>0</v>
      </c>
      <c r="T370" s="123">
        <f t="shared" si="202"/>
        <v>0</v>
      </c>
      <c r="U370" s="123">
        <f t="shared" si="202"/>
        <v>0</v>
      </c>
      <c r="V370" s="123">
        <f t="shared" si="202"/>
        <v>0</v>
      </c>
      <c r="W370" s="123">
        <f t="shared" si="202"/>
        <v>29237267197</v>
      </c>
      <c r="X370" s="123">
        <f t="shared" si="202"/>
        <v>12231115416</v>
      </c>
      <c r="Y370" s="123">
        <f t="shared" si="202"/>
        <v>210316881439</v>
      </c>
      <c r="Z370" s="204">
        <f t="shared" si="166"/>
        <v>0</v>
      </c>
    </row>
    <row r="371" spans="1:26" s="113" customFormat="1">
      <c r="A371" s="114" t="s">
        <v>455</v>
      </c>
      <c r="B371" s="115" t="s">
        <v>1099</v>
      </c>
      <c r="C371" s="116" t="s">
        <v>457</v>
      </c>
      <c r="D371" s="116" t="s">
        <v>1100</v>
      </c>
      <c r="E371" s="117">
        <v>275960000000</v>
      </c>
      <c r="F371" s="117">
        <v>101675295586</v>
      </c>
      <c r="G371" s="117">
        <v>34985800</v>
      </c>
      <c r="H371" s="117"/>
      <c r="I371" s="117"/>
      <c r="J371" s="118">
        <f t="shared" ref="J371:J377" si="203">G371-H371-I371+N371</f>
        <v>34985800</v>
      </c>
      <c r="K371" s="140">
        <v>91000000</v>
      </c>
      <c r="L371" s="117">
        <f t="shared" ref="L371:L377" si="204">SUM(M371:N371)</f>
        <v>57164000</v>
      </c>
      <c r="M371" s="117">
        <v>57164000</v>
      </c>
      <c r="N371" s="117"/>
      <c r="O371" s="117"/>
      <c r="P371" s="117">
        <f t="shared" ref="P371:P377" si="205">K371-L371-O371</f>
        <v>33836000</v>
      </c>
      <c r="Q371" s="117"/>
      <c r="R371" s="117">
        <f t="shared" ref="R371:R377" si="206">SUM(S371:T371)</f>
        <v>0</v>
      </c>
      <c r="S371" s="117"/>
      <c r="T371" s="119"/>
      <c r="U371" s="117"/>
      <c r="V371" s="117">
        <f t="shared" ref="V371:V377" si="207">Q371-R371-U371</f>
        <v>0</v>
      </c>
      <c r="W371" s="117">
        <f t="shared" ref="W371:W377" si="208">SUM(I371,M371,S371)</f>
        <v>57164000</v>
      </c>
      <c r="X371" s="117">
        <f t="shared" ref="X371:X377" si="209">G371-H371-I371+N371+T371</f>
        <v>34985800</v>
      </c>
      <c r="Y371" s="117">
        <f t="shared" ref="Y371:Y377" si="210">F371+L371+R371</f>
        <v>101732459586</v>
      </c>
      <c r="Z371" s="204">
        <f t="shared" si="166"/>
        <v>0</v>
      </c>
    </row>
    <row r="372" spans="1:26" s="113" customFormat="1">
      <c r="A372" s="114" t="s">
        <v>459</v>
      </c>
      <c r="B372" s="115" t="s">
        <v>1107</v>
      </c>
      <c r="C372" s="116" t="s">
        <v>457</v>
      </c>
      <c r="D372" s="116" t="s">
        <v>1108</v>
      </c>
      <c r="E372" s="117">
        <v>57409000000</v>
      </c>
      <c r="F372" s="117">
        <v>30276408124</v>
      </c>
      <c r="G372" s="117">
        <v>8342359624</v>
      </c>
      <c r="H372" s="117"/>
      <c r="I372" s="117">
        <v>7494769624</v>
      </c>
      <c r="J372" s="118">
        <f t="shared" si="203"/>
        <v>1080872080</v>
      </c>
      <c r="K372" s="140">
        <v>4943000000</v>
      </c>
      <c r="L372" s="117">
        <f t="shared" si="204"/>
        <v>4943000000</v>
      </c>
      <c r="M372" s="117">
        <v>4709717920</v>
      </c>
      <c r="N372" s="117">
        <v>233282080</v>
      </c>
      <c r="O372" s="117"/>
      <c r="P372" s="117">
        <f t="shared" si="205"/>
        <v>0</v>
      </c>
      <c r="Q372" s="117"/>
      <c r="R372" s="117">
        <f t="shared" si="206"/>
        <v>0</v>
      </c>
      <c r="S372" s="117"/>
      <c r="T372" s="119"/>
      <c r="U372" s="117"/>
      <c r="V372" s="117">
        <f t="shared" si="207"/>
        <v>0</v>
      </c>
      <c r="W372" s="117">
        <f t="shared" si="208"/>
        <v>12204487544</v>
      </c>
      <c r="X372" s="117">
        <f t="shared" si="209"/>
        <v>1080872080</v>
      </c>
      <c r="Y372" s="117">
        <f t="shared" si="210"/>
        <v>35219408124</v>
      </c>
      <c r="Z372" s="204">
        <f t="shared" si="166"/>
        <v>0</v>
      </c>
    </row>
    <row r="373" spans="1:26" s="113" customFormat="1" ht="24">
      <c r="A373" s="114" t="s">
        <v>462</v>
      </c>
      <c r="B373" s="115" t="s">
        <v>1181</v>
      </c>
      <c r="C373" s="116" t="s">
        <v>457</v>
      </c>
      <c r="D373" s="116" t="s">
        <v>1182</v>
      </c>
      <c r="E373" s="117">
        <v>48071000000</v>
      </c>
      <c r="F373" s="117">
        <v>9885606500</v>
      </c>
      <c r="G373" s="117">
        <v>0</v>
      </c>
      <c r="H373" s="117"/>
      <c r="I373" s="117"/>
      <c r="J373" s="118">
        <f t="shared" si="203"/>
        <v>0</v>
      </c>
      <c r="K373" s="140">
        <v>180000000</v>
      </c>
      <c r="L373" s="117">
        <f t="shared" si="204"/>
        <v>136279000</v>
      </c>
      <c r="M373" s="117">
        <v>136279000</v>
      </c>
      <c r="N373" s="117"/>
      <c r="O373" s="117"/>
      <c r="P373" s="117">
        <f t="shared" si="205"/>
        <v>43721000</v>
      </c>
      <c r="Q373" s="117"/>
      <c r="R373" s="117">
        <f t="shared" si="206"/>
        <v>0</v>
      </c>
      <c r="S373" s="117"/>
      <c r="T373" s="119"/>
      <c r="U373" s="117"/>
      <c r="V373" s="117">
        <f t="shared" si="207"/>
        <v>0</v>
      </c>
      <c r="W373" s="117">
        <f t="shared" si="208"/>
        <v>136279000</v>
      </c>
      <c r="X373" s="117">
        <f t="shared" si="209"/>
        <v>0</v>
      </c>
      <c r="Y373" s="117">
        <f t="shared" si="210"/>
        <v>10021885500</v>
      </c>
      <c r="Z373" s="204">
        <f t="shared" si="166"/>
        <v>0</v>
      </c>
    </row>
    <row r="374" spans="1:26" s="113" customFormat="1">
      <c r="A374" s="114" t="s">
        <v>465</v>
      </c>
      <c r="B374" s="115" t="s">
        <v>1183</v>
      </c>
      <c r="C374" s="116" t="s">
        <v>457</v>
      </c>
      <c r="D374" s="116" t="s">
        <v>1184</v>
      </c>
      <c r="E374" s="117">
        <v>13565000000</v>
      </c>
      <c r="F374" s="117">
        <v>5532168836</v>
      </c>
      <c r="G374" s="117">
        <v>205414000</v>
      </c>
      <c r="H374" s="117">
        <v>0</v>
      </c>
      <c r="I374" s="117">
        <v>205414000</v>
      </c>
      <c r="J374" s="118">
        <f t="shared" si="203"/>
        <v>0</v>
      </c>
      <c r="K374" s="140">
        <v>428604749</v>
      </c>
      <c r="L374" s="117">
        <f t="shared" si="204"/>
        <v>58852000</v>
      </c>
      <c r="M374" s="117">
        <v>58852000</v>
      </c>
      <c r="N374" s="117"/>
      <c r="O374" s="117"/>
      <c r="P374" s="117">
        <f t="shared" si="205"/>
        <v>369752749</v>
      </c>
      <c r="Q374" s="117"/>
      <c r="R374" s="117">
        <f t="shared" si="206"/>
        <v>0</v>
      </c>
      <c r="S374" s="117"/>
      <c r="T374" s="119"/>
      <c r="U374" s="117"/>
      <c r="V374" s="117">
        <f t="shared" si="207"/>
        <v>0</v>
      </c>
      <c r="W374" s="117">
        <f t="shared" si="208"/>
        <v>264266000</v>
      </c>
      <c r="X374" s="117">
        <f t="shared" si="209"/>
        <v>0</v>
      </c>
      <c r="Y374" s="117">
        <f t="shared" si="210"/>
        <v>5591020836</v>
      </c>
      <c r="Z374" s="204">
        <f t="shared" si="166"/>
        <v>0</v>
      </c>
    </row>
    <row r="375" spans="1:26" s="113" customFormat="1">
      <c r="A375" s="114" t="s">
        <v>468</v>
      </c>
      <c r="B375" s="115" t="s">
        <v>1117</v>
      </c>
      <c r="C375" s="116" t="s">
        <v>457</v>
      </c>
      <c r="D375" s="116" t="s">
        <v>1118</v>
      </c>
      <c r="E375" s="117">
        <v>46756000000</v>
      </c>
      <c r="F375" s="117">
        <v>28693226199</v>
      </c>
      <c r="G375" s="149">
        <v>51628000</v>
      </c>
      <c r="H375" s="117"/>
      <c r="I375" s="117">
        <v>0</v>
      </c>
      <c r="J375" s="118">
        <f t="shared" si="203"/>
        <v>51628000</v>
      </c>
      <c r="K375" s="140">
        <v>323000000</v>
      </c>
      <c r="L375" s="117">
        <f t="shared" si="204"/>
        <v>323000000</v>
      </c>
      <c r="M375" s="117">
        <v>323000000</v>
      </c>
      <c r="N375" s="117"/>
      <c r="O375" s="117"/>
      <c r="P375" s="117">
        <f t="shared" si="205"/>
        <v>0</v>
      </c>
      <c r="Q375" s="117"/>
      <c r="R375" s="117">
        <f t="shared" si="206"/>
        <v>0</v>
      </c>
      <c r="S375" s="117"/>
      <c r="T375" s="119"/>
      <c r="U375" s="117"/>
      <c r="V375" s="117">
        <f t="shared" si="207"/>
        <v>0</v>
      </c>
      <c r="W375" s="117">
        <f t="shared" si="208"/>
        <v>323000000</v>
      </c>
      <c r="X375" s="117">
        <f t="shared" si="209"/>
        <v>51628000</v>
      </c>
      <c r="Y375" s="117">
        <f t="shared" si="210"/>
        <v>29016226199</v>
      </c>
      <c r="Z375" s="204">
        <f t="shared" si="166"/>
        <v>0</v>
      </c>
    </row>
    <row r="376" spans="1:26" s="113" customFormat="1" ht="24">
      <c r="A376" s="114" t="s">
        <v>471</v>
      </c>
      <c r="B376" s="115" t="s">
        <v>1123</v>
      </c>
      <c r="C376" s="116" t="s">
        <v>457</v>
      </c>
      <c r="D376" s="116" t="s">
        <v>1124</v>
      </c>
      <c r="E376" s="117">
        <v>65767000000</v>
      </c>
      <c r="F376" s="117">
        <v>10268881194</v>
      </c>
      <c r="G376" s="117">
        <f>1978510653+6870189536</f>
        <v>8848700189</v>
      </c>
      <c r="H376" s="117"/>
      <c r="I376" s="117">
        <v>8778510653</v>
      </c>
      <c r="J376" s="118">
        <f t="shared" si="203"/>
        <v>77189536</v>
      </c>
      <c r="K376" s="140">
        <v>2777000000</v>
      </c>
      <c r="L376" s="117">
        <f t="shared" si="204"/>
        <v>2777000000</v>
      </c>
      <c r="M376" s="117">
        <v>2770000000</v>
      </c>
      <c r="N376" s="117">
        <v>7000000</v>
      </c>
      <c r="O376" s="117"/>
      <c r="P376" s="117">
        <f t="shared" si="205"/>
        <v>0</v>
      </c>
      <c r="Q376" s="117"/>
      <c r="R376" s="117">
        <f t="shared" si="206"/>
        <v>0</v>
      </c>
      <c r="S376" s="117"/>
      <c r="T376" s="119"/>
      <c r="U376" s="117"/>
      <c r="V376" s="117">
        <f t="shared" si="207"/>
        <v>0</v>
      </c>
      <c r="W376" s="117">
        <f t="shared" si="208"/>
        <v>11548510653</v>
      </c>
      <c r="X376" s="117">
        <f t="shared" si="209"/>
        <v>77189536</v>
      </c>
      <c r="Y376" s="117">
        <f t="shared" si="210"/>
        <v>13045881194</v>
      </c>
      <c r="Z376" s="204">
        <f t="shared" si="166"/>
        <v>0</v>
      </c>
    </row>
    <row r="377" spans="1:26" s="113" customFormat="1">
      <c r="A377" s="114" t="s">
        <v>474</v>
      </c>
      <c r="B377" s="115" t="s">
        <v>463</v>
      </c>
      <c r="C377" s="116" t="s">
        <v>457</v>
      </c>
      <c r="D377" s="116" t="s">
        <v>464</v>
      </c>
      <c r="E377" s="117">
        <v>248326000000</v>
      </c>
      <c r="F377" s="117"/>
      <c r="G377" s="117"/>
      <c r="H377" s="117"/>
      <c r="I377" s="117"/>
      <c r="J377" s="118">
        <f t="shared" si="203"/>
        <v>10986440000</v>
      </c>
      <c r="K377" s="140">
        <v>15690000000</v>
      </c>
      <c r="L377" s="117">
        <f t="shared" si="204"/>
        <v>15690000000</v>
      </c>
      <c r="M377" s="117">
        <v>4703560000</v>
      </c>
      <c r="N377" s="117">
        <v>10986440000</v>
      </c>
      <c r="O377" s="117"/>
      <c r="P377" s="117">
        <f t="shared" si="205"/>
        <v>0</v>
      </c>
      <c r="Q377" s="117"/>
      <c r="R377" s="117">
        <f t="shared" si="206"/>
        <v>0</v>
      </c>
      <c r="S377" s="117"/>
      <c r="T377" s="119"/>
      <c r="U377" s="117"/>
      <c r="V377" s="117">
        <f t="shared" si="207"/>
        <v>0</v>
      </c>
      <c r="W377" s="117">
        <f t="shared" si="208"/>
        <v>4703560000</v>
      </c>
      <c r="X377" s="117">
        <f t="shared" si="209"/>
        <v>10986440000</v>
      </c>
      <c r="Y377" s="117">
        <f t="shared" si="210"/>
        <v>15690000000</v>
      </c>
      <c r="Z377" s="204">
        <f t="shared" si="166"/>
        <v>0</v>
      </c>
    </row>
    <row r="378" spans="1:26" s="139" customFormat="1">
      <c r="A378" s="135" t="s">
        <v>39</v>
      </c>
      <c r="B378" s="136" t="s">
        <v>1185</v>
      </c>
      <c r="C378" s="137"/>
      <c r="D378" s="137"/>
      <c r="E378" s="138"/>
      <c r="F378" s="138"/>
      <c r="G378" s="138"/>
      <c r="H378" s="138"/>
      <c r="I378" s="138">
        <f t="shared" ref="I378:P378" si="211">SUM(I379:I414)</f>
        <v>2176202500</v>
      </c>
      <c r="J378" s="138">
        <f t="shared" si="211"/>
        <v>0</v>
      </c>
      <c r="K378" s="138">
        <f t="shared" si="211"/>
        <v>2538000000</v>
      </c>
      <c r="L378" s="138">
        <f t="shared" si="211"/>
        <v>2330755966</v>
      </c>
      <c r="M378" s="138">
        <f t="shared" si="211"/>
        <v>2330755966</v>
      </c>
      <c r="N378" s="138">
        <f t="shared" si="211"/>
        <v>0</v>
      </c>
      <c r="O378" s="138">
        <f t="shared" si="211"/>
        <v>0</v>
      </c>
      <c r="P378" s="138">
        <f t="shared" si="211"/>
        <v>207244034</v>
      </c>
      <c r="Q378" s="138">
        <f>SUM(Q379:Q414)</f>
        <v>3911000000</v>
      </c>
      <c r="R378" s="138">
        <f t="shared" ref="R378:Y378" si="212">SUM(R379:R414)</f>
        <v>3733785000</v>
      </c>
      <c r="S378" s="138">
        <f t="shared" si="212"/>
        <v>3733785000</v>
      </c>
      <c r="T378" s="138">
        <f t="shared" si="212"/>
        <v>0</v>
      </c>
      <c r="U378" s="138">
        <f t="shared" si="212"/>
        <v>0</v>
      </c>
      <c r="V378" s="138">
        <f t="shared" si="212"/>
        <v>177215000</v>
      </c>
      <c r="W378" s="138">
        <f t="shared" si="212"/>
        <v>8240743466</v>
      </c>
      <c r="X378" s="138">
        <f t="shared" si="212"/>
        <v>0</v>
      </c>
      <c r="Y378" s="138">
        <f t="shared" si="212"/>
        <v>13488110566</v>
      </c>
      <c r="Z378" s="204">
        <f>S378+M378+I378-W378</f>
        <v>0</v>
      </c>
    </row>
    <row r="379" spans="1:26" s="113" customFormat="1" ht="24">
      <c r="A379" s="114" t="s">
        <v>665</v>
      </c>
      <c r="B379" s="115" t="s">
        <v>1186</v>
      </c>
      <c r="C379" s="116" t="s">
        <v>457</v>
      </c>
      <c r="D379" s="116" t="s">
        <v>1187</v>
      </c>
      <c r="E379" s="117">
        <v>7237000000</v>
      </c>
      <c r="F379" s="117">
        <v>2601131000</v>
      </c>
      <c r="G379" s="117">
        <v>1359105500</v>
      </c>
      <c r="H379" s="117">
        <v>0</v>
      </c>
      <c r="I379" s="117">
        <v>1359105500</v>
      </c>
      <c r="J379" s="118">
        <f t="shared" ref="J379:J390" si="213">G379-H379-I379+N379</f>
        <v>0</v>
      </c>
      <c r="K379" s="117"/>
      <c r="L379" s="117">
        <f t="shared" ref="L379:L388" si="214">SUM(M379:N379)</f>
        <v>0</v>
      </c>
      <c r="M379" s="117"/>
      <c r="N379" s="117"/>
      <c r="O379" s="117"/>
      <c r="P379" s="117">
        <f t="shared" ref="P379:P390" si="215">K379-L379-O379</f>
        <v>0</v>
      </c>
      <c r="Q379" s="117">
        <v>1959000000</v>
      </c>
      <c r="R379" s="117">
        <f t="shared" ref="R379:R390" si="216">SUM(S379:T379)</f>
        <v>1959000000</v>
      </c>
      <c r="S379" s="117">
        <v>1959000000</v>
      </c>
      <c r="T379" s="119"/>
      <c r="U379" s="117"/>
      <c r="V379" s="117">
        <f t="shared" ref="V379:V390" si="217">Q379-R379-U379</f>
        <v>0</v>
      </c>
      <c r="W379" s="117">
        <f t="shared" ref="W379:W390" si="218">SUM(I379,M379,S379)</f>
        <v>3318105500</v>
      </c>
      <c r="X379" s="117">
        <f t="shared" ref="X379:X390" si="219">G379-H379-I379+N379+T379</f>
        <v>0</v>
      </c>
      <c r="Y379" s="117">
        <f t="shared" ref="Y379:Y390" si="220">F379+L379+R379</f>
        <v>4560131000</v>
      </c>
      <c r="Z379" s="204">
        <f t="shared" si="166"/>
        <v>0</v>
      </c>
    </row>
    <row r="380" spans="1:26" s="113" customFormat="1" ht="24">
      <c r="A380" s="114" t="s">
        <v>668</v>
      </c>
      <c r="B380" s="115" t="s">
        <v>1188</v>
      </c>
      <c r="C380" s="116" t="s">
        <v>457</v>
      </c>
      <c r="D380" s="116" t="s">
        <v>1189</v>
      </c>
      <c r="E380" s="117">
        <v>245000000</v>
      </c>
      <c r="F380" s="117">
        <v>10000000</v>
      </c>
      <c r="G380" s="117"/>
      <c r="H380" s="117"/>
      <c r="I380" s="117"/>
      <c r="J380" s="118">
        <f t="shared" si="213"/>
        <v>0</v>
      </c>
      <c r="K380" s="117"/>
      <c r="L380" s="117">
        <f t="shared" si="214"/>
        <v>0</v>
      </c>
      <c r="M380" s="117"/>
      <c r="N380" s="117"/>
      <c r="O380" s="117"/>
      <c r="P380" s="117">
        <f t="shared" si="215"/>
        <v>0</v>
      </c>
      <c r="Q380" s="117">
        <v>131000000</v>
      </c>
      <c r="R380" s="117">
        <f t="shared" si="216"/>
        <v>108762000</v>
      </c>
      <c r="S380" s="117">
        <v>108762000</v>
      </c>
      <c r="T380" s="119"/>
      <c r="U380" s="117"/>
      <c r="V380" s="117">
        <f t="shared" si="217"/>
        <v>22238000</v>
      </c>
      <c r="W380" s="117">
        <f t="shared" si="218"/>
        <v>108762000</v>
      </c>
      <c r="X380" s="117">
        <f t="shared" si="219"/>
        <v>0</v>
      </c>
      <c r="Y380" s="117">
        <f t="shared" si="220"/>
        <v>118762000</v>
      </c>
      <c r="Z380" s="204">
        <f t="shared" si="166"/>
        <v>0</v>
      </c>
    </row>
    <row r="381" spans="1:26" s="113" customFormat="1">
      <c r="A381" s="114" t="s">
        <v>671</v>
      </c>
      <c r="B381" s="115" t="s">
        <v>1190</v>
      </c>
      <c r="C381" s="116" t="s">
        <v>457</v>
      </c>
      <c r="D381" s="116" t="s">
        <v>1191</v>
      </c>
      <c r="E381" s="117">
        <v>487000000</v>
      </c>
      <c r="F381" s="117">
        <v>26000000</v>
      </c>
      <c r="G381" s="117"/>
      <c r="H381" s="117"/>
      <c r="I381" s="117"/>
      <c r="J381" s="118">
        <f t="shared" si="213"/>
        <v>0</v>
      </c>
      <c r="K381" s="117"/>
      <c r="L381" s="117">
        <f t="shared" si="214"/>
        <v>0</v>
      </c>
      <c r="M381" s="117"/>
      <c r="N381" s="117"/>
      <c r="O381" s="117"/>
      <c r="P381" s="117">
        <f t="shared" si="215"/>
        <v>0</v>
      </c>
      <c r="Q381" s="117">
        <v>249000000</v>
      </c>
      <c r="R381" s="117">
        <f t="shared" si="216"/>
        <v>202558000</v>
      </c>
      <c r="S381" s="117">
        <v>202558000</v>
      </c>
      <c r="T381" s="119"/>
      <c r="U381" s="117"/>
      <c r="V381" s="117">
        <f t="shared" si="217"/>
        <v>46442000</v>
      </c>
      <c r="W381" s="117">
        <f t="shared" si="218"/>
        <v>202558000</v>
      </c>
      <c r="X381" s="117">
        <f t="shared" si="219"/>
        <v>0</v>
      </c>
      <c r="Y381" s="117">
        <f t="shared" si="220"/>
        <v>228558000</v>
      </c>
      <c r="Z381" s="204">
        <f t="shared" si="166"/>
        <v>0</v>
      </c>
    </row>
    <row r="382" spans="1:26" s="113" customFormat="1">
      <c r="A382" s="114" t="s">
        <v>674</v>
      </c>
      <c r="B382" s="115" t="s">
        <v>1192</v>
      </c>
      <c r="C382" s="116" t="s">
        <v>457</v>
      </c>
      <c r="D382" s="116" t="s">
        <v>1193</v>
      </c>
      <c r="E382" s="117">
        <v>390000000</v>
      </c>
      <c r="F382" s="117">
        <v>47000000</v>
      </c>
      <c r="G382" s="117"/>
      <c r="H382" s="117"/>
      <c r="I382" s="117"/>
      <c r="J382" s="118">
        <f t="shared" si="213"/>
        <v>0</v>
      </c>
      <c r="K382" s="117"/>
      <c r="L382" s="117">
        <f t="shared" si="214"/>
        <v>0</v>
      </c>
      <c r="M382" s="117"/>
      <c r="N382" s="117"/>
      <c r="O382" s="117"/>
      <c r="P382" s="117">
        <f t="shared" si="215"/>
        <v>0</v>
      </c>
      <c r="Q382" s="117">
        <v>214000000</v>
      </c>
      <c r="R382" s="117">
        <f t="shared" si="216"/>
        <v>209475000</v>
      </c>
      <c r="S382" s="117">
        <v>209475000</v>
      </c>
      <c r="T382" s="119"/>
      <c r="U382" s="117"/>
      <c r="V382" s="117">
        <f t="shared" si="217"/>
        <v>4525000</v>
      </c>
      <c r="W382" s="117">
        <f t="shared" si="218"/>
        <v>209475000</v>
      </c>
      <c r="X382" s="117">
        <f t="shared" si="219"/>
        <v>0</v>
      </c>
      <c r="Y382" s="117">
        <f t="shared" si="220"/>
        <v>256475000</v>
      </c>
      <c r="Z382" s="204">
        <f t="shared" si="166"/>
        <v>0</v>
      </c>
    </row>
    <row r="383" spans="1:26" s="113" customFormat="1">
      <c r="A383" s="114" t="s">
        <v>749</v>
      </c>
      <c r="B383" s="115" t="s">
        <v>1194</v>
      </c>
      <c r="C383" s="116" t="s">
        <v>457</v>
      </c>
      <c r="D383" s="116" t="s">
        <v>1195</v>
      </c>
      <c r="E383" s="117">
        <v>234000000</v>
      </c>
      <c r="F383" s="117">
        <v>12000000</v>
      </c>
      <c r="G383" s="117"/>
      <c r="H383" s="117"/>
      <c r="I383" s="117"/>
      <c r="J383" s="118">
        <f t="shared" si="213"/>
        <v>0</v>
      </c>
      <c r="K383" s="117"/>
      <c r="L383" s="117">
        <f t="shared" si="214"/>
        <v>0</v>
      </c>
      <c r="M383" s="117"/>
      <c r="N383" s="117"/>
      <c r="O383" s="117"/>
      <c r="P383" s="117">
        <f t="shared" si="215"/>
        <v>0</v>
      </c>
      <c r="Q383" s="117">
        <v>154000000</v>
      </c>
      <c r="R383" s="117">
        <f t="shared" si="216"/>
        <v>151209000</v>
      </c>
      <c r="S383" s="117">
        <v>151209000</v>
      </c>
      <c r="T383" s="119"/>
      <c r="U383" s="117"/>
      <c r="V383" s="117">
        <f t="shared" si="217"/>
        <v>2791000</v>
      </c>
      <c r="W383" s="117">
        <f t="shared" si="218"/>
        <v>151209000</v>
      </c>
      <c r="X383" s="117">
        <f t="shared" si="219"/>
        <v>0</v>
      </c>
      <c r="Y383" s="117">
        <f t="shared" si="220"/>
        <v>163209000</v>
      </c>
      <c r="Z383" s="204">
        <f t="shared" si="166"/>
        <v>0</v>
      </c>
    </row>
    <row r="384" spans="1:26" s="113" customFormat="1">
      <c r="A384" s="114" t="s">
        <v>752</v>
      </c>
      <c r="B384" s="115" t="s">
        <v>1196</v>
      </c>
      <c r="C384" s="116" t="s">
        <v>457</v>
      </c>
      <c r="D384" s="116" t="s">
        <v>1197</v>
      </c>
      <c r="E384" s="117">
        <v>1731000000</v>
      </c>
      <c r="F384" s="117">
        <v>635416000</v>
      </c>
      <c r="G384" s="117">
        <v>29034000</v>
      </c>
      <c r="H384" s="117">
        <v>0</v>
      </c>
      <c r="I384" s="117">
        <v>29034000</v>
      </c>
      <c r="J384" s="118">
        <f t="shared" si="213"/>
        <v>0</v>
      </c>
      <c r="K384" s="117"/>
      <c r="L384" s="117">
        <f t="shared" si="214"/>
        <v>0</v>
      </c>
      <c r="M384" s="117"/>
      <c r="N384" s="117"/>
      <c r="O384" s="117"/>
      <c r="P384" s="117">
        <f t="shared" si="215"/>
        <v>0</v>
      </c>
      <c r="Q384" s="117">
        <v>212000000</v>
      </c>
      <c r="R384" s="117">
        <f t="shared" si="216"/>
        <v>193608000</v>
      </c>
      <c r="S384" s="117">
        <v>193608000</v>
      </c>
      <c r="T384" s="119"/>
      <c r="U384" s="117"/>
      <c r="V384" s="117">
        <f t="shared" si="217"/>
        <v>18392000</v>
      </c>
      <c r="W384" s="117">
        <f t="shared" si="218"/>
        <v>222642000</v>
      </c>
      <c r="X384" s="117">
        <f t="shared" si="219"/>
        <v>0</v>
      </c>
      <c r="Y384" s="117">
        <f t="shared" si="220"/>
        <v>829024000</v>
      </c>
      <c r="Z384" s="204">
        <f t="shared" si="166"/>
        <v>0</v>
      </c>
    </row>
    <row r="385" spans="1:26" s="113" customFormat="1" ht="24">
      <c r="A385" s="114" t="s">
        <v>755</v>
      </c>
      <c r="B385" s="115" t="s">
        <v>1198</v>
      </c>
      <c r="C385" s="116" t="s">
        <v>457</v>
      </c>
      <c r="D385" s="116" t="s">
        <v>1199</v>
      </c>
      <c r="E385" s="117">
        <v>661434597</v>
      </c>
      <c r="F385" s="117">
        <v>252350000</v>
      </c>
      <c r="G385" s="117">
        <v>15700000</v>
      </c>
      <c r="H385" s="117">
        <v>0</v>
      </c>
      <c r="I385" s="117">
        <v>15700000</v>
      </c>
      <c r="J385" s="118">
        <f t="shared" si="213"/>
        <v>0</v>
      </c>
      <c r="K385" s="117"/>
      <c r="L385" s="117">
        <f t="shared" si="214"/>
        <v>0</v>
      </c>
      <c r="M385" s="117"/>
      <c r="N385" s="117"/>
      <c r="O385" s="117"/>
      <c r="P385" s="117">
        <f t="shared" si="215"/>
        <v>0</v>
      </c>
      <c r="Q385" s="117">
        <v>6000000</v>
      </c>
      <c r="R385" s="117">
        <f t="shared" si="216"/>
        <v>4360000</v>
      </c>
      <c r="S385" s="117">
        <v>4360000</v>
      </c>
      <c r="T385" s="119"/>
      <c r="U385" s="117"/>
      <c r="V385" s="117">
        <f t="shared" si="217"/>
        <v>1640000</v>
      </c>
      <c r="W385" s="117">
        <f t="shared" si="218"/>
        <v>20060000</v>
      </c>
      <c r="X385" s="117">
        <f t="shared" si="219"/>
        <v>0</v>
      </c>
      <c r="Y385" s="117">
        <f t="shared" si="220"/>
        <v>256710000</v>
      </c>
      <c r="Z385" s="204">
        <f t="shared" si="166"/>
        <v>0</v>
      </c>
    </row>
    <row r="386" spans="1:26" s="113" customFormat="1">
      <c r="A386" s="114" t="s">
        <v>758</v>
      </c>
      <c r="B386" s="115" t="s">
        <v>1200</v>
      </c>
      <c r="C386" s="116" t="s">
        <v>457</v>
      </c>
      <c r="D386" s="116" t="s">
        <v>1201</v>
      </c>
      <c r="E386" s="117">
        <v>461560144</v>
      </c>
      <c r="F386" s="117">
        <v>205370000</v>
      </c>
      <c r="G386" s="117"/>
      <c r="H386" s="117"/>
      <c r="I386" s="117"/>
      <c r="J386" s="118">
        <f t="shared" si="213"/>
        <v>0</v>
      </c>
      <c r="K386" s="117"/>
      <c r="L386" s="117">
        <f t="shared" si="214"/>
        <v>0</v>
      </c>
      <c r="M386" s="117"/>
      <c r="N386" s="117"/>
      <c r="O386" s="117"/>
      <c r="P386" s="117">
        <f t="shared" si="215"/>
        <v>0</v>
      </c>
      <c r="Q386" s="117">
        <v>111000000</v>
      </c>
      <c r="R386" s="117">
        <f t="shared" si="216"/>
        <v>110784000</v>
      </c>
      <c r="S386" s="117">
        <v>110784000</v>
      </c>
      <c r="T386" s="119"/>
      <c r="U386" s="117"/>
      <c r="V386" s="117">
        <f t="shared" si="217"/>
        <v>216000</v>
      </c>
      <c r="W386" s="117">
        <f t="shared" si="218"/>
        <v>110784000</v>
      </c>
      <c r="X386" s="117">
        <f t="shared" si="219"/>
        <v>0</v>
      </c>
      <c r="Y386" s="117">
        <f t="shared" si="220"/>
        <v>316154000</v>
      </c>
      <c r="Z386" s="204">
        <f t="shared" si="166"/>
        <v>0</v>
      </c>
    </row>
    <row r="387" spans="1:26" s="113" customFormat="1">
      <c r="A387" s="114" t="s">
        <v>761</v>
      </c>
      <c r="B387" s="115" t="s">
        <v>1202</v>
      </c>
      <c r="C387" s="116" t="s">
        <v>457</v>
      </c>
      <c r="D387" s="116" t="s">
        <v>1203</v>
      </c>
      <c r="E387" s="117">
        <v>759125722</v>
      </c>
      <c r="F387" s="117">
        <v>395996000</v>
      </c>
      <c r="G387" s="117">
        <v>26600000</v>
      </c>
      <c r="H387" s="117">
        <v>0</v>
      </c>
      <c r="I387" s="117">
        <v>26600000</v>
      </c>
      <c r="J387" s="118">
        <f t="shared" si="213"/>
        <v>0</v>
      </c>
      <c r="K387" s="117"/>
      <c r="L387" s="117">
        <f t="shared" si="214"/>
        <v>0</v>
      </c>
      <c r="M387" s="117"/>
      <c r="N387" s="117"/>
      <c r="O387" s="117"/>
      <c r="P387" s="117">
        <f t="shared" si="215"/>
        <v>0</v>
      </c>
      <c r="Q387" s="117">
        <v>48000000</v>
      </c>
      <c r="R387" s="117">
        <f t="shared" si="216"/>
        <v>47500000</v>
      </c>
      <c r="S387" s="117">
        <v>47500000</v>
      </c>
      <c r="T387" s="119"/>
      <c r="U387" s="117"/>
      <c r="V387" s="117">
        <f t="shared" si="217"/>
        <v>500000</v>
      </c>
      <c r="W387" s="117">
        <f t="shared" si="218"/>
        <v>74100000</v>
      </c>
      <c r="X387" s="117">
        <f t="shared" si="219"/>
        <v>0</v>
      </c>
      <c r="Y387" s="117">
        <f t="shared" si="220"/>
        <v>443496000</v>
      </c>
      <c r="Z387" s="204">
        <f t="shared" si="166"/>
        <v>0</v>
      </c>
    </row>
    <row r="388" spans="1:26" s="113" customFormat="1" ht="24">
      <c r="A388" s="114" t="s">
        <v>764</v>
      </c>
      <c r="B388" s="115" t="s">
        <v>1204</v>
      </c>
      <c r="C388" s="116" t="s">
        <v>457</v>
      </c>
      <c r="D388" s="116" t="s">
        <v>1205</v>
      </c>
      <c r="E388" s="117">
        <v>197348351</v>
      </c>
      <c r="F388" s="117">
        <v>84352000</v>
      </c>
      <c r="G388" s="117"/>
      <c r="H388" s="117"/>
      <c r="I388" s="117"/>
      <c r="J388" s="118">
        <f t="shared" si="213"/>
        <v>0</v>
      </c>
      <c r="K388" s="117"/>
      <c r="L388" s="117">
        <f t="shared" si="214"/>
        <v>0</v>
      </c>
      <c r="M388" s="117"/>
      <c r="N388" s="117"/>
      <c r="O388" s="117"/>
      <c r="P388" s="117">
        <f t="shared" si="215"/>
        <v>0</v>
      </c>
      <c r="Q388" s="117">
        <v>27000000</v>
      </c>
      <c r="R388" s="117">
        <f t="shared" si="216"/>
        <v>26598000</v>
      </c>
      <c r="S388" s="117">
        <v>26598000</v>
      </c>
      <c r="T388" s="119"/>
      <c r="U388" s="117"/>
      <c r="V388" s="117">
        <f t="shared" si="217"/>
        <v>402000</v>
      </c>
      <c r="W388" s="117">
        <f t="shared" si="218"/>
        <v>26598000</v>
      </c>
      <c r="X388" s="117">
        <f t="shared" si="219"/>
        <v>0</v>
      </c>
      <c r="Y388" s="117">
        <f t="shared" si="220"/>
        <v>110950000</v>
      </c>
      <c r="Z388" s="204">
        <f t="shared" si="166"/>
        <v>0</v>
      </c>
    </row>
    <row r="389" spans="1:26" s="113" customFormat="1">
      <c r="A389" s="114" t="s">
        <v>455</v>
      </c>
      <c r="B389" s="115" t="s">
        <v>1206</v>
      </c>
      <c r="C389" s="116" t="s">
        <v>457</v>
      </c>
      <c r="D389" s="116" t="s">
        <v>1207</v>
      </c>
      <c r="E389" s="117">
        <v>1361000000</v>
      </c>
      <c r="F389" s="117">
        <v>480761600</v>
      </c>
      <c r="G389" s="117">
        <v>357773000</v>
      </c>
      <c r="H389" s="117">
        <v>0</v>
      </c>
      <c r="I389" s="117">
        <v>357773000</v>
      </c>
      <c r="J389" s="118">
        <f t="shared" si="213"/>
        <v>0</v>
      </c>
      <c r="K389" s="117"/>
      <c r="L389" s="117"/>
      <c r="M389" s="117"/>
      <c r="N389" s="117"/>
      <c r="O389" s="117"/>
      <c r="P389" s="117">
        <f t="shared" si="215"/>
        <v>0</v>
      </c>
      <c r="Q389" s="117">
        <v>80000000</v>
      </c>
      <c r="R389" s="117">
        <f t="shared" si="216"/>
        <v>0</v>
      </c>
      <c r="S389" s="117"/>
      <c r="T389" s="119"/>
      <c r="U389" s="117"/>
      <c r="V389" s="117">
        <f t="shared" si="217"/>
        <v>80000000</v>
      </c>
      <c r="W389" s="117">
        <f t="shared" si="218"/>
        <v>357773000</v>
      </c>
      <c r="X389" s="117">
        <f t="shared" si="219"/>
        <v>0</v>
      </c>
      <c r="Y389" s="117">
        <f t="shared" si="220"/>
        <v>480761600</v>
      </c>
      <c r="Z389" s="204">
        <f t="shared" si="166"/>
        <v>0</v>
      </c>
    </row>
    <row r="390" spans="1:26" s="113" customFormat="1">
      <c r="A390" s="114" t="s">
        <v>767</v>
      </c>
      <c r="B390" s="115" t="s">
        <v>1208</v>
      </c>
      <c r="C390" s="116" t="s">
        <v>457</v>
      </c>
      <c r="D390" s="116" t="s">
        <v>1209</v>
      </c>
      <c r="E390" s="117">
        <v>2736000000</v>
      </c>
      <c r="F390" s="117">
        <v>1087899000</v>
      </c>
      <c r="G390" s="117">
        <v>387990000</v>
      </c>
      <c r="H390" s="117">
        <v>0</v>
      </c>
      <c r="I390" s="117">
        <v>387990000</v>
      </c>
      <c r="J390" s="118">
        <f t="shared" si="213"/>
        <v>0</v>
      </c>
      <c r="K390" s="117"/>
      <c r="L390" s="117">
        <f>SUM(M390:N390)</f>
        <v>0</v>
      </c>
      <c r="M390" s="117"/>
      <c r="N390" s="117"/>
      <c r="O390" s="117"/>
      <c r="P390" s="117">
        <f t="shared" si="215"/>
        <v>0</v>
      </c>
      <c r="Q390" s="117">
        <v>720000000</v>
      </c>
      <c r="R390" s="117">
        <f t="shared" si="216"/>
        <v>719931000</v>
      </c>
      <c r="S390" s="117">
        <v>719931000</v>
      </c>
      <c r="T390" s="119"/>
      <c r="U390" s="117"/>
      <c r="V390" s="117">
        <f t="shared" si="217"/>
        <v>69000</v>
      </c>
      <c r="W390" s="117">
        <f t="shared" si="218"/>
        <v>1107921000</v>
      </c>
      <c r="X390" s="117">
        <f t="shared" si="219"/>
        <v>0</v>
      </c>
      <c r="Y390" s="117">
        <f t="shared" si="220"/>
        <v>1807830000</v>
      </c>
      <c r="Z390" s="204">
        <f t="shared" si="166"/>
        <v>0</v>
      </c>
    </row>
    <row r="391" spans="1:26" s="124" customFormat="1">
      <c r="A391" s="120"/>
      <c r="B391" s="121" t="s">
        <v>1210</v>
      </c>
      <c r="C391" s="122"/>
      <c r="D391" s="122"/>
      <c r="E391" s="123"/>
      <c r="F391" s="123"/>
      <c r="G391" s="123"/>
      <c r="H391" s="123"/>
      <c r="I391" s="123"/>
      <c r="J391" s="133"/>
      <c r="K391" s="123"/>
      <c r="L391" s="123"/>
      <c r="M391" s="123"/>
      <c r="N391" s="123"/>
      <c r="O391" s="123"/>
      <c r="P391" s="123"/>
      <c r="Q391" s="123"/>
      <c r="R391" s="123"/>
      <c r="S391" s="123"/>
      <c r="T391" s="134"/>
      <c r="U391" s="123"/>
      <c r="V391" s="123"/>
      <c r="W391" s="123"/>
      <c r="X391" s="123"/>
      <c r="Y391" s="123"/>
      <c r="Z391" s="204">
        <f t="shared" si="166"/>
        <v>0</v>
      </c>
    </row>
    <row r="392" spans="1:26" s="113" customFormat="1">
      <c r="A392" s="114" t="s">
        <v>459</v>
      </c>
      <c r="B392" s="115" t="s">
        <v>1211</v>
      </c>
      <c r="C392" s="116" t="s">
        <v>457</v>
      </c>
      <c r="D392" s="116" t="s">
        <v>1212</v>
      </c>
      <c r="E392" s="117">
        <v>1373000000</v>
      </c>
      <c r="F392" s="117">
        <v>638022000</v>
      </c>
      <c r="G392" s="117"/>
      <c r="H392" s="117"/>
      <c r="I392" s="117"/>
      <c r="J392" s="118">
        <f t="shared" ref="J392:J414" si="221">G392-H392-I392+N392</f>
        <v>0</v>
      </c>
      <c r="K392" s="140">
        <v>878000</v>
      </c>
      <c r="L392" s="117"/>
      <c r="M392" s="117"/>
      <c r="N392" s="117"/>
      <c r="O392" s="117"/>
      <c r="P392" s="117">
        <f t="shared" ref="P392:P414" si="222">K392-L392-O392</f>
        <v>878000</v>
      </c>
      <c r="Q392" s="117"/>
      <c r="R392" s="117">
        <f t="shared" ref="R392:R414" si="223">SUM(S392:T392)</f>
        <v>0</v>
      </c>
      <c r="S392" s="117"/>
      <c r="T392" s="119"/>
      <c r="U392" s="117"/>
      <c r="V392" s="117">
        <f t="shared" ref="V392:V414" si="224">Q392-R392-U392</f>
        <v>0</v>
      </c>
      <c r="W392" s="117">
        <f t="shared" ref="W392:W414" si="225">SUM(I392,M392,S392)</f>
        <v>0</v>
      </c>
      <c r="X392" s="117">
        <f t="shared" ref="X392:X414" si="226">G392-H392-I392+N392+T392</f>
        <v>0</v>
      </c>
      <c r="Y392" s="117">
        <f t="shared" ref="Y392:Y414" si="227">F392+L392+R392</f>
        <v>638022000</v>
      </c>
      <c r="Z392" s="204">
        <f t="shared" si="166"/>
        <v>0</v>
      </c>
    </row>
    <row r="393" spans="1:26" s="113" customFormat="1" ht="24">
      <c r="A393" s="114" t="s">
        <v>462</v>
      </c>
      <c r="B393" s="115" t="s">
        <v>1213</v>
      </c>
      <c r="C393" s="116" t="s">
        <v>457</v>
      </c>
      <c r="D393" s="116" t="s">
        <v>1214</v>
      </c>
      <c r="E393" s="117">
        <v>1980000000</v>
      </c>
      <c r="F393" s="117"/>
      <c r="G393" s="117"/>
      <c r="H393" s="117"/>
      <c r="I393" s="117"/>
      <c r="J393" s="118">
        <f t="shared" si="221"/>
        <v>0</v>
      </c>
      <c r="K393" s="140">
        <v>476000</v>
      </c>
      <c r="L393" s="117">
        <f t="shared" ref="L393:L404" si="228">SUM(M393:N393)</f>
        <v>0</v>
      </c>
      <c r="M393" s="117"/>
      <c r="N393" s="117"/>
      <c r="O393" s="117"/>
      <c r="P393" s="117">
        <f t="shared" si="222"/>
        <v>476000</v>
      </c>
      <c r="Q393" s="117"/>
      <c r="R393" s="117">
        <f t="shared" si="223"/>
        <v>0</v>
      </c>
      <c r="S393" s="117"/>
      <c r="T393" s="119"/>
      <c r="U393" s="117"/>
      <c r="V393" s="117">
        <f t="shared" si="224"/>
        <v>0</v>
      </c>
      <c r="W393" s="117">
        <f t="shared" si="225"/>
        <v>0</v>
      </c>
      <c r="X393" s="117">
        <f t="shared" si="226"/>
        <v>0</v>
      </c>
      <c r="Y393" s="117">
        <f t="shared" si="227"/>
        <v>0</v>
      </c>
      <c r="Z393" s="204">
        <f t="shared" si="166"/>
        <v>0</v>
      </c>
    </row>
    <row r="394" spans="1:26" s="113" customFormat="1" ht="24">
      <c r="A394" s="114" t="s">
        <v>465</v>
      </c>
      <c r="B394" s="115" t="s">
        <v>1215</v>
      </c>
      <c r="C394" s="116" t="s">
        <v>457</v>
      </c>
      <c r="D394" s="116" t="s">
        <v>1216</v>
      </c>
      <c r="E394" s="117">
        <v>2466000000</v>
      </c>
      <c r="F394" s="117"/>
      <c r="G394" s="117"/>
      <c r="H394" s="117"/>
      <c r="I394" s="117"/>
      <c r="J394" s="118">
        <f t="shared" si="221"/>
        <v>0</v>
      </c>
      <c r="K394" s="140">
        <v>629000</v>
      </c>
      <c r="L394" s="117">
        <f t="shared" si="228"/>
        <v>0</v>
      </c>
      <c r="M394" s="117"/>
      <c r="N394" s="117"/>
      <c r="O394" s="117"/>
      <c r="P394" s="117">
        <f t="shared" si="222"/>
        <v>629000</v>
      </c>
      <c r="Q394" s="117"/>
      <c r="R394" s="117">
        <f t="shared" si="223"/>
        <v>0</v>
      </c>
      <c r="S394" s="117"/>
      <c r="T394" s="119"/>
      <c r="U394" s="117"/>
      <c r="V394" s="117">
        <f t="shared" si="224"/>
        <v>0</v>
      </c>
      <c r="W394" s="117">
        <f t="shared" si="225"/>
        <v>0</v>
      </c>
      <c r="X394" s="117">
        <f t="shared" si="226"/>
        <v>0</v>
      </c>
      <c r="Y394" s="117">
        <f t="shared" si="227"/>
        <v>0</v>
      </c>
      <c r="Z394" s="204">
        <f t="shared" si="166"/>
        <v>0</v>
      </c>
    </row>
    <row r="395" spans="1:26" s="113" customFormat="1">
      <c r="A395" s="114" t="s">
        <v>468</v>
      </c>
      <c r="B395" s="115" t="s">
        <v>1217</v>
      </c>
      <c r="C395" s="116" t="s">
        <v>457</v>
      </c>
      <c r="D395" s="116" t="s">
        <v>1218</v>
      </c>
      <c r="E395" s="117">
        <v>1246000000</v>
      </c>
      <c r="F395" s="117"/>
      <c r="G395" s="117"/>
      <c r="H395" s="117"/>
      <c r="I395" s="117"/>
      <c r="J395" s="118">
        <f t="shared" si="221"/>
        <v>0</v>
      </c>
      <c r="K395" s="140">
        <v>1266000</v>
      </c>
      <c r="L395" s="117">
        <f t="shared" si="228"/>
        <v>0</v>
      </c>
      <c r="M395" s="117"/>
      <c r="N395" s="117"/>
      <c r="O395" s="117"/>
      <c r="P395" s="117">
        <f t="shared" si="222"/>
        <v>1266000</v>
      </c>
      <c r="Q395" s="117"/>
      <c r="R395" s="117">
        <f t="shared" si="223"/>
        <v>0</v>
      </c>
      <c r="S395" s="117"/>
      <c r="T395" s="119"/>
      <c r="U395" s="117"/>
      <c r="V395" s="117">
        <f t="shared" si="224"/>
        <v>0</v>
      </c>
      <c r="W395" s="117">
        <f t="shared" si="225"/>
        <v>0</v>
      </c>
      <c r="X395" s="117">
        <f t="shared" si="226"/>
        <v>0</v>
      </c>
      <c r="Y395" s="117">
        <f t="shared" si="227"/>
        <v>0</v>
      </c>
      <c r="Z395" s="204">
        <f t="shared" si="166"/>
        <v>0</v>
      </c>
    </row>
    <row r="396" spans="1:26" s="113" customFormat="1">
      <c r="A396" s="114" t="s">
        <v>471</v>
      </c>
      <c r="B396" s="115" t="s">
        <v>1219</v>
      </c>
      <c r="C396" s="116" t="s">
        <v>457</v>
      </c>
      <c r="D396" s="116" t="s">
        <v>1220</v>
      </c>
      <c r="E396" s="117">
        <v>295000000</v>
      </c>
      <c r="F396" s="117"/>
      <c r="G396" s="117"/>
      <c r="H396" s="117"/>
      <c r="I396" s="117"/>
      <c r="J396" s="118">
        <f t="shared" si="221"/>
        <v>0</v>
      </c>
      <c r="K396" s="140">
        <v>361000</v>
      </c>
      <c r="L396" s="117">
        <f t="shared" si="228"/>
        <v>0</v>
      </c>
      <c r="M396" s="117"/>
      <c r="N396" s="117"/>
      <c r="O396" s="117"/>
      <c r="P396" s="117">
        <f t="shared" si="222"/>
        <v>361000</v>
      </c>
      <c r="Q396" s="117"/>
      <c r="R396" s="117">
        <f t="shared" si="223"/>
        <v>0</v>
      </c>
      <c r="S396" s="117"/>
      <c r="T396" s="119"/>
      <c r="U396" s="117"/>
      <c r="V396" s="117">
        <f t="shared" si="224"/>
        <v>0</v>
      </c>
      <c r="W396" s="117">
        <f t="shared" si="225"/>
        <v>0</v>
      </c>
      <c r="X396" s="117">
        <f t="shared" si="226"/>
        <v>0</v>
      </c>
      <c r="Y396" s="117">
        <f t="shared" si="227"/>
        <v>0</v>
      </c>
      <c r="Z396" s="204">
        <f t="shared" si="166"/>
        <v>0</v>
      </c>
    </row>
    <row r="397" spans="1:26" s="113" customFormat="1" ht="24">
      <c r="A397" s="114" t="s">
        <v>474</v>
      </c>
      <c r="B397" s="115" t="s">
        <v>1221</v>
      </c>
      <c r="C397" s="116" t="s">
        <v>457</v>
      </c>
      <c r="D397" s="116" t="s">
        <v>1222</v>
      </c>
      <c r="E397" s="117">
        <v>415000000</v>
      </c>
      <c r="F397" s="117"/>
      <c r="G397" s="117"/>
      <c r="H397" s="117"/>
      <c r="I397" s="117"/>
      <c r="J397" s="118">
        <f t="shared" si="221"/>
        <v>0</v>
      </c>
      <c r="K397" s="140">
        <v>313000</v>
      </c>
      <c r="L397" s="117">
        <f t="shared" si="228"/>
        <v>0</v>
      </c>
      <c r="M397" s="117"/>
      <c r="N397" s="117"/>
      <c r="O397" s="117"/>
      <c r="P397" s="117">
        <f t="shared" si="222"/>
        <v>313000</v>
      </c>
      <c r="Q397" s="117"/>
      <c r="R397" s="117">
        <f t="shared" si="223"/>
        <v>0</v>
      </c>
      <c r="S397" s="117"/>
      <c r="T397" s="119"/>
      <c r="U397" s="117"/>
      <c r="V397" s="117">
        <f t="shared" si="224"/>
        <v>0</v>
      </c>
      <c r="W397" s="117">
        <f t="shared" si="225"/>
        <v>0</v>
      </c>
      <c r="X397" s="117">
        <f t="shared" si="226"/>
        <v>0</v>
      </c>
      <c r="Y397" s="117">
        <f t="shared" si="227"/>
        <v>0</v>
      </c>
      <c r="Z397" s="204">
        <f t="shared" ref="Z397:Z460" si="229">S397+M397+I397-W397</f>
        <v>0</v>
      </c>
    </row>
    <row r="398" spans="1:26" s="113" customFormat="1" ht="29.25" customHeight="1">
      <c r="A398" s="114" t="s">
        <v>477</v>
      </c>
      <c r="B398" s="115" t="s">
        <v>1223</v>
      </c>
      <c r="C398" s="116" t="s">
        <v>457</v>
      </c>
      <c r="D398" s="116" t="s">
        <v>1224</v>
      </c>
      <c r="E398" s="117">
        <v>720000000</v>
      </c>
      <c r="F398" s="117"/>
      <c r="G398" s="117"/>
      <c r="H398" s="117"/>
      <c r="I398" s="117"/>
      <c r="J398" s="118">
        <f t="shared" si="221"/>
        <v>0</v>
      </c>
      <c r="K398" s="140">
        <v>2254000</v>
      </c>
      <c r="L398" s="117">
        <f t="shared" si="228"/>
        <v>0</v>
      </c>
      <c r="M398" s="117"/>
      <c r="N398" s="117"/>
      <c r="O398" s="117"/>
      <c r="P398" s="117">
        <f t="shared" si="222"/>
        <v>2254000</v>
      </c>
      <c r="Q398" s="117"/>
      <c r="R398" s="117">
        <f t="shared" si="223"/>
        <v>0</v>
      </c>
      <c r="S398" s="117"/>
      <c r="T398" s="119"/>
      <c r="U398" s="117"/>
      <c r="V398" s="117">
        <f t="shared" si="224"/>
        <v>0</v>
      </c>
      <c r="W398" s="117">
        <f t="shared" si="225"/>
        <v>0</v>
      </c>
      <c r="X398" s="117">
        <f t="shared" si="226"/>
        <v>0</v>
      </c>
      <c r="Y398" s="117">
        <f t="shared" si="227"/>
        <v>0</v>
      </c>
      <c r="Z398" s="204">
        <f t="shared" si="229"/>
        <v>0</v>
      </c>
    </row>
    <row r="399" spans="1:26" s="113" customFormat="1">
      <c r="A399" s="114" t="s">
        <v>480</v>
      </c>
      <c r="B399" s="115" t="s">
        <v>1225</v>
      </c>
      <c r="C399" s="116" t="s">
        <v>457</v>
      </c>
      <c r="D399" s="116" t="s">
        <v>1226</v>
      </c>
      <c r="E399" s="117">
        <v>9871000000</v>
      </c>
      <c r="F399" s="117"/>
      <c r="G399" s="117"/>
      <c r="H399" s="117"/>
      <c r="I399" s="117"/>
      <c r="J399" s="118">
        <f t="shared" si="221"/>
        <v>0</v>
      </c>
      <c r="K399" s="140">
        <v>978668000</v>
      </c>
      <c r="L399" s="117">
        <f t="shared" si="228"/>
        <v>978666966</v>
      </c>
      <c r="M399" s="117">
        <v>978666966</v>
      </c>
      <c r="N399" s="117"/>
      <c r="O399" s="117"/>
      <c r="P399" s="117">
        <f t="shared" si="222"/>
        <v>1034</v>
      </c>
      <c r="Q399" s="117"/>
      <c r="R399" s="117">
        <f t="shared" si="223"/>
        <v>0</v>
      </c>
      <c r="S399" s="117"/>
      <c r="T399" s="119"/>
      <c r="U399" s="117"/>
      <c r="V399" s="117">
        <f t="shared" si="224"/>
        <v>0</v>
      </c>
      <c r="W399" s="117">
        <f t="shared" si="225"/>
        <v>978666966</v>
      </c>
      <c r="X399" s="117">
        <f t="shared" si="226"/>
        <v>0</v>
      </c>
      <c r="Y399" s="117">
        <f t="shared" si="227"/>
        <v>978666966</v>
      </c>
      <c r="Z399" s="204">
        <f t="shared" si="229"/>
        <v>0</v>
      </c>
    </row>
    <row r="400" spans="1:26" s="113" customFormat="1">
      <c r="A400" s="114" t="s">
        <v>483</v>
      </c>
      <c r="B400" s="115" t="s">
        <v>1208</v>
      </c>
      <c r="C400" s="116" t="s">
        <v>457</v>
      </c>
      <c r="D400" s="116" t="s">
        <v>1209</v>
      </c>
      <c r="E400" s="117">
        <v>2736000000</v>
      </c>
      <c r="F400" s="117"/>
      <c r="G400" s="117"/>
      <c r="H400" s="117"/>
      <c r="I400" s="117"/>
      <c r="J400" s="118">
        <f t="shared" si="221"/>
        <v>0</v>
      </c>
      <c r="K400" s="140">
        <v>140892000</v>
      </c>
      <c r="L400" s="117">
        <f t="shared" si="228"/>
        <v>140892000</v>
      </c>
      <c r="M400" s="117">
        <v>140892000</v>
      </c>
      <c r="N400" s="117"/>
      <c r="O400" s="117"/>
      <c r="P400" s="117">
        <f t="shared" si="222"/>
        <v>0</v>
      </c>
      <c r="Q400" s="117"/>
      <c r="R400" s="117">
        <f t="shared" si="223"/>
        <v>0</v>
      </c>
      <c r="S400" s="117"/>
      <c r="T400" s="119"/>
      <c r="U400" s="117"/>
      <c r="V400" s="117">
        <f t="shared" si="224"/>
        <v>0</v>
      </c>
      <c r="W400" s="117">
        <f t="shared" si="225"/>
        <v>140892000</v>
      </c>
      <c r="X400" s="117">
        <f t="shared" si="226"/>
        <v>0</v>
      </c>
      <c r="Y400" s="117">
        <f t="shared" si="227"/>
        <v>140892000</v>
      </c>
      <c r="Z400" s="204">
        <f t="shared" si="229"/>
        <v>0</v>
      </c>
    </row>
    <row r="401" spans="1:26" s="113" customFormat="1">
      <c r="A401" s="114" t="s">
        <v>486</v>
      </c>
      <c r="B401" s="115" t="s">
        <v>1202</v>
      </c>
      <c r="C401" s="116" t="s">
        <v>457</v>
      </c>
      <c r="D401" s="116" t="s">
        <v>1203</v>
      </c>
      <c r="E401" s="117">
        <v>759125722</v>
      </c>
      <c r="F401" s="117"/>
      <c r="G401" s="117"/>
      <c r="H401" s="117"/>
      <c r="I401" s="117"/>
      <c r="J401" s="118">
        <f t="shared" si="221"/>
        <v>0</v>
      </c>
      <c r="K401" s="140">
        <v>30364000</v>
      </c>
      <c r="L401" s="117">
        <f t="shared" si="228"/>
        <v>0</v>
      </c>
      <c r="M401" s="117"/>
      <c r="N401" s="117"/>
      <c r="O401" s="117"/>
      <c r="P401" s="117">
        <f t="shared" si="222"/>
        <v>30364000</v>
      </c>
      <c r="Q401" s="117"/>
      <c r="R401" s="117">
        <f t="shared" si="223"/>
        <v>0</v>
      </c>
      <c r="S401" s="117"/>
      <c r="T401" s="119"/>
      <c r="U401" s="117"/>
      <c r="V401" s="117">
        <f t="shared" si="224"/>
        <v>0</v>
      </c>
      <c r="W401" s="117">
        <f t="shared" si="225"/>
        <v>0</v>
      </c>
      <c r="X401" s="117">
        <f t="shared" si="226"/>
        <v>0</v>
      </c>
      <c r="Y401" s="117">
        <f t="shared" si="227"/>
        <v>0</v>
      </c>
      <c r="Z401" s="204">
        <f t="shared" si="229"/>
        <v>0</v>
      </c>
    </row>
    <row r="402" spans="1:26" s="113" customFormat="1">
      <c r="A402" s="114" t="s">
        <v>489</v>
      </c>
      <c r="B402" s="115" t="s">
        <v>1227</v>
      </c>
      <c r="C402" s="116" t="s">
        <v>457</v>
      </c>
      <c r="D402" s="116" t="s">
        <v>1228</v>
      </c>
      <c r="E402" s="117">
        <v>8827000000</v>
      </c>
      <c r="F402" s="117"/>
      <c r="G402" s="117"/>
      <c r="H402" s="117"/>
      <c r="I402" s="117"/>
      <c r="J402" s="118">
        <f t="shared" si="221"/>
        <v>0</v>
      </c>
      <c r="K402" s="140">
        <v>148583000</v>
      </c>
      <c r="L402" s="117">
        <f t="shared" si="228"/>
        <v>63554000</v>
      </c>
      <c r="M402" s="117">
        <v>63554000</v>
      </c>
      <c r="N402" s="117"/>
      <c r="O402" s="117"/>
      <c r="P402" s="117">
        <f t="shared" si="222"/>
        <v>85029000</v>
      </c>
      <c r="Q402" s="117"/>
      <c r="R402" s="117">
        <f t="shared" si="223"/>
        <v>0</v>
      </c>
      <c r="S402" s="117"/>
      <c r="T402" s="119"/>
      <c r="U402" s="117"/>
      <c r="V402" s="117">
        <f t="shared" si="224"/>
        <v>0</v>
      </c>
      <c r="W402" s="117">
        <f t="shared" si="225"/>
        <v>63554000</v>
      </c>
      <c r="X402" s="117">
        <f t="shared" si="226"/>
        <v>0</v>
      </c>
      <c r="Y402" s="117">
        <f t="shared" si="227"/>
        <v>63554000</v>
      </c>
      <c r="Z402" s="204">
        <f t="shared" si="229"/>
        <v>0</v>
      </c>
    </row>
    <row r="403" spans="1:26" s="113" customFormat="1" ht="24">
      <c r="A403" s="114" t="s">
        <v>553</v>
      </c>
      <c r="B403" s="115" t="s">
        <v>1229</v>
      </c>
      <c r="C403" s="116" t="s">
        <v>457</v>
      </c>
      <c r="D403" s="116" t="s">
        <v>1230</v>
      </c>
      <c r="E403" s="117">
        <v>11966000000</v>
      </c>
      <c r="F403" s="117"/>
      <c r="G403" s="117"/>
      <c r="H403" s="117"/>
      <c r="I403" s="117"/>
      <c r="J403" s="118">
        <f t="shared" si="221"/>
        <v>0</v>
      </c>
      <c r="K403" s="140">
        <v>59675000</v>
      </c>
      <c r="L403" s="117">
        <f t="shared" si="228"/>
        <v>48403000</v>
      </c>
      <c r="M403" s="117">
        <v>48403000</v>
      </c>
      <c r="N403" s="117"/>
      <c r="O403" s="117"/>
      <c r="P403" s="117">
        <f t="shared" si="222"/>
        <v>11272000</v>
      </c>
      <c r="Q403" s="117"/>
      <c r="R403" s="117">
        <f t="shared" si="223"/>
        <v>0</v>
      </c>
      <c r="S403" s="117"/>
      <c r="T403" s="119"/>
      <c r="U403" s="117"/>
      <c r="V403" s="117">
        <f t="shared" si="224"/>
        <v>0</v>
      </c>
      <c r="W403" s="117">
        <f t="shared" si="225"/>
        <v>48403000</v>
      </c>
      <c r="X403" s="117">
        <f t="shared" si="226"/>
        <v>0</v>
      </c>
      <c r="Y403" s="117">
        <f t="shared" si="227"/>
        <v>48403000</v>
      </c>
      <c r="Z403" s="204">
        <f t="shared" si="229"/>
        <v>0</v>
      </c>
    </row>
    <row r="404" spans="1:26" s="113" customFormat="1" ht="24">
      <c r="A404" s="114" t="s">
        <v>556</v>
      </c>
      <c r="B404" s="115" t="s">
        <v>1231</v>
      </c>
      <c r="C404" s="116" t="s">
        <v>457</v>
      </c>
      <c r="D404" s="116" t="s">
        <v>1232</v>
      </c>
      <c r="E404" s="117">
        <v>15730000000</v>
      </c>
      <c r="F404" s="117"/>
      <c r="G404" s="117"/>
      <c r="H404" s="117"/>
      <c r="I404" s="117"/>
      <c r="J404" s="118">
        <f t="shared" si="221"/>
        <v>0</v>
      </c>
      <c r="K404" s="140">
        <v>20000000</v>
      </c>
      <c r="L404" s="117">
        <f t="shared" si="228"/>
        <v>19660000</v>
      </c>
      <c r="M404" s="117">
        <v>19660000</v>
      </c>
      <c r="N404" s="117"/>
      <c r="O404" s="117"/>
      <c r="P404" s="117">
        <f t="shared" si="222"/>
        <v>340000</v>
      </c>
      <c r="Q404" s="117"/>
      <c r="R404" s="117">
        <f t="shared" si="223"/>
        <v>0</v>
      </c>
      <c r="S404" s="117"/>
      <c r="T404" s="119"/>
      <c r="U404" s="117"/>
      <c r="V404" s="117">
        <f t="shared" si="224"/>
        <v>0</v>
      </c>
      <c r="W404" s="117">
        <f t="shared" si="225"/>
        <v>19660000</v>
      </c>
      <c r="X404" s="117">
        <f t="shared" si="226"/>
        <v>0</v>
      </c>
      <c r="Y404" s="117">
        <f t="shared" si="227"/>
        <v>19660000</v>
      </c>
      <c r="Z404" s="204">
        <f t="shared" si="229"/>
        <v>0</v>
      </c>
    </row>
    <row r="405" spans="1:26" s="113" customFormat="1">
      <c r="A405" s="114" t="s">
        <v>559</v>
      </c>
      <c r="B405" s="115" t="s">
        <v>1233</v>
      </c>
      <c r="C405" s="116" t="s">
        <v>457</v>
      </c>
      <c r="D405" s="116" t="s">
        <v>1234</v>
      </c>
      <c r="E405" s="117">
        <v>1750000000</v>
      </c>
      <c r="F405" s="117">
        <v>947272000</v>
      </c>
      <c r="G405" s="117"/>
      <c r="H405" s="117"/>
      <c r="I405" s="117"/>
      <c r="J405" s="118">
        <f t="shared" si="221"/>
        <v>0</v>
      </c>
      <c r="K405" s="140">
        <v>328000</v>
      </c>
      <c r="L405" s="117"/>
      <c r="M405" s="117"/>
      <c r="N405" s="117"/>
      <c r="O405" s="117"/>
      <c r="P405" s="117">
        <f t="shared" si="222"/>
        <v>328000</v>
      </c>
      <c r="Q405" s="117"/>
      <c r="R405" s="117">
        <f t="shared" si="223"/>
        <v>0</v>
      </c>
      <c r="S405" s="117"/>
      <c r="T405" s="119"/>
      <c r="U405" s="117"/>
      <c r="V405" s="117">
        <f t="shared" si="224"/>
        <v>0</v>
      </c>
      <c r="W405" s="117">
        <f t="shared" si="225"/>
        <v>0</v>
      </c>
      <c r="X405" s="117">
        <f t="shared" si="226"/>
        <v>0</v>
      </c>
      <c r="Y405" s="117">
        <f t="shared" si="227"/>
        <v>947272000</v>
      </c>
      <c r="Z405" s="204">
        <f t="shared" si="229"/>
        <v>0</v>
      </c>
    </row>
    <row r="406" spans="1:26" s="113" customFormat="1">
      <c r="A406" s="114" t="s">
        <v>562</v>
      </c>
      <c r="B406" s="115" t="s">
        <v>1235</v>
      </c>
      <c r="C406" s="116" t="s">
        <v>457</v>
      </c>
      <c r="D406" s="116" t="s">
        <v>1236</v>
      </c>
      <c r="E406" s="117">
        <v>495000000</v>
      </c>
      <c r="F406" s="117"/>
      <c r="G406" s="117"/>
      <c r="H406" s="117"/>
      <c r="I406" s="117"/>
      <c r="J406" s="118">
        <f t="shared" si="221"/>
        <v>0</v>
      </c>
      <c r="K406" s="140">
        <v>200000</v>
      </c>
      <c r="L406" s="117">
        <f>SUM(M406:N406)</f>
        <v>0</v>
      </c>
      <c r="M406" s="117"/>
      <c r="N406" s="117"/>
      <c r="O406" s="117"/>
      <c r="P406" s="117">
        <f t="shared" si="222"/>
        <v>200000</v>
      </c>
      <c r="Q406" s="117"/>
      <c r="R406" s="117">
        <f t="shared" si="223"/>
        <v>0</v>
      </c>
      <c r="S406" s="117"/>
      <c r="T406" s="119"/>
      <c r="U406" s="117"/>
      <c r="V406" s="117">
        <f t="shared" si="224"/>
        <v>0</v>
      </c>
      <c r="W406" s="117">
        <f t="shared" si="225"/>
        <v>0</v>
      </c>
      <c r="X406" s="117">
        <f t="shared" si="226"/>
        <v>0</v>
      </c>
      <c r="Y406" s="117">
        <f t="shared" si="227"/>
        <v>0</v>
      </c>
      <c r="Z406" s="204">
        <f t="shared" si="229"/>
        <v>0</v>
      </c>
    </row>
    <row r="407" spans="1:26" s="113" customFormat="1">
      <c r="A407" s="114" t="s">
        <v>565</v>
      </c>
      <c r="B407" s="115" t="s">
        <v>1237</v>
      </c>
      <c r="C407" s="116" t="s">
        <v>457</v>
      </c>
      <c r="D407" s="116" t="s">
        <v>1238</v>
      </c>
      <c r="E407" s="117">
        <v>860000000</v>
      </c>
      <c r="F407" s="117"/>
      <c r="G407" s="117"/>
      <c r="H407" s="117"/>
      <c r="I407" s="117"/>
      <c r="J407" s="118">
        <f t="shared" si="221"/>
        <v>0</v>
      </c>
      <c r="K407" s="140">
        <v>178000</v>
      </c>
      <c r="L407" s="117">
        <f t="shared" ref="L407:L414" si="230">SUM(M407:N407)</f>
        <v>0</v>
      </c>
      <c r="M407" s="117"/>
      <c r="N407" s="117"/>
      <c r="O407" s="117"/>
      <c r="P407" s="117">
        <f t="shared" si="222"/>
        <v>178000</v>
      </c>
      <c r="Q407" s="117"/>
      <c r="R407" s="117">
        <f t="shared" si="223"/>
        <v>0</v>
      </c>
      <c r="S407" s="117"/>
      <c r="T407" s="119"/>
      <c r="U407" s="117"/>
      <c r="V407" s="117">
        <f t="shared" si="224"/>
        <v>0</v>
      </c>
      <c r="W407" s="117">
        <f t="shared" si="225"/>
        <v>0</v>
      </c>
      <c r="X407" s="117">
        <f t="shared" si="226"/>
        <v>0</v>
      </c>
      <c r="Y407" s="117">
        <f t="shared" si="227"/>
        <v>0</v>
      </c>
      <c r="Z407" s="204">
        <f t="shared" si="229"/>
        <v>0</v>
      </c>
    </row>
    <row r="408" spans="1:26" s="113" customFormat="1" ht="24">
      <c r="A408" s="114" t="s">
        <v>568</v>
      </c>
      <c r="B408" s="115" t="s">
        <v>1186</v>
      </c>
      <c r="C408" s="116" t="s">
        <v>457</v>
      </c>
      <c r="D408" s="116" t="s">
        <v>1187</v>
      </c>
      <c r="E408" s="117">
        <v>7237000000</v>
      </c>
      <c r="F408" s="117"/>
      <c r="G408" s="117"/>
      <c r="H408" s="117"/>
      <c r="I408" s="117"/>
      <c r="J408" s="118">
        <f t="shared" si="221"/>
        <v>0</v>
      </c>
      <c r="K408" s="140">
        <v>897989000</v>
      </c>
      <c r="L408" s="117">
        <f t="shared" si="230"/>
        <v>897989000</v>
      </c>
      <c r="M408" s="117">
        <v>897989000</v>
      </c>
      <c r="N408" s="117"/>
      <c r="O408" s="117"/>
      <c r="P408" s="117">
        <f t="shared" si="222"/>
        <v>0</v>
      </c>
      <c r="Q408" s="117"/>
      <c r="R408" s="117">
        <f t="shared" si="223"/>
        <v>0</v>
      </c>
      <c r="S408" s="117"/>
      <c r="T408" s="119"/>
      <c r="U408" s="117"/>
      <c r="V408" s="117">
        <f t="shared" si="224"/>
        <v>0</v>
      </c>
      <c r="W408" s="117">
        <f t="shared" si="225"/>
        <v>897989000</v>
      </c>
      <c r="X408" s="117">
        <f t="shared" si="226"/>
        <v>0</v>
      </c>
      <c r="Y408" s="117">
        <f t="shared" si="227"/>
        <v>897989000</v>
      </c>
      <c r="Z408" s="204">
        <f t="shared" si="229"/>
        <v>0</v>
      </c>
    </row>
    <row r="409" spans="1:26" s="113" customFormat="1">
      <c r="A409" s="114" t="s">
        <v>571</v>
      </c>
      <c r="B409" s="115" t="s">
        <v>1239</v>
      </c>
      <c r="C409" s="116" t="s">
        <v>457</v>
      </c>
      <c r="D409" s="116" t="s">
        <v>1240</v>
      </c>
      <c r="E409" s="117">
        <v>1570000000</v>
      </c>
      <c r="F409" s="117"/>
      <c r="G409" s="117"/>
      <c r="H409" s="117"/>
      <c r="I409" s="117"/>
      <c r="J409" s="118">
        <f t="shared" si="221"/>
        <v>0</v>
      </c>
      <c r="K409" s="140">
        <v>165912000</v>
      </c>
      <c r="L409" s="117">
        <f t="shared" si="230"/>
        <v>165912000</v>
      </c>
      <c r="M409" s="117">
        <v>165912000</v>
      </c>
      <c r="N409" s="117"/>
      <c r="O409" s="117"/>
      <c r="P409" s="117">
        <f t="shared" si="222"/>
        <v>0</v>
      </c>
      <c r="Q409" s="117"/>
      <c r="R409" s="117">
        <f t="shared" si="223"/>
        <v>0</v>
      </c>
      <c r="S409" s="117"/>
      <c r="T409" s="119"/>
      <c r="U409" s="117"/>
      <c r="V409" s="117">
        <f t="shared" si="224"/>
        <v>0</v>
      </c>
      <c r="W409" s="117">
        <f t="shared" si="225"/>
        <v>165912000</v>
      </c>
      <c r="X409" s="117">
        <f t="shared" si="226"/>
        <v>0</v>
      </c>
      <c r="Y409" s="117">
        <f t="shared" si="227"/>
        <v>165912000</v>
      </c>
      <c r="Z409" s="204">
        <f t="shared" si="229"/>
        <v>0</v>
      </c>
    </row>
    <row r="410" spans="1:26" s="113" customFormat="1">
      <c r="A410" s="114" t="s">
        <v>574</v>
      </c>
      <c r="B410" s="115" t="s">
        <v>1196</v>
      </c>
      <c r="C410" s="116" t="s">
        <v>457</v>
      </c>
      <c r="D410" s="116" t="s">
        <v>1197</v>
      </c>
      <c r="E410" s="117">
        <v>1731000000</v>
      </c>
      <c r="F410" s="117"/>
      <c r="G410" s="117"/>
      <c r="H410" s="117"/>
      <c r="I410" s="117"/>
      <c r="J410" s="118">
        <f t="shared" si="221"/>
        <v>0</v>
      </c>
      <c r="K410" s="140">
        <v>15679000</v>
      </c>
      <c r="L410" s="117">
        <f t="shared" si="230"/>
        <v>15679000</v>
      </c>
      <c r="M410" s="117">
        <v>15679000</v>
      </c>
      <c r="N410" s="117"/>
      <c r="O410" s="117"/>
      <c r="P410" s="117">
        <f t="shared" si="222"/>
        <v>0</v>
      </c>
      <c r="Q410" s="117"/>
      <c r="R410" s="117">
        <f t="shared" si="223"/>
        <v>0</v>
      </c>
      <c r="S410" s="117"/>
      <c r="T410" s="119"/>
      <c r="U410" s="117"/>
      <c r="V410" s="117">
        <f t="shared" si="224"/>
        <v>0</v>
      </c>
      <c r="W410" s="117">
        <f t="shared" si="225"/>
        <v>15679000</v>
      </c>
      <c r="X410" s="117">
        <f t="shared" si="226"/>
        <v>0</v>
      </c>
      <c r="Y410" s="117">
        <f t="shared" si="227"/>
        <v>15679000</v>
      </c>
      <c r="Z410" s="204">
        <f t="shared" si="229"/>
        <v>0</v>
      </c>
    </row>
    <row r="411" spans="1:26" s="113" customFormat="1" ht="24">
      <c r="A411" s="114" t="s">
        <v>577</v>
      </c>
      <c r="B411" s="115" t="s">
        <v>1198</v>
      </c>
      <c r="C411" s="116" t="s">
        <v>457</v>
      </c>
      <c r="D411" s="116" t="s">
        <v>1199</v>
      </c>
      <c r="E411" s="117">
        <v>661434597</v>
      </c>
      <c r="F411" s="117"/>
      <c r="G411" s="117"/>
      <c r="H411" s="117"/>
      <c r="I411" s="117"/>
      <c r="J411" s="118">
        <f t="shared" si="221"/>
        <v>0</v>
      </c>
      <c r="K411" s="140">
        <v>7177000</v>
      </c>
      <c r="L411" s="117">
        <f t="shared" si="230"/>
        <v>0</v>
      </c>
      <c r="M411" s="117"/>
      <c r="N411" s="117"/>
      <c r="O411" s="117"/>
      <c r="P411" s="117">
        <f t="shared" si="222"/>
        <v>7177000</v>
      </c>
      <c r="Q411" s="117"/>
      <c r="R411" s="117">
        <f t="shared" si="223"/>
        <v>0</v>
      </c>
      <c r="S411" s="117"/>
      <c r="T411" s="119"/>
      <c r="U411" s="117"/>
      <c r="V411" s="117">
        <f t="shared" si="224"/>
        <v>0</v>
      </c>
      <c r="W411" s="117">
        <f t="shared" si="225"/>
        <v>0</v>
      </c>
      <c r="X411" s="117">
        <f t="shared" si="226"/>
        <v>0</v>
      </c>
      <c r="Y411" s="117">
        <f t="shared" si="227"/>
        <v>0</v>
      </c>
      <c r="Z411" s="204">
        <f t="shared" si="229"/>
        <v>0</v>
      </c>
    </row>
    <row r="412" spans="1:26" s="113" customFormat="1">
      <c r="A412" s="114" t="s">
        <v>656</v>
      </c>
      <c r="B412" s="115" t="s">
        <v>1200</v>
      </c>
      <c r="C412" s="116" t="s">
        <v>457</v>
      </c>
      <c r="D412" s="116" t="s">
        <v>1201</v>
      </c>
      <c r="E412" s="117">
        <v>461560144</v>
      </c>
      <c r="F412" s="117"/>
      <c r="G412" s="117"/>
      <c r="H412" s="117"/>
      <c r="I412" s="117"/>
      <c r="J412" s="118">
        <f t="shared" si="221"/>
        <v>0</v>
      </c>
      <c r="K412" s="140">
        <v>39000000</v>
      </c>
      <c r="L412" s="117">
        <f t="shared" si="230"/>
        <v>0</v>
      </c>
      <c r="M412" s="117"/>
      <c r="N412" s="117"/>
      <c r="O412" s="117"/>
      <c r="P412" s="117">
        <f t="shared" si="222"/>
        <v>39000000</v>
      </c>
      <c r="Q412" s="117"/>
      <c r="R412" s="117">
        <f t="shared" si="223"/>
        <v>0</v>
      </c>
      <c r="S412" s="117"/>
      <c r="T412" s="119"/>
      <c r="U412" s="117"/>
      <c r="V412" s="117">
        <f t="shared" si="224"/>
        <v>0</v>
      </c>
      <c r="W412" s="117">
        <f t="shared" si="225"/>
        <v>0</v>
      </c>
      <c r="X412" s="117">
        <f t="shared" si="226"/>
        <v>0</v>
      </c>
      <c r="Y412" s="117">
        <f t="shared" si="227"/>
        <v>0</v>
      </c>
      <c r="Z412" s="204">
        <f t="shared" si="229"/>
        <v>0</v>
      </c>
    </row>
    <row r="413" spans="1:26" s="113" customFormat="1" ht="24">
      <c r="A413" s="114" t="s">
        <v>659</v>
      </c>
      <c r="B413" s="115" t="s">
        <v>1204</v>
      </c>
      <c r="C413" s="116" t="s">
        <v>457</v>
      </c>
      <c r="D413" s="116" t="s">
        <v>1205</v>
      </c>
      <c r="E413" s="117">
        <v>197348351</v>
      </c>
      <c r="F413" s="117"/>
      <c r="G413" s="117"/>
      <c r="H413" s="117"/>
      <c r="I413" s="117"/>
      <c r="J413" s="118">
        <f t="shared" si="221"/>
        <v>0</v>
      </c>
      <c r="K413" s="140">
        <v>27000000</v>
      </c>
      <c r="L413" s="117">
        <f t="shared" si="230"/>
        <v>0</v>
      </c>
      <c r="M413" s="117"/>
      <c r="N413" s="117"/>
      <c r="O413" s="117"/>
      <c r="P413" s="117">
        <f t="shared" si="222"/>
        <v>27000000</v>
      </c>
      <c r="Q413" s="117"/>
      <c r="R413" s="117">
        <f t="shared" si="223"/>
        <v>0</v>
      </c>
      <c r="S413" s="117"/>
      <c r="T413" s="119"/>
      <c r="U413" s="117"/>
      <c r="V413" s="117">
        <f t="shared" si="224"/>
        <v>0</v>
      </c>
      <c r="W413" s="117">
        <f t="shared" si="225"/>
        <v>0</v>
      </c>
      <c r="X413" s="117">
        <f t="shared" si="226"/>
        <v>0</v>
      </c>
      <c r="Y413" s="117">
        <f t="shared" si="227"/>
        <v>0</v>
      </c>
      <c r="Z413" s="204">
        <f t="shared" si="229"/>
        <v>0</v>
      </c>
    </row>
    <row r="414" spans="1:26" s="113" customFormat="1">
      <c r="A414" s="114" t="s">
        <v>662</v>
      </c>
      <c r="B414" s="115" t="s">
        <v>1241</v>
      </c>
      <c r="C414" s="116" t="s">
        <v>457</v>
      </c>
      <c r="D414" s="116" t="s">
        <v>1242</v>
      </c>
      <c r="E414" s="117">
        <v>4200000000</v>
      </c>
      <c r="F414" s="117"/>
      <c r="G414" s="117"/>
      <c r="H414" s="117"/>
      <c r="I414" s="117"/>
      <c r="J414" s="118">
        <f t="shared" si="221"/>
        <v>0</v>
      </c>
      <c r="K414" s="140">
        <v>178000</v>
      </c>
      <c r="L414" s="117">
        <f t="shared" si="230"/>
        <v>0</v>
      </c>
      <c r="M414" s="117"/>
      <c r="N414" s="117"/>
      <c r="O414" s="117"/>
      <c r="P414" s="117">
        <f t="shared" si="222"/>
        <v>178000</v>
      </c>
      <c r="Q414" s="117"/>
      <c r="R414" s="117">
        <f t="shared" si="223"/>
        <v>0</v>
      </c>
      <c r="S414" s="117"/>
      <c r="T414" s="119"/>
      <c r="U414" s="117"/>
      <c r="V414" s="117">
        <f t="shared" si="224"/>
        <v>0</v>
      </c>
      <c r="W414" s="117">
        <f t="shared" si="225"/>
        <v>0</v>
      </c>
      <c r="X414" s="117">
        <f t="shared" si="226"/>
        <v>0</v>
      </c>
      <c r="Y414" s="117">
        <f t="shared" si="227"/>
        <v>0</v>
      </c>
      <c r="Z414" s="204">
        <f t="shared" si="229"/>
        <v>0</v>
      </c>
    </row>
    <row r="415" spans="1:26" s="139" customFormat="1">
      <c r="A415" s="135" t="s">
        <v>43</v>
      </c>
      <c r="B415" s="136" t="s">
        <v>1243</v>
      </c>
      <c r="C415" s="137"/>
      <c r="D415" s="138" t="str">
        <f t="shared" ref="D415:P415" si="231">D416</f>
        <v>7526373</v>
      </c>
      <c r="E415" s="138">
        <f t="shared" si="231"/>
        <v>56219000000</v>
      </c>
      <c r="F415" s="138">
        <f t="shared" si="231"/>
        <v>0</v>
      </c>
      <c r="G415" s="138">
        <f t="shared" si="231"/>
        <v>0</v>
      </c>
      <c r="H415" s="138">
        <f t="shared" si="231"/>
        <v>0</v>
      </c>
      <c r="I415" s="138">
        <f t="shared" si="231"/>
        <v>0</v>
      </c>
      <c r="J415" s="138">
        <f t="shared" si="231"/>
        <v>0</v>
      </c>
      <c r="K415" s="138">
        <f t="shared" si="231"/>
        <v>0</v>
      </c>
      <c r="L415" s="138">
        <f t="shared" si="231"/>
        <v>0</v>
      </c>
      <c r="M415" s="138">
        <f t="shared" si="231"/>
        <v>0</v>
      </c>
      <c r="N415" s="138">
        <f t="shared" si="231"/>
        <v>0</v>
      </c>
      <c r="O415" s="138">
        <f t="shared" si="231"/>
        <v>0</v>
      </c>
      <c r="P415" s="138">
        <f t="shared" si="231"/>
        <v>0</v>
      </c>
      <c r="Q415" s="138">
        <f>Q416</f>
        <v>5300000000</v>
      </c>
      <c r="R415" s="138">
        <f t="shared" ref="R415:Y415" si="232">R416</f>
        <v>5300000000</v>
      </c>
      <c r="S415" s="138">
        <f t="shared" si="232"/>
        <v>5300000000</v>
      </c>
      <c r="T415" s="138">
        <f t="shared" si="232"/>
        <v>0</v>
      </c>
      <c r="U415" s="138">
        <f t="shared" si="232"/>
        <v>0</v>
      </c>
      <c r="V415" s="138">
        <f t="shared" si="232"/>
        <v>0</v>
      </c>
      <c r="W415" s="138">
        <f t="shared" si="232"/>
        <v>5300000000</v>
      </c>
      <c r="X415" s="138">
        <f t="shared" si="232"/>
        <v>0</v>
      </c>
      <c r="Y415" s="138">
        <f t="shared" si="232"/>
        <v>5300000000</v>
      </c>
      <c r="Z415" s="204">
        <f t="shared" si="229"/>
        <v>0</v>
      </c>
    </row>
    <row r="416" spans="1:26" ht="24">
      <c r="A416" s="114" t="s">
        <v>455</v>
      </c>
      <c r="B416" s="115" t="s">
        <v>620</v>
      </c>
      <c r="C416" s="116" t="s">
        <v>457</v>
      </c>
      <c r="D416" s="116" t="s">
        <v>621</v>
      </c>
      <c r="E416" s="117">
        <v>56219000000</v>
      </c>
      <c r="F416" s="117"/>
      <c r="G416" s="117"/>
      <c r="H416" s="117"/>
      <c r="I416" s="117"/>
      <c r="J416" s="151">
        <f>G416-H416-I416+N416</f>
        <v>0</v>
      </c>
      <c r="K416" s="117"/>
      <c r="L416" s="117"/>
      <c r="M416" s="117"/>
      <c r="N416" s="117"/>
      <c r="O416" s="117"/>
      <c r="P416" s="117">
        <f>K416-L416-O416</f>
        <v>0</v>
      </c>
      <c r="Q416" s="117">
        <v>5300000000</v>
      </c>
      <c r="R416" s="117">
        <f t="shared" ref="R416" si="233">SUM(S416:T416)</f>
        <v>5300000000</v>
      </c>
      <c r="S416" s="117">
        <v>5300000000</v>
      </c>
      <c r="T416" s="117"/>
      <c r="U416" s="117"/>
      <c r="V416" s="117"/>
      <c r="W416" s="117">
        <f>SUM(I416,M416,S416)</f>
        <v>5300000000</v>
      </c>
      <c r="X416" s="117">
        <f>G416-H416-I416+N416+T416</f>
        <v>0</v>
      </c>
      <c r="Y416" s="117">
        <f>F416+L416+R416</f>
        <v>5300000000</v>
      </c>
      <c r="Z416" s="204">
        <f t="shared" si="229"/>
        <v>0</v>
      </c>
    </row>
    <row r="417" spans="1:26" s="139" customFormat="1">
      <c r="A417" s="135" t="s">
        <v>1244</v>
      </c>
      <c r="B417" s="136" t="s">
        <v>1245</v>
      </c>
      <c r="C417" s="137"/>
      <c r="D417" s="138">
        <f t="shared" ref="D417:P417" si="234">SUM(D418:D457)</f>
        <v>0</v>
      </c>
      <c r="E417" s="138">
        <f t="shared" si="234"/>
        <v>3775003099175</v>
      </c>
      <c r="F417" s="138">
        <f t="shared" si="234"/>
        <v>126639380130</v>
      </c>
      <c r="G417" s="138">
        <f t="shared" si="234"/>
        <v>583894272</v>
      </c>
      <c r="H417" s="138">
        <f t="shared" si="234"/>
        <v>0</v>
      </c>
      <c r="I417" s="138">
        <f t="shared" si="234"/>
        <v>123058272</v>
      </c>
      <c r="J417" s="138">
        <f t="shared" si="234"/>
        <v>460836000</v>
      </c>
      <c r="K417" s="138">
        <f t="shared" si="234"/>
        <v>8835000000</v>
      </c>
      <c r="L417" s="138">
        <f t="shared" si="234"/>
        <v>6214739600</v>
      </c>
      <c r="M417" s="138">
        <f t="shared" si="234"/>
        <v>6214739600</v>
      </c>
      <c r="N417" s="138">
        <f t="shared" si="234"/>
        <v>0</v>
      </c>
      <c r="O417" s="138">
        <f t="shared" si="234"/>
        <v>0</v>
      </c>
      <c r="P417" s="138">
        <f t="shared" si="234"/>
        <v>2620260400</v>
      </c>
      <c r="Q417" s="138">
        <f>SUM(Q418:Q457)</f>
        <v>159895000000</v>
      </c>
      <c r="R417" s="138">
        <f t="shared" ref="R417:Y417" si="235">SUM(R418:R457)</f>
        <v>158025181928</v>
      </c>
      <c r="S417" s="138">
        <f t="shared" si="235"/>
        <v>140299600855</v>
      </c>
      <c r="T417" s="138">
        <f t="shared" si="235"/>
        <v>17725581073</v>
      </c>
      <c r="U417" s="138">
        <f t="shared" si="235"/>
        <v>0</v>
      </c>
      <c r="V417" s="138">
        <f t="shared" si="235"/>
        <v>1826818072</v>
      </c>
      <c r="W417" s="138">
        <f t="shared" si="235"/>
        <v>146637398727</v>
      </c>
      <c r="X417" s="138">
        <f t="shared" si="235"/>
        <v>18186417073</v>
      </c>
      <c r="Y417" s="138">
        <f t="shared" si="235"/>
        <v>290879301658</v>
      </c>
      <c r="Z417" s="204">
        <f t="shared" si="229"/>
        <v>0</v>
      </c>
    </row>
    <row r="418" spans="1:26" ht="24">
      <c r="A418" s="114" t="s">
        <v>455</v>
      </c>
      <c r="B418" s="115" t="s">
        <v>1037</v>
      </c>
      <c r="C418" s="116" t="s">
        <v>457</v>
      </c>
      <c r="D418" s="116" t="s">
        <v>1038</v>
      </c>
      <c r="E418" s="117">
        <v>10848000000</v>
      </c>
      <c r="F418" s="117"/>
      <c r="G418" s="117"/>
      <c r="H418" s="117"/>
      <c r="I418" s="117"/>
      <c r="J418" s="151">
        <f t="shared" ref="J418:J455" si="236">G418-H418-I418+N418</f>
        <v>0</v>
      </c>
      <c r="K418" s="117"/>
      <c r="L418" s="117">
        <f t="shared" ref="L418:L455" si="237">SUM(M418:N418)</f>
        <v>0</v>
      </c>
      <c r="M418" s="117"/>
      <c r="N418" s="117"/>
      <c r="O418" s="117"/>
      <c r="P418" s="117">
        <f t="shared" ref="P418:P455" si="238">K418-L418-O418</f>
        <v>0</v>
      </c>
      <c r="Q418" s="117">
        <v>1000000000</v>
      </c>
      <c r="R418" s="117">
        <f t="shared" ref="R418:R455" si="239">SUM(S418:T418)</f>
        <v>1000000000</v>
      </c>
      <c r="S418" s="117"/>
      <c r="T418" s="117">
        <v>1000000000</v>
      </c>
      <c r="U418" s="117"/>
      <c r="V418" s="117">
        <f>Q418-R418-U418</f>
        <v>0</v>
      </c>
      <c r="W418" s="117">
        <f t="shared" ref="W418:W455" si="240">SUM(I418,M418,S418)</f>
        <v>0</v>
      </c>
      <c r="X418" s="117">
        <f t="shared" ref="X418:X455" si="241">G418-H418-I418+N418+T418</f>
        <v>1000000000</v>
      </c>
      <c r="Y418" s="117">
        <f t="shared" ref="Y418:Y455" si="242">F418+L418+R418</f>
        <v>1000000000</v>
      </c>
      <c r="Z418" s="204">
        <f t="shared" si="229"/>
        <v>0</v>
      </c>
    </row>
    <row r="419" spans="1:26" ht="24">
      <c r="A419" s="152" t="s">
        <v>459</v>
      </c>
      <c r="B419" s="115" t="s">
        <v>1039</v>
      </c>
      <c r="C419" s="116" t="s">
        <v>457</v>
      </c>
      <c r="D419" s="116" t="s">
        <v>1040</v>
      </c>
      <c r="E419" s="117">
        <v>9135000000</v>
      </c>
      <c r="F419" s="117"/>
      <c r="G419" s="117"/>
      <c r="H419" s="117"/>
      <c r="I419" s="117"/>
      <c r="J419" s="151">
        <f t="shared" si="236"/>
        <v>0</v>
      </c>
      <c r="K419" s="117"/>
      <c r="L419" s="117">
        <f t="shared" si="237"/>
        <v>0</v>
      </c>
      <c r="M419" s="117"/>
      <c r="N419" s="117"/>
      <c r="O419" s="117"/>
      <c r="P419" s="117">
        <f t="shared" si="238"/>
        <v>0</v>
      </c>
      <c r="Q419" s="117">
        <v>1000000000</v>
      </c>
      <c r="R419" s="117">
        <f t="shared" si="239"/>
        <v>1000000000</v>
      </c>
      <c r="S419" s="117"/>
      <c r="T419" s="117">
        <v>1000000000</v>
      </c>
      <c r="U419" s="117"/>
      <c r="V419" s="117">
        <f>Q419-R419-U419</f>
        <v>0</v>
      </c>
      <c r="W419" s="117">
        <f t="shared" si="240"/>
        <v>0</v>
      </c>
      <c r="X419" s="117">
        <f t="shared" si="241"/>
        <v>1000000000</v>
      </c>
      <c r="Y419" s="117">
        <f t="shared" si="242"/>
        <v>1000000000</v>
      </c>
      <c r="Z419" s="204">
        <f t="shared" si="229"/>
        <v>0</v>
      </c>
    </row>
    <row r="420" spans="1:26">
      <c r="A420" s="114" t="s">
        <v>462</v>
      </c>
      <c r="B420" s="115" t="s">
        <v>705</v>
      </c>
      <c r="C420" s="116" t="s">
        <v>457</v>
      </c>
      <c r="D420" s="116" t="s">
        <v>706</v>
      </c>
      <c r="E420" s="117">
        <v>54849000000</v>
      </c>
      <c r="F420" s="117"/>
      <c r="G420" s="117"/>
      <c r="H420" s="117"/>
      <c r="I420" s="117"/>
      <c r="J420" s="151">
        <f t="shared" si="236"/>
        <v>0</v>
      </c>
      <c r="K420" s="117"/>
      <c r="L420" s="117">
        <f t="shared" si="237"/>
        <v>0</v>
      </c>
      <c r="M420" s="117"/>
      <c r="N420" s="117"/>
      <c r="O420" s="117"/>
      <c r="P420" s="117">
        <f t="shared" si="238"/>
        <v>0</v>
      </c>
      <c r="Q420" s="117">
        <v>12500000000</v>
      </c>
      <c r="R420" s="117">
        <f t="shared" si="239"/>
        <v>12500000000</v>
      </c>
      <c r="S420" s="117">
        <v>11636991000</v>
      </c>
      <c r="T420" s="117">
        <v>863009000</v>
      </c>
      <c r="U420" s="117"/>
      <c r="V420" s="117">
        <f>Q420-R420-U420</f>
        <v>0</v>
      </c>
      <c r="W420" s="117">
        <f t="shared" si="240"/>
        <v>11636991000</v>
      </c>
      <c r="X420" s="117">
        <f t="shared" si="241"/>
        <v>863009000</v>
      </c>
      <c r="Y420" s="117">
        <f t="shared" si="242"/>
        <v>12500000000</v>
      </c>
      <c r="Z420" s="204">
        <f t="shared" si="229"/>
        <v>0</v>
      </c>
    </row>
    <row r="421" spans="1:26" s="153" customFormat="1">
      <c r="A421" s="152" t="s">
        <v>465</v>
      </c>
      <c r="B421" s="115" t="s">
        <v>709</v>
      </c>
      <c r="C421" s="116" t="s">
        <v>457</v>
      </c>
      <c r="D421" s="116" t="s">
        <v>710</v>
      </c>
      <c r="E421" s="117">
        <v>26562000000</v>
      </c>
      <c r="F421" s="117"/>
      <c r="G421" s="117"/>
      <c r="H421" s="117"/>
      <c r="I421" s="117"/>
      <c r="J421" s="151">
        <f t="shared" si="236"/>
        <v>0</v>
      </c>
      <c r="K421" s="117"/>
      <c r="L421" s="117">
        <f t="shared" si="237"/>
        <v>0</v>
      </c>
      <c r="M421" s="117"/>
      <c r="N421" s="117"/>
      <c r="O421" s="117"/>
      <c r="P421" s="117">
        <f t="shared" si="238"/>
        <v>0</v>
      </c>
      <c r="Q421" s="117">
        <v>3000000000</v>
      </c>
      <c r="R421" s="117">
        <f t="shared" si="239"/>
        <v>2636282000</v>
      </c>
      <c r="S421" s="117">
        <v>2636282000</v>
      </c>
      <c r="T421" s="117"/>
      <c r="U421" s="117"/>
      <c r="V421" s="117">
        <v>363718000</v>
      </c>
      <c r="W421" s="117">
        <f t="shared" si="240"/>
        <v>2636282000</v>
      </c>
      <c r="X421" s="117">
        <f t="shared" si="241"/>
        <v>0</v>
      </c>
      <c r="Y421" s="117">
        <f t="shared" si="242"/>
        <v>2636282000</v>
      </c>
      <c r="Z421" s="204">
        <f t="shared" si="229"/>
        <v>0</v>
      </c>
    </row>
    <row r="422" spans="1:26">
      <c r="A422" s="114" t="s">
        <v>468</v>
      </c>
      <c r="B422" s="115" t="s">
        <v>501</v>
      </c>
      <c r="C422" s="116" t="s">
        <v>457</v>
      </c>
      <c r="D422" s="116" t="s">
        <v>502</v>
      </c>
      <c r="E422" s="117">
        <v>136529000000</v>
      </c>
      <c r="F422" s="117"/>
      <c r="G422" s="117"/>
      <c r="H422" s="117"/>
      <c r="I422" s="117"/>
      <c r="J422" s="151">
        <f t="shared" si="236"/>
        <v>0</v>
      </c>
      <c r="K422" s="117"/>
      <c r="L422" s="117">
        <f t="shared" si="237"/>
        <v>0</v>
      </c>
      <c r="M422" s="117"/>
      <c r="N422" s="117"/>
      <c r="O422" s="117"/>
      <c r="P422" s="117">
        <f t="shared" si="238"/>
        <v>0</v>
      </c>
      <c r="Q422" s="117">
        <v>5000000000</v>
      </c>
      <c r="R422" s="117">
        <f t="shared" si="239"/>
        <v>5000000000</v>
      </c>
      <c r="S422" s="117">
        <v>431858000</v>
      </c>
      <c r="T422" s="117">
        <v>4568142000</v>
      </c>
      <c r="U422" s="117"/>
      <c r="V422" s="117">
        <f t="shared" ref="V422:V446" si="243">Q422-R422-U422</f>
        <v>0</v>
      </c>
      <c r="W422" s="117">
        <f t="shared" si="240"/>
        <v>431858000</v>
      </c>
      <c r="X422" s="117">
        <f t="shared" si="241"/>
        <v>4568142000</v>
      </c>
      <c r="Y422" s="117">
        <f t="shared" si="242"/>
        <v>5000000000</v>
      </c>
      <c r="Z422" s="204">
        <f t="shared" si="229"/>
        <v>0</v>
      </c>
    </row>
    <row r="423" spans="1:26">
      <c r="A423" s="152" t="s">
        <v>471</v>
      </c>
      <c r="B423" s="115" t="s">
        <v>1013</v>
      </c>
      <c r="C423" s="116" t="s">
        <v>457</v>
      </c>
      <c r="D423" s="116" t="s">
        <v>1014</v>
      </c>
      <c r="E423" s="117">
        <v>48012999000</v>
      </c>
      <c r="F423" s="117"/>
      <c r="G423" s="117"/>
      <c r="H423" s="117"/>
      <c r="I423" s="117"/>
      <c r="J423" s="151">
        <f t="shared" si="236"/>
        <v>0</v>
      </c>
      <c r="K423" s="117"/>
      <c r="L423" s="117">
        <f t="shared" si="237"/>
        <v>0</v>
      </c>
      <c r="M423" s="117"/>
      <c r="N423" s="117"/>
      <c r="O423" s="117"/>
      <c r="P423" s="117">
        <f t="shared" si="238"/>
        <v>0</v>
      </c>
      <c r="Q423" s="117">
        <v>8000000000</v>
      </c>
      <c r="R423" s="117">
        <f t="shared" si="239"/>
        <v>8000000000</v>
      </c>
      <c r="S423" s="117">
        <v>1109795000</v>
      </c>
      <c r="T423" s="117">
        <v>6890205000</v>
      </c>
      <c r="U423" s="117"/>
      <c r="V423" s="117">
        <f t="shared" si="243"/>
        <v>0</v>
      </c>
      <c r="W423" s="117">
        <f t="shared" si="240"/>
        <v>1109795000</v>
      </c>
      <c r="X423" s="117">
        <f t="shared" si="241"/>
        <v>6890205000</v>
      </c>
      <c r="Y423" s="117">
        <f t="shared" si="242"/>
        <v>8000000000</v>
      </c>
      <c r="Z423" s="204">
        <f t="shared" si="229"/>
        <v>0</v>
      </c>
    </row>
    <row r="424" spans="1:26">
      <c r="A424" s="114" t="s">
        <v>474</v>
      </c>
      <c r="B424" s="115" t="s">
        <v>1019</v>
      </c>
      <c r="C424" s="116" t="s">
        <v>457</v>
      </c>
      <c r="D424" s="116" t="s">
        <v>1020</v>
      </c>
      <c r="E424" s="117">
        <v>7244000000</v>
      </c>
      <c r="F424" s="117"/>
      <c r="G424" s="117"/>
      <c r="H424" s="117"/>
      <c r="I424" s="117"/>
      <c r="J424" s="151">
        <f t="shared" si="236"/>
        <v>0</v>
      </c>
      <c r="K424" s="117"/>
      <c r="L424" s="117">
        <f t="shared" si="237"/>
        <v>0</v>
      </c>
      <c r="M424" s="117"/>
      <c r="N424" s="117"/>
      <c r="O424" s="117"/>
      <c r="P424" s="117">
        <f t="shared" si="238"/>
        <v>0</v>
      </c>
      <c r="Q424" s="117">
        <v>1500000000</v>
      </c>
      <c r="R424" s="117">
        <f t="shared" si="239"/>
        <v>1500000000</v>
      </c>
      <c r="S424" s="117">
        <v>1500000000</v>
      </c>
      <c r="T424" s="117"/>
      <c r="U424" s="117"/>
      <c r="V424" s="117">
        <f t="shared" si="243"/>
        <v>0</v>
      </c>
      <c r="W424" s="117">
        <f t="shared" si="240"/>
        <v>1500000000</v>
      </c>
      <c r="X424" s="117">
        <f t="shared" si="241"/>
        <v>0</v>
      </c>
      <c r="Y424" s="117">
        <f t="shared" si="242"/>
        <v>1500000000</v>
      </c>
      <c r="Z424" s="204">
        <f t="shared" si="229"/>
        <v>0</v>
      </c>
    </row>
    <row r="425" spans="1:26" ht="24">
      <c r="A425" s="152" t="s">
        <v>477</v>
      </c>
      <c r="B425" s="115" t="s">
        <v>1025</v>
      </c>
      <c r="C425" s="116" t="s">
        <v>457</v>
      </c>
      <c r="D425" s="116" t="s">
        <v>1026</v>
      </c>
      <c r="E425" s="117">
        <v>14596000000</v>
      </c>
      <c r="F425" s="117"/>
      <c r="G425" s="117"/>
      <c r="H425" s="117"/>
      <c r="I425" s="117"/>
      <c r="J425" s="151">
        <f t="shared" si="236"/>
        <v>0</v>
      </c>
      <c r="K425" s="117"/>
      <c r="L425" s="117">
        <f t="shared" si="237"/>
        <v>0</v>
      </c>
      <c r="M425" s="117"/>
      <c r="N425" s="117"/>
      <c r="O425" s="117"/>
      <c r="P425" s="117">
        <f t="shared" si="238"/>
        <v>0</v>
      </c>
      <c r="Q425" s="117">
        <v>2550000000</v>
      </c>
      <c r="R425" s="117">
        <f t="shared" si="239"/>
        <v>2550000000</v>
      </c>
      <c r="S425" s="117">
        <v>2179600000</v>
      </c>
      <c r="T425" s="117">
        <v>370400000</v>
      </c>
      <c r="U425" s="117"/>
      <c r="V425" s="117">
        <f t="shared" si="243"/>
        <v>0</v>
      </c>
      <c r="W425" s="117">
        <f t="shared" si="240"/>
        <v>2179600000</v>
      </c>
      <c r="X425" s="117">
        <f t="shared" si="241"/>
        <v>370400000</v>
      </c>
      <c r="Y425" s="117">
        <f t="shared" si="242"/>
        <v>2550000000</v>
      </c>
      <c r="Z425" s="204">
        <f t="shared" si="229"/>
        <v>0</v>
      </c>
    </row>
    <row r="426" spans="1:26">
      <c r="A426" s="114" t="s">
        <v>480</v>
      </c>
      <c r="B426" s="115" t="s">
        <v>1029</v>
      </c>
      <c r="C426" s="116" t="s">
        <v>457</v>
      </c>
      <c r="D426" s="116" t="s">
        <v>1030</v>
      </c>
      <c r="E426" s="117">
        <v>6338000000</v>
      </c>
      <c r="F426" s="117"/>
      <c r="G426" s="117"/>
      <c r="H426" s="117"/>
      <c r="I426" s="117"/>
      <c r="J426" s="151">
        <f t="shared" si="236"/>
        <v>0</v>
      </c>
      <c r="K426" s="117"/>
      <c r="L426" s="117">
        <f t="shared" si="237"/>
        <v>0</v>
      </c>
      <c r="M426" s="117"/>
      <c r="N426" s="117"/>
      <c r="O426" s="117"/>
      <c r="P426" s="117">
        <f t="shared" si="238"/>
        <v>0</v>
      </c>
      <c r="Q426" s="117">
        <v>1000000000</v>
      </c>
      <c r="R426" s="117">
        <f t="shared" si="239"/>
        <v>1000000000</v>
      </c>
      <c r="S426" s="117">
        <v>910000000</v>
      </c>
      <c r="T426" s="117">
        <v>90000000</v>
      </c>
      <c r="U426" s="117"/>
      <c r="V426" s="117">
        <f t="shared" si="243"/>
        <v>0</v>
      </c>
      <c r="W426" s="117">
        <f t="shared" si="240"/>
        <v>910000000</v>
      </c>
      <c r="X426" s="117">
        <f t="shared" si="241"/>
        <v>90000000</v>
      </c>
      <c r="Y426" s="117">
        <f t="shared" si="242"/>
        <v>1000000000</v>
      </c>
      <c r="Z426" s="204">
        <f t="shared" si="229"/>
        <v>0</v>
      </c>
    </row>
    <row r="427" spans="1:26" ht="24">
      <c r="A427" s="152" t="s">
        <v>483</v>
      </c>
      <c r="B427" s="115" t="s">
        <v>1033</v>
      </c>
      <c r="C427" s="116" t="s">
        <v>457</v>
      </c>
      <c r="D427" s="116" t="s">
        <v>1034</v>
      </c>
      <c r="E427" s="117">
        <v>5619000000</v>
      </c>
      <c r="F427" s="117"/>
      <c r="G427" s="117"/>
      <c r="H427" s="117"/>
      <c r="I427" s="117"/>
      <c r="J427" s="151">
        <f t="shared" si="236"/>
        <v>0</v>
      </c>
      <c r="K427" s="117"/>
      <c r="L427" s="117">
        <f t="shared" si="237"/>
        <v>0</v>
      </c>
      <c r="M427" s="117"/>
      <c r="N427" s="117"/>
      <c r="O427" s="117"/>
      <c r="P427" s="117">
        <f t="shared" si="238"/>
        <v>0</v>
      </c>
      <c r="Q427" s="117">
        <v>1000000000</v>
      </c>
      <c r="R427" s="117">
        <f t="shared" si="239"/>
        <v>1000000000</v>
      </c>
      <c r="S427" s="117">
        <v>1000000000</v>
      </c>
      <c r="T427" s="117"/>
      <c r="U427" s="117"/>
      <c r="V427" s="117">
        <f t="shared" si="243"/>
        <v>0</v>
      </c>
      <c r="W427" s="117">
        <f t="shared" si="240"/>
        <v>1000000000</v>
      </c>
      <c r="X427" s="117">
        <f t="shared" si="241"/>
        <v>0</v>
      </c>
      <c r="Y427" s="117">
        <f t="shared" si="242"/>
        <v>1000000000</v>
      </c>
      <c r="Z427" s="204">
        <f t="shared" si="229"/>
        <v>0</v>
      </c>
    </row>
    <row r="428" spans="1:26" ht="24">
      <c r="A428" s="114" t="s">
        <v>486</v>
      </c>
      <c r="B428" s="115" t="s">
        <v>1035</v>
      </c>
      <c r="C428" s="116" t="s">
        <v>457</v>
      </c>
      <c r="D428" s="116" t="s">
        <v>1036</v>
      </c>
      <c r="E428" s="117">
        <v>7881000000</v>
      </c>
      <c r="F428" s="117"/>
      <c r="G428" s="117"/>
      <c r="H428" s="117"/>
      <c r="I428" s="117"/>
      <c r="J428" s="151">
        <f t="shared" si="236"/>
        <v>0</v>
      </c>
      <c r="K428" s="117"/>
      <c r="L428" s="117">
        <f t="shared" si="237"/>
        <v>0</v>
      </c>
      <c r="M428" s="117"/>
      <c r="N428" s="117"/>
      <c r="O428" s="117"/>
      <c r="P428" s="117">
        <f t="shared" si="238"/>
        <v>0</v>
      </c>
      <c r="Q428" s="117">
        <v>500000000</v>
      </c>
      <c r="R428" s="117">
        <f t="shared" si="239"/>
        <v>500000000</v>
      </c>
      <c r="S428" s="117">
        <v>500000000</v>
      </c>
      <c r="T428" s="117"/>
      <c r="U428" s="117"/>
      <c r="V428" s="117">
        <f t="shared" si="243"/>
        <v>0</v>
      </c>
      <c r="W428" s="117">
        <f t="shared" si="240"/>
        <v>500000000</v>
      </c>
      <c r="X428" s="117">
        <f t="shared" si="241"/>
        <v>0</v>
      </c>
      <c r="Y428" s="117">
        <f t="shared" si="242"/>
        <v>500000000</v>
      </c>
      <c r="Z428" s="204">
        <f t="shared" si="229"/>
        <v>0</v>
      </c>
    </row>
    <row r="429" spans="1:26">
      <c r="A429" s="152" t="s">
        <v>489</v>
      </c>
      <c r="B429" s="115" t="s">
        <v>745</v>
      </c>
      <c r="C429" s="116" t="s">
        <v>457</v>
      </c>
      <c r="D429" s="116" t="s">
        <v>746</v>
      </c>
      <c r="E429" s="117">
        <v>13843517033</v>
      </c>
      <c r="F429" s="117"/>
      <c r="G429" s="117"/>
      <c r="H429" s="117"/>
      <c r="I429" s="117"/>
      <c r="J429" s="151">
        <f t="shared" si="236"/>
        <v>0</v>
      </c>
      <c r="K429" s="117"/>
      <c r="L429" s="117">
        <f t="shared" si="237"/>
        <v>0</v>
      </c>
      <c r="M429" s="117"/>
      <c r="N429" s="117"/>
      <c r="O429" s="117"/>
      <c r="P429" s="117">
        <f t="shared" si="238"/>
        <v>0</v>
      </c>
      <c r="Q429" s="117">
        <v>1500000000</v>
      </c>
      <c r="R429" s="117">
        <f t="shared" si="239"/>
        <v>1500000000</v>
      </c>
      <c r="S429" s="117">
        <v>1500000000</v>
      </c>
      <c r="T429" s="117"/>
      <c r="U429" s="117"/>
      <c r="V429" s="117">
        <f t="shared" si="243"/>
        <v>0</v>
      </c>
      <c r="W429" s="117">
        <f t="shared" si="240"/>
        <v>1500000000</v>
      </c>
      <c r="X429" s="117">
        <f t="shared" si="241"/>
        <v>0</v>
      </c>
      <c r="Y429" s="117">
        <f t="shared" si="242"/>
        <v>1500000000</v>
      </c>
      <c r="Z429" s="204">
        <f t="shared" si="229"/>
        <v>0</v>
      </c>
    </row>
    <row r="430" spans="1:26" ht="24">
      <c r="A430" s="114" t="s">
        <v>553</v>
      </c>
      <c r="B430" s="115" t="s">
        <v>747</v>
      </c>
      <c r="C430" s="116" t="s">
        <v>457</v>
      </c>
      <c r="D430" s="116" t="s">
        <v>748</v>
      </c>
      <c r="E430" s="117">
        <v>28885000000</v>
      </c>
      <c r="F430" s="117"/>
      <c r="G430" s="117"/>
      <c r="H430" s="117"/>
      <c r="I430" s="117"/>
      <c r="J430" s="151">
        <f t="shared" si="236"/>
        <v>0</v>
      </c>
      <c r="K430" s="117"/>
      <c r="L430" s="117">
        <f t="shared" si="237"/>
        <v>0</v>
      </c>
      <c r="M430" s="117"/>
      <c r="N430" s="117"/>
      <c r="O430" s="117"/>
      <c r="P430" s="117">
        <f t="shared" si="238"/>
        <v>0</v>
      </c>
      <c r="Q430" s="117">
        <v>3500000000</v>
      </c>
      <c r="R430" s="117">
        <f t="shared" si="239"/>
        <v>3212993800</v>
      </c>
      <c r="S430" s="117">
        <v>3212993800</v>
      </c>
      <c r="T430" s="117"/>
      <c r="U430" s="117"/>
      <c r="V430" s="117">
        <f t="shared" si="243"/>
        <v>287006200</v>
      </c>
      <c r="W430" s="117">
        <f t="shared" si="240"/>
        <v>3212993800</v>
      </c>
      <c r="X430" s="117">
        <f t="shared" si="241"/>
        <v>0</v>
      </c>
      <c r="Y430" s="117">
        <f t="shared" si="242"/>
        <v>3212993800</v>
      </c>
      <c r="Z430" s="204">
        <f t="shared" si="229"/>
        <v>0</v>
      </c>
    </row>
    <row r="431" spans="1:26">
      <c r="A431" s="152" t="s">
        <v>556</v>
      </c>
      <c r="B431" s="115" t="s">
        <v>750</v>
      </c>
      <c r="C431" s="116" t="s">
        <v>457</v>
      </c>
      <c r="D431" s="116" t="s">
        <v>751</v>
      </c>
      <c r="E431" s="117">
        <v>42276883907</v>
      </c>
      <c r="F431" s="117"/>
      <c r="G431" s="117"/>
      <c r="H431" s="117"/>
      <c r="I431" s="117"/>
      <c r="J431" s="151">
        <f t="shared" si="236"/>
        <v>0</v>
      </c>
      <c r="K431" s="117"/>
      <c r="L431" s="117">
        <f t="shared" si="237"/>
        <v>0</v>
      </c>
      <c r="M431" s="117"/>
      <c r="N431" s="117"/>
      <c r="O431" s="117"/>
      <c r="P431" s="117">
        <f t="shared" si="238"/>
        <v>0</v>
      </c>
      <c r="Q431" s="117">
        <v>4000000000</v>
      </c>
      <c r="R431" s="117">
        <f t="shared" si="239"/>
        <v>4000000000</v>
      </c>
      <c r="S431" s="117">
        <v>4000000000</v>
      </c>
      <c r="T431" s="117"/>
      <c r="U431" s="117"/>
      <c r="V431" s="117">
        <f t="shared" si="243"/>
        <v>0</v>
      </c>
      <c r="W431" s="117">
        <f t="shared" si="240"/>
        <v>4000000000</v>
      </c>
      <c r="X431" s="117">
        <f t="shared" si="241"/>
        <v>0</v>
      </c>
      <c r="Y431" s="117">
        <f t="shared" si="242"/>
        <v>4000000000</v>
      </c>
      <c r="Z431" s="204">
        <f t="shared" si="229"/>
        <v>0</v>
      </c>
    </row>
    <row r="432" spans="1:26">
      <c r="A432" s="114" t="s">
        <v>559</v>
      </c>
      <c r="B432" s="115" t="s">
        <v>783</v>
      </c>
      <c r="C432" s="116" t="s">
        <v>457</v>
      </c>
      <c r="D432" s="116" t="s">
        <v>784</v>
      </c>
      <c r="E432" s="117">
        <v>14311000000</v>
      </c>
      <c r="F432" s="117"/>
      <c r="G432" s="117"/>
      <c r="H432" s="117"/>
      <c r="I432" s="117"/>
      <c r="J432" s="151">
        <f t="shared" si="236"/>
        <v>0</v>
      </c>
      <c r="K432" s="117"/>
      <c r="L432" s="117">
        <f t="shared" si="237"/>
        <v>0</v>
      </c>
      <c r="M432" s="117"/>
      <c r="N432" s="117"/>
      <c r="O432" s="117"/>
      <c r="P432" s="117">
        <f t="shared" si="238"/>
        <v>0</v>
      </c>
      <c r="Q432" s="117">
        <v>1000000000</v>
      </c>
      <c r="R432" s="117">
        <f t="shared" si="239"/>
        <v>1000000000</v>
      </c>
      <c r="S432" s="117">
        <v>1000000000</v>
      </c>
      <c r="T432" s="117"/>
      <c r="U432" s="117"/>
      <c r="V432" s="117">
        <f t="shared" si="243"/>
        <v>0</v>
      </c>
      <c r="W432" s="117">
        <f t="shared" si="240"/>
        <v>1000000000</v>
      </c>
      <c r="X432" s="117">
        <f t="shared" si="241"/>
        <v>0</v>
      </c>
      <c r="Y432" s="117">
        <f t="shared" si="242"/>
        <v>1000000000</v>
      </c>
      <c r="Z432" s="204">
        <f t="shared" si="229"/>
        <v>0</v>
      </c>
    </row>
    <row r="433" spans="1:26">
      <c r="A433" s="152" t="s">
        <v>562</v>
      </c>
      <c r="B433" s="115" t="s">
        <v>780</v>
      </c>
      <c r="C433" s="116" t="s">
        <v>457</v>
      </c>
      <c r="D433" s="116" t="s">
        <v>781</v>
      </c>
      <c r="E433" s="117">
        <v>14542000000</v>
      </c>
      <c r="F433" s="117"/>
      <c r="G433" s="117"/>
      <c r="H433" s="117"/>
      <c r="I433" s="117"/>
      <c r="J433" s="151">
        <f t="shared" si="236"/>
        <v>0</v>
      </c>
      <c r="K433" s="117"/>
      <c r="L433" s="117">
        <f t="shared" si="237"/>
        <v>0</v>
      </c>
      <c r="M433" s="117"/>
      <c r="N433" s="117"/>
      <c r="O433" s="117"/>
      <c r="P433" s="117">
        <f t="shared" si="238"/>
        <v>0</v>
      </c>
      <c r="Q433" s="117">
        <v>2500000000</v>
      </c>
      <c r="R433" s="117">
        <f t="shared" si="239"/>
        <v>2500000000</v>
      </c>
      <c r="S433" s="117">
        <v>2500000000</v>
      </c>
      <c r="T433" s="117"/>
      <c r="U433" s="117"/>
      <c r="V433" s="117">
        <f t="shared" si="243"/>
        <v>0</v>
      </c>
      <c r="W433" s="117">
        <f t="shared" si="240"/>
        <v>2500000000</v>
      </c>
      <c r="X433" s="117">
        <f t="shared" si="241"/>
        <v>0</v>
      </c>
      <c r="Y433" s="117">
        <f t="shared" si="242"/>
        <v>2500000000</v>
      </c>
      <c r="Z433" s="204">
        <f t="shared" si="229"/>
        <v>0</v>
      </c>
    </row>
    <row r="434" spans="1:26">
      <c r="A434" s="114" t="s">
        <v>565</v>
      </c>
      <c r="B434" s="115" t="s">
        <v>1246</v>
      </c>
      <c r="C434" s="116" t="s">
        <v>457</v>
      </c>
      <c r="D434" s="116" t="s">
        <v>1247</v>
      </c>
      <c r="E434" s="117">
        <v>7983000000</v>
      </c>
      <c r="F434" s="117"/>
      <c r="G434" s="117"/>
      <c r="H434" s="117"/>
      <c r="I434" s="117"/>
      <c r="J434" s="151">
        <f t="shared" si="236"/>
        <v>0</v>
      </c>
      <c r="K434" s="117"/>
      <c r="L434" s="117">
        <f t="shared" si="237"/>
        <v>0</v>
      </c>
      <c r="M434" s="117"/>
      <c r="N434" s="117"/>
      <c r="O434" s="117"/>
      <c r="P434" s="117">
        <f t="shared" si="238"/>
        <v>0</v>
      </c>
      <c r="Q434" s="117">
        <v>1000000000</v>
      </c>
      <c r="R434" s="117">
        <f t="shared" si="239"/>
        <v>1000000000</v>
      </c>
      <c r="S434" s="117">
        <v>1000000000</v>
      </c>
      <c r="T434" s="117"/>
      <c r="U434" s="117"/>
      <c r="V434" s="117">
        <f t="shared" si="243"/>
        <v>0</v>
      </c>
      <c r="W434" s="117">
        <f t="shared" si="240"/>
        <v>1000000000</v>
      </c>
      <c r="X434" s="117">
        <f t="shared" si="241"/>
        <v>0</v>
      </c>
      <c r="Y434" s="117">
        <f t="shared" si="242"/>
        <v>1000000000</v>
      </c>
      <c r="Z434" s="204">
        <f t="shared" si="229"/>
        <v>0</v>
      </c>
    </row>
    <row r="435" spans="1:26" s="113" customFormat="1">
      <c r="A435" s="152" t="s">
        <v>568</v>
      </c>
      <c r="B435" s="115" t="s">
        <v>1248</v>
      </c>
      <c r="C435" s="116" t="s">
        <v>457</v>
      </c>
      <c r="D435" s="116" t="s">
        <v>1249</v>
      </c>
      <c r="E435" s="117">
        <v>10686000000</v>
      </c>
      <c r="F435" s="117"/>
      <c r="G435" s="117"/>
      <c r="H435" s="117"/>
      <c r="I435" s="117"/>
      <c r="J435" s="118">
        <f t="shared" si="236"/>
        <v>0</v>
      </c>
      <c r="K435" s="117"/>
      <c r="L435" s="117">
        <f t="shared" si="237"/>
        <v>0</v>
      </c>
      <c r="M435" s="117"/>
      <c r="N435" s="117"/>
      <c r="O435" s="117"/>
      <c r="P435" s="117">
        <f t="shared" si="238"/>
        <v>0</v>
      </c>
      <c r="Q435" s="117">
        <v>3500000000</v>
      </c>
      <c r="R435" s="117">
        <f t="shared" si="239"/>
        <v>3438000000</v>
      </c>
      <c r="S435" s="117">
        <v>3438000000</v>
      </c>
      <c r="T435" s="117"/>
      <c r="U435" s="117"/>
      <c r="V435" s="117">
        <f t="shared" si="243"/>
        <v>62000000</v>
      </c>
      <c r="W435" s="117">
        <f t="shared" si="240"/>
        <v>3438000000</v>
      </c>
      <c r="X435" s="117">
        <f t="shared" si="241"/>
        <v>0</v>
      </c>
      <c r="Y435" s="117">
        <f t="shared" si="242"/>
        <v>3438000000</v>
      </c>
      <c r="Z435" s="204">
        <f t="shared" si="229"/>
        <v>0</v>
      </c>
    </row>
    <row r="436" spans="1:26">
      <c r="A436" s="114" t="s">
        <v>571</v>
      </c>
      <c r="B436" s="115" t="s">
        <v>810</v>
      </c>
      <c r="C436" s="116" t="s">
        <v>457</v>
      </c>
      <c r="D436" s="116" t="s">
        <v>811</v>
      </c>
      <c r="E436" s="117">
        <v>12229000000</v>
      </c>
      <c r="F436" s="117"/>
      <c r="G436" s="117"/>
      <c r="H436" s="117"/>
      <c r="I436" s="117"/>
      <c r="J436" s="151">
        <f t="shared" si="236"/>
        <v>0</v>
      </c>
      <c r="K436" s="117"/>
      <c r="L436" s="117">
        <f t="shared" si="237"/>
        <v>0</v>
      </c>
      <c r="M436" s="117"/>
      <c r="N436" s="117"/>
      <c r="O436" s="117"/>
      <c r="P436" s="117">
        <f t="shared" si="238"/>
        <v>0</v>
      </c>
      <c r="Q436" s="117">
        <v>2860000000</v>
      </c>
      <c r="R436" s="117">
        <f t="shared" si="239"/>
        <v>2860000000</v>
      </c>
      <c r="S436" s="117">
        <v>2860000000</v>
      </c>
      <c r="T436" s="117"/>
      <c r="U436" s="117"/>
      <c r="V436" s="117">
        <f t="shared" si="243"/>
        <v>0</v>
      </c>
      <c r="W436" s="117">
        <f t="shared" si="240"/>
        <v>2860000000</v>
      </c>
      <c r="X436" s="117">
        <f t="shared" si="241"/>
        <v>0</v>
      </c>
      <c r="Y436" s="117">
        <f t="shared" si="242"/>
        <v>2860000000</v>
      </c>
      <c r="Z436" s="204">
        <f t="shared" si="229"/>
        <v>0</v>
      </c>
    </row>
    <row r="437" spans="1:26" ht="24">
      <c r="A437" s="152" t="s">
        <v>574</v>
      </c>
      <c r="B437" s="115" t="s">
        <v>765</v>
      </c>
      <c r="C437" s="116" t="s">
        <v>457</v>
      </c>
      <c r="D437" s="116" t="s">
        <v>766</v>
      </c>
      <c r="E437" s="117">
        <v>49982000000</v>
      </c>
      <c r="F437" s="117"/>
      <c r="G437" s="117"/>
      <c r="H437" s="117"/>
      <c r="I437" s="117"/>
      <c r="J437" s="151">
        <f t="shared" si="236"/>
        <v>0</v>
      </c>
      <c r="K437" s="117"/>
      <c r="L437" s="117">
        <f t="shared" si="237"/>
        <v>0</v>
      </c>
      <c r="M437" s="117"/>
      <c r="N437" s="117"/>
      <c r="O437" s="117"/>
      <c r="P437" s="117">
        <f t="shared" si="238"/>
        <v>0</v>
      </c>
      <c r="Q437" s="117">
        <v>9300000000</v>
      </c>
      <c r="R437" s="117">
        <f t="shared" si="239"/>
        <v>9293503430</v>
      </c>
      <c r="S437" s="117">
        <v>9293503430</v>
      </c>
      <c r="T437" s="117"/>
      <c r="U437" s="117"/>
      <c r="V437" s="117">
        <f t="shared" si="243"/>
        <v>6496570</v>
      </c>
      <c r="W437" s="117">
        <f t="shared" si="240"/>
        <v>9293503430</v>
      </c>
      <c r="X437" s="117">
        <f t="shared" si="241"/>
        <v>0</v>
      </c>
      <c r="Y437" s="117">
        <f t="shared" si="242"/>
        <v>9293503430</v>
      </c>
      <c r="Z437" s="204">
        <f t="shared" si="229"/>
        <v>0</v>
      </c>
    </row>
    <row r="438" spans="1:26">
      <c r="A438" s="114" t="s">
        <v>577</v>
      </c>
      <c r="B438" s="115" t="s">
        <v>456</v>
      </c>
      <c r="C438" s="116" t="s">
        <v>457</v>
      </c>
      <c r="D438" s="116" t="s">
        <v>458</v>
      </c>
      <c r="E438" s="117">
        <v>32919000000</v>
      </c>
      <c r="F438" s="117"/>
      <c r="G438" s="117"/>
      <c r="H438" s="117"/>
      <c r="I438" s="117"/>
      <c r="J438" s="151">
        <f t="shared" si="236"/>
        <v>0</v>
      </c>
      <c r="K438" s="117"/>
      <c r="L438" s="117">
        <f t="shared" si="237"/>
        <v>0</v>
      </c>
      <c r="M438" s="117"/>
      <c r="N438" s="117"/>
      <c r="O438" s="117"/>
      <c r="P438" s="117">
        <f t="shared" si="238"/>
        <v>0</v>
      </c>
      <c r="Q438" s="117">
        <v>2500000000</v>
      </c>
      <c r="R438" s="117">
        <f t="shared" si="239"/>
        <v>2500000000</v>
      </c>
      <c r="S438" s="117">
        <v>2500000000</v>
      </c>
      <c r="T438" s="117"/>
      <c r="U438" s="117"/>
      <c r="V438" s="117">
        <f t="shared" si="243"/>
        <v>0</v>
      </c>
      <c r="W438" s="117">
        <f t="shared" si="240"/>
        <v>2500000000</v>
      </c>
      <c r="X438" s="117">
        <f t="shared" si="241"/>
        <v>0</v>
      </c>
      <c r="Y438" s="117">
        <f t="shared" si="242"/>
        <v>2500000000</v>
      </c>
      <c r="Z438" s="204">
        <f t="shared" si="229"/>
        <v>0</v>
      </c>
    </row>
    <row r="439" spans="1:26" ht="24">
      <c r="A439" s="152" t="s">
        <v>656</v>
      </c>
      <c r="B439" s="115" t="s">
        <v>951</v>
      </c>
      <c r="C439" s="116" t="s">
        <v>457</v>
      </c>
      <c r="D439" s="116" t="s">
        <v>952</v>
      </c>
      <c r="E439" s="117">
        <v>32829000000</v>
      </c>
      <c r="F439" s="117">
        <v>1215836000</v>
      </c>
      <c r="G439" s="125">
        <v>0</v>
      </c>
      <c r="H439" s="117"/>
      <c r="I439" s="117"/>
      <c r="J439" s="151">
        <f t="shared" si="236"/>
        <v>0</v>
      </c>
      <c r="K439" s="117"/>
      <c r="L439" s="117">
        <f t="shared" si="237"/>
        <v>0</v>
      </c>
      <c r="M439" s="117"/>
      <c r="N439" s="117"/>
      <c r="O439" s="117"/>
      <c r="P439" s="117">
        <f t="shared" si="238"/>
        <v>0</v>
      </c>
      <c r="Q439" s="117">
        <v>6000000000</v>
      </c>
      <c r="R439" s="117">
        <f t="shared" si="239"/>
        <v>6000000000</v>
      </c>
      <c r="S439" s="117">
        <v>6000000000</v>
      </c>
      <c r="T439" s="117"/>
      <c r="U439" s="117"/>
      <c r="V439" s="117">
        <f t="shared" si="243"/>
        <v>0</v>
      </c>
      <c r="W439" s="117">
        <f t="shared" si="240"/>
        <v>6000000000</v>
      </c>
      <c r="X439" s="117">
        <f t="shared" si="241"/>
        <v>0</v>
      </c>
      <c r="Y439" s="117">
        <f t="shared" si="242"/>
        <v>7215836000</v>
      </c>
      <c r="Z439" s="204">
        <f t="shared" si="229"/>
        <v>0</v>
      </c>
    </row>
    <row r="440" spans="1:26" ht="24">
      <c r="A440" s="114" t="s">
        <v>659</v>
      </c>
      <c r="B440" s="115" t="s">
        <v>961</v>
      </c>
      <c r="C440" s="116" t="s">
        <v>457</v>
      </c>
      <c r="D440" s="116" t="s">
        <v>962</v>
      </c>
      <c r="E440" s="117">
        <v>6960000000</v>
      </c>
      <c r="F440" s="117"/>
      <c r="G440" s="117"/>
      <c r="H440" s="117"/>
      <c r="I440" s="117"/>
      <c r="J440" s="151">
        <f t="shared" si="236"/>
        <v>0</v>
      </c>
      <c r="K440" s="117"/>
      <c r="L440" s="117">
        <f t="shared" si="237"/>
        <v>0</v>
      </c>
      <c r="M440" s="117"/>
      <c r="N440" s="117"/>
      <c r="O440" s="117"/>
      <c r="P440" s="117">
        <f t="shared" si="238"/>
        <v>0</v>
      </c>
      <c r="Q440" s="117">
        <v>1500000000</v>
      </c>
      <c r="R440" s="117">
        <f t="shared" si="239"/>
        <v>1500000000</v>
      </c>
      <c r="S440" s="117">
        <v>1500000000</v>
      </c>
      <c r="T440" s="117"/>
      <c r="U440" s="117"/>
      <c r="V440" s="117">
        <f t="shared" si="243"/>
        <v>0</v>
      </c>
      <c r="W440" s="117">
        <f t="shared" si="240"/>
        <v>1500000000</v>
      </c>
      <c r="X440" s="117">
        <f t="shared" si="241"/>
        <v>0</v>
      </c>
      <c r="Y440" s="117">
        <f t="shared" si="242"/>
        <v>1500000000</v>
      </c>
      <c r="Z440" s="204">
        <f t="shared" si="229"/>
        <v>0</v>
      </c>
    </row>
    <row r="441" spans="1:26">
      <c r="A441" s="152" t="s">
        <v>662</v>
      </c>
      <c r="B441" s="115" t="s">
        <v>955</v>
      </c>
      <c r="C441" s="116" t="s">
        <v>457</v>
      </c>
      <c r="D441" s="116" t="s">
        <v>956</v>
      </c>
      <c r="E441" s="117">
        <v>4939000000</v>
      </c>
      <c r="F441" s="117"/>
      <c r="G441" s="117"/>
      <c r="H441" s="117"/>
      <c r="I441" s="117"/>
      <c r="J441" s="151">
        <f t="shared" si="236"/>
        <v>0</v>
      </c>
      <c r="K441" s="117"/>
      <c r="L441" s="117">
        <f t="shared" si="237"/>
        <v>0</v>
      </c>
      <c r="M441" s="117"/>
      <c r="N441" s="117"/>
      <c r="O441" s="117"/>
      <c r="P441" s="117">
        <f t="shared" si="238"/>
        <v>0</v>
      </c>
      <c r="Q441" s="117">
        <v>2400000000</v>
      </c>
      <c r="R441" s="117">
        <f t="shared" si="239"/>
        <v>2400000000</v>
      </c>
      <c r="S441" s="117">
        <v>2400000000</v>
      </c>
      <c r="T441" s="117"/>
      <c r="U441" s="117"/>
      <c r="V441" s="117">
        <f t="shared" si="243"/>
        <v>0</v>
      </c>
      <c r="W441" s="117">
        <f t="shared" si="240"/>
        <v>2400000000</v>
      </c>
      <c r="X441" s="117">
        <f t="shared" si="241"/>
        <v>0</v>
      </c>
      <c r="Y441" s="117">
        <f t="shared" si="242"/>
        <v>2400000000</v>
      </c>
      <c r="Z441" s="204">
        <f t="shared" si="229"/>
        <v>0</v>
      </c>
    </row>
    <row r="442" spans="1:26">
      <c r="A442" s="114" t="s">
        <v>665</v>
      </c>
      <c r="B442" s="115" t="s">
        <v>963</v>
      </c>
      <c r="C442" s="116" t="s">
        <v>457</v>
      </c>
      <c r="D442" s="116" t="s">
        <v>964</v>
      </c>
      <c r="E442" s="117">
        <v>5157000000</v>
      </c>
      <c r="F442" s="117"/>
      <c r="G442" s="117"/>
      <c r="H442" s="117"/>
      <c r="I442" s="117"/>
      <c r="J442" s="151">
        <f t="shared" si="236"/>
        <v>0</v>
      </c>
      <c r="K442" s="117"/>
      <c r="L442" s="117">
        <f t="shared" si="237"/>
        <v>0</v>
      </c>
      <c r="M442" s="117"/>
      <c r="N442" s="117"/>
      <c r="O442" s="117"/>
      <c r="P442" s="117">
        <f t="shared" si="238"/>
        <v>0</v>
      </c>
      <c r="Q442" s="117">
        <v>2000000000</v>
      </c>
      <c r="R442" s="117">
        <f t="shared" si="239"/>
        <v>1889363300</v>
      </c>
      <c r="S442" s="117">
        <v>1889363300</v>
      </c>
      <c r="T442" s="117"/>
      <c r="U442" s="117"/>
      <c r="V442" s="117">
        <f t="shared" si="243"/>
        <v>110636700</v>
      </c>
      <c r="W442" s="117">
        <f t="shared" si="240"/>
        <v>1889363300</v>
      </c>
      <c r="X442" s="117">
        <f t="shared" si="241"/>
        <v>0</v>
      </c>
      <c r="Y442" s="117">
        <f t="shared" si="242"/>
        <v>1889363300</v>
      </c>
      <c r="Z442" s="204">
        <f t="shared" si="229"/>
        <v>0</v>
      </c>
    </row>
    <row r="443" spans="1:26">
      <c r="A443" s="152" t="s">
        <v>668</v>
      </c>
      <c r="B443" s="115" t="s">
        <v>953</v>
      </c>
      <c r="C443" s="116" t="s">
        <v>457</v>
      </c>
      <c r="D443" s="116" t="s">
        <v>954</v>
      </c>
      <c r="E443" s="117">
        <v>29959000000</v>
      </c>
      <c r="F443" s="117">
        <v>2118200000</v>
      </c>
      <c r="G443" s="125">
        <v>0</v>
      </c>
      <c r="H443" s="117"/>
      <c r="I443" s="117"/>
      <c r="J443" s="151">
        <f t="shared" si="236"/>
        <v>0</v>
      </c>
      <c r="K443" s="117"/>
      <c r="L443" s="117">
        <f t="shared" si="237"/>
        <v>0</v>
      </c>
      <c r="M443" s="117"/>
      <c r="N443" s="117"/>
      <c r="O443" s="117"/>
      <c r="P443" s="117">
        <f t="shared" si="238"/>
        <v>0</v>
      </c>
      <c r="Q443" s="117">
        <v>3000000000</v>
      </c>
      <c r="R443" s="117">
        <f t="shared" si="239"/>
        <v>2909829000</v>
      </c>
      <c r="S443" s="117">
        <v>2909829000</v>
      </c>
      <c r="T443" s="117"/>
      <c r="U443" s="117"/>
      <c r="V443" s="117">
        <f t="shared" si="243"/>
        <v>90171000</v>
      </c>
      <c r="W443" s="117">
        <f t="shared" si="240"/>
        <v>2909829000</v>
      </c>
      <c r="X443" s="117">
        <f t="shared" si="241"/>
        <v>0</v>
      </c>
      <c r="Y443" s="117">
        <f t="shared" si="242"/>
        <v>5028029000</v>
      </c>
      <c r="Z443" s="204">
        <f t="shared" si="229"/>
        <v>0</v>
      </c>
    </row>
    <row r="444" spans="1:26">
      <c r="A444" s="114" t="s">
        <v>671</v>
      </c>
      <c r="B444" s="115" t="s">
        <v>995</v>
      </c>
      <c r="C444" s="116" t="s">
        <v>457</v>
      </c>
      <c r="D444" s="116" t="s">
        <v>996</v>
      </c>
      <c r="E444" s="117">
        <v>13776000000</v>
      </c>
      <c r="F444" s="117">
        <v>3654216000</v>
      </c>
      <c r="G444" s="125">
        <v>0</v>
      </c>
      <c r="H444" s="117"/>
      <c r="I444" s="117"/>
      <c r="J444" s="151">
        <f t="shared" si="236"/>
        <v>0</v>
      </c>
      <c r="K444" s="117"/>
      <c r="L444" s="117">
        <f t="shared" si="237"/>
        <v>0</v>
      </c>
      <c r="M444" s="117"/>
      <c r="N444" s="117"/>
      <c r="O444" s="117"/>
      <c r="P444" s="117">
        <f t="shared" si="238"/>
        <v>0</v>
      </c>
      <c r="Q444" s="117">
        <v>1540000000</v>
      </c>
      <c r="R444" s="117">
        <f t="shared" si="239"/>
        <v>1346140870</v>
      </c>
      <c r="S444" s="117">
        <v>1346140870</v>
      </c>
      <c r="T444" s="117"/>
      <c r="U444" s="117"/>
      <c r="V444" s="117">
        <f t="shared" si="243"/>
        <v>193859130</v>
      </c>
      <c r="W444" s="117">
        <f t="shared" si="240"/>
        <v>1346140870</v>
      </c>
      <c r="X444" s="117">
        <f t="shared" si="241"/>
        <v>0</v>
      </c>
      <c r="Y444" s="117">
        <f t="shared" si="242"/>
        <v>5000356870</v>
      </c>
      <c r="Z444" s="204">
        <f t="shared" si="229"/>
        <v>0</v>
      </c>
    </row>
    <row r="445" spans="1:26">
      <c r="A445" s="152" t="s">
        <v>674</v>
      </c>
      <c r="B445" s="115" t="s">
        <v>1250</v>
      </c>
      <c r="C445" s="116" t="s">
        <v>457</v>
      </c>
      <c r="D445" s="116" t="s">
        <v>1251</v>
      </c>
      <c r="E445" s="117">
        <v>50412000000</v>
      </c>
      <c r="F445" s="117"/>
      <c r="G445" s="117"/>
      <c r="H445" s="117"/>
      <c r="I445" s="117"/>
      <c r="J445" s="151">
        <f t="shared" si="236"/>
        <v>0</v>
      </c>
      <c r="K445" s="117"/>
      <c r="L445" s="117">
        <f t="shared" si="237"/>
        <v>0</v>
      </c>
      <c r="M445" s="117"/>
      <c r="N445" s="117"/>
      <c r="O445" s="117"/>
      <c r="P445" s="117">
        <f t="shared" si="238"/>
        <v>0</v>
      </c>
      <c r="Q445" s="117">
        <v>508000000</v>
      </c>
      <c r="R445" s="117">
        <f t="shared" si="239"/>
        <v>507212000</v>
      </c>
      <c r="S445" s="117">
        <v>507212000</v>
      </c>
      <c r="T445" s="117"/>
      <c r="U445" s="117"/>
      <c r="V445" s="117">
        <f t="shared" si="243"/>
        <v>788000</v>
      </c>
      <c r="W445" s="117">
        <f t="shared" si="240"/>
        <v>507212000</v>
      </c>
      <c r="X445" s="117">
        <f t="shared" si="241"/>
        <v>0</v>
      </c>
      <c r="Y445" s="117">
        <f t="shared" si="242"/>
        <v>507212000</v>
      </c>
      <c r="Z445" s="204">
        <f t="shared" si="229"/>
        <v>0</v>
      </c>
    </row>
    <row r="446" spans="1:26">
      <c r="A446" s="114" t="s">
        <v>749</v>
      </c>
      <c r="B446" s="115" t="s">
        <v>626</v>
      </c>
      <c r="C446" s="116" t="s">
        <v>457</v>
      </c>
      <c r="D446" s="116" t="s">
        <v>627</v>
      </c>
      <c r="E446" s="117">
        <v>984319000000</v>
      </c>
      <c r="F446" s="117">
        <v>8000000000</v>
      </c>
      <c r="G446" s="117"/>
      <c r="H446" s="117"/>
      <c r="I446" s="117"/>
      <c r="J446" s="151">
        <f t="shared" si="236"/>
        <v>0</v>
      </c>
      <c r="K446" s="117"/>
      <c r="L446" s="117">
        <f t="shared" si="237"/>
        <v>0</v>
      </c>
      <c r="M446" s="117"/>
      <c r="N446" s="117"/>
      <c r="O446" s="117"/>
      <c r="P446" s="117">
        <f t="shared" si="238"/>
        <v>0</v>
      </c>
      <c r="Q446" s="117">
        <v>15500000000</v>
      </c>
      <c r="R446" s="117">
        <f t="shared" si="239"/>
        <v>15500000000</v>
      </c>
      <c r="S446" s="117">
        <v>12556174927</v>
      </c>
      <c r="T446" s="117">
        <v>2943825073</v>
      </c>
      <c r="U446" s="117"/>
      <c r="V446" s="117">
        <f t="shared" si="243"/>
        <v>0</v>
      </c>
      <c r="W446" s="117">
        <f t="shared" si="240"/>
        <v>12556174927</v>
      </c>
      <c r="X446" s="117">
        <f t="shared" si="241"/>
        <v>2943825073</v>
      </c>
      <c r="Y446" s="117">
        <f t="shared" si="242"/>
        <v>23500000000</v>
      </c>
      <c r="Z446" s="204">
        <f t="shared" si="229"/>
        <v>0</v>
      </c>
    </row>
    <row r="447" spans="1:26" ht="24">
      <c r="A447" s="152" t="s">
        <v>752</v>
      </c>
      <c r="B447" s="115" t="s">
        <v>630</v>
      </c>
      <c r="C447" s="116" t="s">
        <v>457</v>
      </c>
      <c r="D447" s="116" t="s">
        <v>631</v>
      </c>
      <c r="E447" s="117">
        <v>486309000000</v>
      </c>
      <c r="F447" s="117"/>
      <c r="G447" s="117"/>
      <c r="H447" s="117"/>
      <c r="I447" s="117"/>
      <c r="J447" s="151">
        <f t="shared" si="236"/>
        <v>0</v>
      </c>
      <c r="K447" s="117"/>
      <c r="L447" s="117">
        <f t="shared" si="237"/>
        <v>0</v>
      </c>
      <c r="M447" s="117"/>
      <c r="N447" s="117"/>
      <c r="O447" s="117"/>
      <c r="P447" s="117">
        <f t="shared" si="238"/>
        <v>0</v>
      </c>
      <c r="Q447" s="117">
        <v>25000000000</v>
      </c>
      <c r="R447" s="117">
        <f t="shared" si="239"/>
        <v>25000000000</v>
      </c>
      <c r="S447" s="117">
        <v>25000000000</v>
      </c>
      <c r="T447" s="117">
        <v>0</v>
      </c>
      <c r="U447" s="117"/>
      <c r="V447" s="117">
        <f>Q447-R447-U447</f>
        <v>0</v>
      </c>
      <c r="W447" s="117">
        <f t="shared" si="240"/>
        <v>25000000000</v>
      </c>
      <c r="X447" s="117">
        <f t="shared" si="241"/>
        <v>0</v>
      </c>
      <c r="Y447" s="117">
        <f t="shared" si="242"/>
        <v>25000000000</v>
      </c>
      <c r="Z447" s="204">
        <f t="shared" si="229"/>
        <v>0</v>
      </c>
    </row>
    <row r="448" spans="1:26">
      <c r="A448" s="114" t="s">
        <v>755</v>
      </c>
      <c r="B448" s="115" t="s">
        <v>1206</v>
      </c>
      <c r="C448" s="116" t="s">
        <v>457</v>
      </c>
      <c r="D448" s="116" t="s">
        <v>1207</v>
      </c>
      <c r="E448" s="117">
        <v>1361000000</v>
      </c>
      <c r="F448" s="117"/>
      <c r="G448" s="117"/>
      <c r="H448" s="117"/>
      <c r="I448" s="117"/>
      <c r="J448" s="151">
        <f t="shared" si="236"/>
        <v>0</v>
      </c>
      <c r="K448" s="117"/>
      <c r="L448" s="117">
        <f t="shared" si="237"/>
        <v>0</v>
      </c>
      <c r="M448" s="117"/>
      <c r="N448" s="117"/>
      <c r="O448" s="117"/>
      <c r="P448" s="117">
        <f t="shared" si="238"/>
        <v>0</v>
      </c>
      <c r="Q448" s="117">
        <v>492000000</v>
      </c>
      <c r="R448" s="117">
        <f t="shared" si="239"/>
        <v>479690400</v>
      </c>
      <c r="S448" s="117">
        <v>479690400</v>
      </c>
      <c r="T448" s="117"/>
      <c r="U448" s="117"/>
      <c r="V448" s="117">
        <f>Q448-R448-U448</f>
        <v>12309600</v>
      </c>
      <c r="W448" s="117">
        <f t="shared" si="240"/>
        <v>479690400</v>
      </c>
      <c r="X448" s="117">
        <f t="shared" si="241"/>
        <v>0</v>
      </c>
      <c r="Y448" s="117">
        <f t="shared" si="242"/>
        <v>479690400</v>
      </c>
      <c r="Z448" s="204">
        <f t="shared" si="229"/>
        <v>0</v>
      </c>
    </row>
    <row r="449" spans="1:26">
      <c r="A449" s="152" t="s">
        <v>758</v>
      </c>
      <c r="B449" s="115" t="s">
        <v>1225</v>
      </c>
      <c r="C449" s="116" t="s">
        <v>457</v>
      </c>
      <c r="D449" s="116" t="s">
        <v>1226</v>
      </c>
      <c r="E449" s="117">
        <v>9871000000</v>
      </c>
      <c r="F449" s="117"/>
      <c r="G449" s="117"/>
      <c r="H449" s="117"/>
      <c r="I449" s="117"/>
      <c r="J449" s="151">
        <f t="shared" si="236"/>
        <v>0</v>
      </c>
      <c r="K449" s="117"/>
      <c r="L449" s="117">
        <f t="shared" si="237"/>
        <v>0</v>
      </c>
      <c r="M449" s="117"/>
      <c r="N449" s="117"/>
      <c r="O449" s="117"/>
      <c r="P449" s="117">
        <f t="shared" si="238"/>
        <v>0</v>
      </c>
      <c r="Q449" s="117">
        <v>3903000000</v>
      </c>
      <c r="R449" s="117">
        <f t="shared" si="239"/>
        <v>3396883298</v>
      </c>
      <c r="S449" s="117">
        <v>3396883298</v>
      </c>
      <c r="T449" s="117"/>
      <c r="U449" s="117"/>
      <c r="V449" s="117">
        <f>Q449-R449-U449</f>
        <v>506116702</v>
      </c>
      <c r="W449" s="117">
        <f t="shared" si="240"/>
        <v>3396883298</v>
      </c>
      <c r="X449" s="117">
        <f t="shared" si="241"/>
        <v>0</v>
      </c>
      <c r="Y449" s="117">
        <f t="shared" si="242"/>
        <v>3396883298</v>
      </c>
      <c r="Z449" s="204">
        <f t="shared" si="229"/>
        <v>0</v>
      </c>
    </row>
    <row r="450" spans="1:26" ht="24">
      <c r="A450" s="114" t="s">
        <v>761</v>
      </c>
      <c r="B450" s="115" t="s">
        <v>1186</v>
      </c>
      <c r="C450" s="116" t="s">
        <v>457</v>
      </c>
      <c r="D450" s="116" t="s">
        <v>1187</v>
      </c>
      <c r="E450" s="117">
        <v>7237000000</v>
      </c>
      <c r="F450" s="117"/>
      <c r="G450" s="117"/>
      <c r="H450" s="117"/>
      <c r="I450" s="117"/>
      <c r="J450" s="151">
        <f t="shared" si="236"/>
        <v>0</v>
      </c>
      <c r="K450" s="117"/>
      <c r="L450" s="117">
        <f t="shared" si="237"/>
        <v>0</v>
      </c>
      <c r="M450" s="117"/>
      <c r="N450" s="117"/>
      <c r="O450" s="117"/>
      <c r="P450" s="117">
        <f t="shared" si="238"/>
        <v>0</v>
      </c>
      <c r="Q450" s="117">
        <v>521000000</v>
      </c>
      <c r="R450" s="117">
        <f t="shared" si="239"/>
        <v>346070530</v>
      </c>
      <c r="S450" s="117">
        <v>346070530</v>
      </c>
      <c r="T450" s="117"/>
      <c r="U450" s="117"/>
      <c r="V450" s="117">
        <f>Q450-R450-U450</f>
        <v>174929470</v>
      </c>
      <c r="W450" s="117">
        <f t="shared" si="240"/>
        <v>346070530</v>
      </c>
      <c r="X450" s="117">
        <f t="shared" si="241"/>
        <v>0</v>
      </c>
      <c r="Y450" s="117">
        <f t="shared" si="242"/>
        <v>346070530</v>
      </c>
      <c r="Z450" s="204">
        <f t="shared" si="229"/>
        <v>0</v>
      </c>
    </row>
    <row r="451" spans="1:26">
      <c r="A451" s="152" t="s">
        <v>764</v>
      </c>
      <c r="B451" s="115" t="s">
        <v>1239</v>
      </c>
      <c r="C451" s="116" t="s">
        <v>457</v>
      </c>
      <c r="D451" s="116" t="s">
        <v>1240</v>
      </c>
      <c r="E451" s="117">
        <v>1570000000</v>
      </c>
      <c r="F451" s="117"/>
      <c r="G451" s="117"/>
      <c r="H451" s="117"/>
      <c r="I451" s="117"/>
      <c r="J451" s="151">
        <f t="shared" si="236"/>
        <v>0</v>
      </c>
      <c r="K451" s="117"/>
      <c r="L451" s="117">
        <f t="shared" si="237"/>
        <v>0</v>
      </c>
      <c r="M451" s="117"/>
      <c r="N451" s="117"/>
      <c r="O451" s="117"/>
      <c r="P451" s="117">
        <f t="shared" si="238"/>
        <v>0</v>
      </c>
      <c r="Q451" s="117">
        <v>518000000</v>
      </c>
      <c r="R451" s="117">
        <f t="shared" si="239"/>
        <v>499213300</v>
      </c>
      <c r="S451" s="117">
        <v>499213300</v>
      </c>
      <c r="T451" s="117"/>
      <c r="U451" s="117"/>
      <c r="V451" s="117">
        <f>Q451-R451-U451</f>
        <v>18786700</v>
      </c>
      <c r="W451" s="117">
        <f t="shared" si="240"/>
        <v>499213300</v>
      </c>
      <c r="X451" s="117">
        <f t="shared" si="241"/>
        <v>0</v>
      </c>
      <c r="Y451" s="117">
        <f t="shared" si="242"/>
        <v>499213300</v>
      </c>
      <c r="Z451" s="204">
        <f t="shared" si="229"/>
        <v>0</v>
      </c>
    </row>
    <row r="452" spans="1:26" ht="27" customHeight="1">
      <c r="A452" s="114" t="s">
        <v>767</v>
      </c>
      <c r="B452" s="115" t="s">
        <v>624</v>
      </c>
      <c r="C452" s="116" t="s">
        <v>457</v>
      </c>
      <c r="D452" s="116" t="s">
        <v>625</v>
      </c>
      <c r="E452" s="117">
        <v>1343808699235</v>
      </c>
      <c r="F452" s="117">
        <v>101500000000</v>
      </c>
      <c r="G452" s="117"/>
      <c r="H452" s="117"/>
      <c r="I452" s="117"/>
      <c r="J452" s="151">
        <f t="shared" si="236"/>
        <v>0</v>
      </c>
      <c r="K452" s="117"/>
      <c r="L452" s="117">
        <f t="shared" si="237"/>
        <v>0</v>
      </c>
      <c r="M452" s="117"/>
      <c r="N452" s="117"/>
      <c r="O452" s="117"/>
      <c r="P452" s="117">
        <f t="shared" si="238"/>
        <v>0</v>
      </c>
      <c r="Q452" s="117">
        <v>28260000000</v>
      </c>
      <c r="R452" s="117">
        <f t="shared" si="239"/>
        <v>28260000000</v>
      </c>
      <c r="S452" s="117">
        <v>28260000000</v>
      </c>
      <c r="T452" s="117"/>
      <c r="U452" s="117"/>
      <c r="V452" s="117"/>
      <c r="W452" s="117">
        <f t="shared" si="240"/>
        <v>28260000000</v>
      </c>
      <c r="X452" s="117">
        <f t="shared" si="241"/>
        <v>0</v>
      </c>
      <c r="Y452" s="117">
        <f t="shared" si="242"/>
        <v>129760000000</v>
      </c>
      <c r="Z452" s="204">
        <f t="shared" si="229"/>
        <v>0</v>
      </c>
    </row>
    <row r="453" spans="1:26" s="153" customFormat="1" ht="24">
      <c r="A453" s="152" t="s">
        <v>770</v>
      </c>
      <c r="B453" s="115" t="s">
        <v>616</v>
      </c>
      <c r="C453" s="116" t="s">
        <v>457</v>
      </c>
      <c r="D453" s="116" t="s">
        <v>617</v>
      </c>
      <c r="E453" s="117">
        <v>157876000000</v>
      </c>
      <c r="F453" s="117">
        <v>5567424130</v>
      </c>
      <c r="G453" s="154">
        <v>583894272</v>
      </c>
      <c r="H453" s="117"/>
      <c r="I453" s="117">
        <v>123058272</v>
      </c>
      <c r="J453" s="151">
        <f t="shared" si="236"/>
        <v>460836000</v>
      </c>
      <c r="K453" s="140">
        <v>3152000000</v>
      </c>
      <c r="L453" s="117">
        <f t="shared" si="237"/>
        <v>872197600</v>
      </c>
      <c r="M453" s="117">
        <v>872197600</v>
      </c>
      <c r="N453" s="117"/>
      <c r="O453" s="117"/>
      <c r="P453" s="117">
        <f t="shared" si="238"/>
        <v>2279802400</v>
      </c>
      <c r="Q453" s="117"/>
      <c r="R453" s="117">
        <f t="shared" si="239"/>
        <v>0</v>
      </c>
      <c r="S453" s="117"/>
      <c r="T453" s="117"/>
      <c r="U453" s="117"/>
      <c r="V453" s="117">
        <f t="shared" ref="V453:V455" si="244">Q453-R453-U453</f>
        <v>0</v>
      </c>
      <c r="W453" s="117">
        <f t="shared" si="240"/>
        <v>995255872</v>
      </c>
      <c r="X453" s="117">
        <f t="shared" si="241"/>
        <v>460836000</v>
      </c>
      <c r="Y453" s="117">
        <f t="shared" si="242"/>
        <v>6439621730</v>
      </c>
      <c r="Z453" s="204">
        <f t="shared" si="229"/>
        <v>0</v>
      </c>
    </row>
    <row r="454" spans="1:26" s="113" customFormat="1">
      <c r="A454" s="114" t="s">
        <v>773</v>
      </c>
      <c r="B454" s="115" t="s">
        <v>1252</v>
      </c>
      <c r="C454" s="116" t="s">
        <v>457</v>
      </c>
      <c r="D454" s="116" t="s">
        <v>1253</v>
      </c>
      <c r="E454" s="117">
        <v>14698000000</v>
      </c>
      <c r="F454" s="117"/>
      <c r="G454" s="117"/>
      <c r="H454" s="117"/>
      <c r="I454" s="117"/>
      <c r="J454" s="151">
        <f t="shared" si="236"/>
        <v>0</v>
      </c>
      <c r="K454" s="140">
        <v>387000000</v>
      </c>
      <c r="L454" s="117">
        <f t="shared" si="237"/>
        <v>134794000</v>
      </c>
      <c r="M454" s="125">
        <v>134794000</v>
      </c>
      <c r="N454" s="117"/>
      <c r="O454" s="117"/>
      <c r="P454" s="117">
        <f>K454-L454-O454</f>
        <v>252206000</v>
      </c>
      <c r="Q454" s="117"/>
      <c r="R454" s="117">
        <f t="shared" si="239"/>
        <v>0</v>
      </c>
      <c r="S454" s="117"/>
      <c r="T454" s="119"/>
      <c r="U454" s="117"/>
      <c r="V454" s="117">
        <f t="shared" si="244"/>
        <v>0</v>
      </c>
      <c r="W454" s="117">
        <f t="shared" si="240"/>
        <v>134794000</v>
      </c>
      <c r="X454" s="117">
        <f t="shared" si="241"/>
        <v>0</v>
      </c>
      <c r="Y454" s="117">
        <f t="shared" si="242"/>
        <v>134794000</v>
      </c>
      <c r="Z454" s="204">
        <f t="shared" si="229"/>
        <v>0</v>
      </c>
    </row>
    <row r="455" spans="1:26">
      <c r="A455" s="152" t="s">
        <v>776</v>
      </c>
      <c r="B455" s="115" t="s">
        <v>991</v>
      </c>
      <c r="C455" s="116" t="s">
        <v>457</v>
      </c>
      <c r="D455" s="116" t="s">
        <v>992</v>
      </c>
      <c r="E455" s="117">
        <v>14683000000</v>
      </c>
      <c r="F455" s="117">
        <v>4583704000</v>
      </c>
      <c r="G455" s="125">
        <v>0</v>
      </c>
      <c r="H455" s="117"/>
      <c r="I455" s="117"/>
      <c r="J455" s="151">
        <f t="shared" si="236"/>
        <v>0</v>
      </c>
      <c r="K455" s="140">
        <v>296000000</v>
      </c>
      <c r="L455" s="117">
        <f t="shared" si="237"/>
        <v>207748000</v>
      </c>
      <c r="M455" s="117">
        <v>207748000</v>
      </c>
      <c r="N455" s="117"/>
      <c r="O455" s="117"/>
      <c r="P455" s="117">
        <f t="shared" si="238"/>
        <v>88252000</v>
      </c>
      <c r="Q455" s="117"/>
      <c r="R455" s="117">
        <f t="shared" si="239"/>
        <v>0</v>
      </c>
      <c r="S455" s="117"/>
      <c r="T455" s="117"/>
      <c r="U455" s="117"/>
      <c r="V455" s="117">
        <f t="shared" si="244"/>
        <v>0</v>
      </c>
      <c r="W455" s="117">
        <f t="shared" si="240"/>
        <v>207748000</v>
      </c>
      <c r="X455" s="117">
        <f t="shared" si="241"/>
        <v>0</v>
      </c>
      <c r="Y455" s="117">
        <f t="shared" si="242"/>
        <v>4791452000</v>
      </c>
      <c r="Z455" s="204">
        <f t="shared" si="229"/>
        <v>0</v>
      </c>
    </row>
    <row r="456" spans="1:26" ht="24">
      <c r="A456" s="114" t="s">
        <v>779</v>
      </c>
      <c r="B456" s="115" t="s">
        <v>862</v>
      </c>
      <c r="C456" s="116" t="s">
        <v>457</v>
      </c>
      <c r="D456" s="116" t="s">
        <v>863</v>
      </c>
      <c r="E456" s="117">
        <v>53967000000</v>
      </c>
      <c r="F456" s="117"/>
      <c r="G456" s="117"/>
      <c r="H456" s="117"/>
      <c r="I456" s="117"/>
      <c r="J456" s="151">
        <f>G456-H456-I456+N456</f>
        <v>0</v>
      </c>
      <c r="K456" s="140">
        <v>5000000000</v>
      </c>
      <c r="L456" s="117">
        <f>SUM(M456:N456)</f>
        <v>5000000000</v>
      </c>
      <c r="M456" s="117">
        <v>5000000000</v>
      </c>
      <c r="N456" s="117"/>
      <c r="O456" s="117"/>
      <c r="P456" s="117">
        <f>K456-L456-O456</f>
        <v>0</v>
      </c>
      <c r="Q456" s="117"/>
      <c r="R456" s="117">
        <f>SUM(S456:T456)</f>
        <v>0</v>
      </c>
      <c r="S456" s="117"/>
      <c r="T456" s="117"/>
      <c r="U456" s="117"/>
      <c r="V456" s="117">
        <f>Q456-R456-U456</f>
        <v>0</v>
      </c>
      <c r="W456" s="117">
        <f>SUM(I456,M456,S456)</f>
        <v>5000000000</v>
      </c>
      <c r="X456" s="117">
        <f>G456-H456-I456+N456+T456</f>
        <v>0</v>
      </c>
      <c r="Y456" s="117">
        <f>F456+L456+R456</f>
        <v>5000000000</v>
      </c>
      <c r="Z456" s="204">
        <f t="shared" si="229"/>
        <v>0</v>
      </c>
    </row>
    <row r="457" spans="1:26">
      <c r="A457" s="152" t="s">
        <v>782</v>
      </c>
      <c r="B457" s="115" t="s">
        <v>611</v>
      </c>
      <c r="C457" s="116"/>
      <c r="D457" s="116"/>
      <c r="E457" s="117"/>
      <c r="F457" s="117"/>
      <c r="G457" s="117"/>
      <c r="H457" s="117"/>
      <c r="I457" s="117"/>
      <c r="J457" s="151"/>
      <c r="K457" s="140"/>
      <c r="L457" s="117"/>
      <c r="M457" s="117"/>
      <c r="N457" s="117"/>
      <c r="O457" s="117"/>
      <c r="P457" s="117"/>
      <c r="Q457" s="117">
        <v>43000000</v>
      </c>
      <c r="R457" s="117"/>
      <c r="S457" s="117"/>
      <c r="T457" s="117"/>
      <c r="U457" s="117"/>
      <c r="V457" s="117"/>
      <c r="W457" s="117"/>
      <c r="X457" s="117"/>
      <c r="Y457" s="117"/>
      <c r="Z457" s="204">
        <f t="shared" si="229"/>
        <v>0</v>
      </c>
    </row>
    <row r="458" spans="1:26" s="155" customFormat="1" ht="16.5" customHeight="1">
      <c r="A458" s="135" t="s">
        <v>47</v>
      </c>
      <c r="B458" s="136" t="s">
        <v>1254</v>
      </c>
      <c r="C458" s="137"/>
      <c r="D458" s="138">
        <f t="shared" ref="D458:P458" si="245">SUM(D459:D490)</f>
        <v>0</v>
      </c>
      <c r="E458" s="138">
        <f t="shared" si="245"/>
        <v>910436000000</v>
      </c>
      <c r="F458" s="138">
        <f t="shared" si="245"/>
        <v>8375501784</v>
      </c>
      <c r="G458" s="138">
        <f t="shared" si="245"/>
        <v>0</v>
      </c>
      <c r="H458" s="138">
        <f t="shared" si="245"/>
        <v>0</v>
      </c>
      <c r="I458" s="138">
        <f t="shared" si="245"/>
        <v>0</v>
      </c>
      <c r="J458" s="138">
        <f t="shared" si="245"/>
        <v>0</v>
      </c>
      <c r="K458" s="138">
        <f t="shared" si="245"/>
        <v>0</v>
      </c>
      <c r="L458" s="138">
        <f t="shared" si="245"/>
        <v>0</v>
      </c>
      <c r="M458" s="138">
        <f t="shared" si="245"/>
        <v>0</v>
      </c>
      <c r="N458" s="138">
        <f t="shared" si="245"/>
        <v>0</v>
      </c>
      <c r="O458" s="138">
        <f t="shared" si="245"/>
        <v>0</v>
      </c>
      <c r="P458" s="138">
        <f t="shared" si="245"/>
        <v>0</v>
      </c>
      <c r="Q458" s="138">
        <f>SUM(Q459:Q490)</f>
        <v>67246000000</v>
      </c>
      <c r="R458" s="138">
        <f t="shared" ref="R458:Y458" si="246">SUM(R459:R490)</f>
        <v>17409201229</v>
      </c>
      <c r="S458" s="138">
        <f t="shared" si="246"/>
        <v>16909201229</v>
      </c>
      <c r="T458" s="138">
        <f t="shared" si="246"/>
        <v>500000000</v>
      </c>
      <c r="U458" s="138">
        <f t="shared" si="246"/>
        <v>0</v>
      </c>
      <c r="V458" s="138">
        <f t="shared" si="246"/>
        <v>49389798771</v>
      </c>
      <c r="W458" s="138">
        <f t="shared" si="246"/>
        <v>16909201229</v>
      </c>
      <c r="X458" s="138">
        <f t="shared" si="246"/>
        <v>500000000</v>
      </c>
      <c r="Y458" s="138">
        <f t="shared" si="246"/>
        <v>25784703013</v>
      </c>
      <c r="Z458" s="204">
        <f t="shared" si="229"/>
        <v>0</v>
      </c>
    </row>
    <row r="459" spans="1:26" ht="16.5" customHeight="1">
      <c r="A459" s="152" t="s">
        <v>455</v>
      </c>
      <c r="B459" s="115" t="s">
        <v>1255</v>
      </c>
      <c r="C459" s="116" t="s">
        <v>457</v>
      </c>
      <c r="D459" s="116" t="s">
        <v>1256</v>
      </c>
      <c r="E459" s="117"/>
      <c r="F459" s="117"/>
      <c r="G459" s="117"/>
      <c r="H459" s="117"/>
      <c r="I459" s="117"/>
      <c r="J459" s="151">
        <f t="shared" ref="J459:J489" si="247">G459-H459-I459+N459</f>
        <v>0</v>
      </c>
      <c r="K459" s="117"/>
      <c r="L459" s="117">
        <f t="shared" ref="L459:L489" si="248">SUM(M459:N459)</f>
        <v>0</v>
      </c>
      <c r="M459" s="117"/>
      <c r="N459" s="117"/>
      <c r="O459" s="117"/>
      <c r="P459" s="117">
        <f t="shared" ref="P459:P489" si="249">K459-L459-O459</f>
        <v>0</v>
      </c>
      <c r="Q459" s="117">
        <v>47042000000</v>
      </c>
      <c r="R459" s="117">
        <f t="shared" ref="R459:R489" si="250">SUM(S459:T459)</f>
        <v>537353000</v>
      </c>
      <c r="S459" s="117">
        <v>537353000</v>
      </c>
      <c r="T459" s="117"/>
      <c r="U459" s="117"/>
      <c r="V459" s="117">
        <f t="shared" ref="V459:V489" si="251">Q459-R459-U459</f>
        <v>46504647000</v>
      </c>
      <c r="W459" s="117">
        <f t="shared" ref="W459:W489" si="252">SUM(I459,M459,S459)</f>
        <v>537353000</v>
      </c>
      <c r="X459" s="117">
        <f t="shared" ref="X459:X489" si="253">G459-H459-I459+N459+T459</f>
        <v>0</v>
      </c>
      <c r="Y459" s="117">
        <f t="shared" ref="Y459:Y489" si="254">F459+L459+R459</f>
        <v>537353000</v>
      </c>
      <c r="Z459" s="204">
        <f t="shared" si="229"/>
        <v>0</v>
      </c>
    </row>
    <row r="460" spans="1:26" ht="24">
      <c r="A460" s="114" t="s">
        <v>459</v>
      </c>
      <c r="B460" s="115" t="s">
        <v>622</v>
      </c>
      <c r="C460" s="116" t="s">
        <v>457</v>
      </c>
      <c r="D460" s="116" t="s">
        <v>623</v>
      </c>
      <c r="E460" s="117">
        <v>329015000000</v>
      </c>
      <c r="F460" s="117"/>
      <c r="G460" s="117"/>
      <c r="H460" s="117"/>
      <c r="I460" s="117"/>
      <c r="J460" s="151">
        <f t="shared" si="247"/>
        <v>0</v>
      </c>
      <c r="K460" s="117"/>
      <c r="L460" s="117">
        <f t="shared" si="248"/>
        <v>0</v>
      </c>
      <c r="M460" s="117"/>
      <c r="N460" s="117"/>
      <c r="O460" s="117"/>
      <c r="P460" s="117">
        <f t="shared" si="249"/>
        <v>0</v>
      </c>
      <c r="Q460" s="117">
        <v>10500000000</v>
      </c>
      <c r="R460" s="117">
        <f t="shared" si="250"/>
        <v>8042350832</v>
      </c>
      <c r="S460" s="117">
        <v>7542350832</v>
      </c>
      <c r="T460" s="117">
        <v>500000000</v>
      </c>
      <c r="U460" s="117"/>
      <c r="V460" s="117">
        <f t="shared" si="251"/>
        <v>2457649168</v>
      </c>
      <c r="W460" s="117">
        <f t="shared" si="252"/>
        <v>7542350832</v>
      </c>
      <c r="X460" s="117">
        <f t="shared" si="253"/>
        <v>500000000</v>
      </c>
      <c r="Y460" s="117">
        <f t="shared" si="254"/>
        <v>8042350832</v>
      </c>
      <c r="Z460" s="204">
        <f t="shared" si="229"/>
        <v>0</v>
      </c>
    </row>
    <row r="461" spans="1:26" ht="24">
      <c r="A461" s="152" t="s">
        <v>462</v>
      </c>
      <c r="B461" s="115" t="s">
        <v>1257</v>
      </c>
      <c r="C461" s="116" t="s">
        <v>457</v>
      </c>
      <c r="D461" s="116" t="s">
        <v>1258</v>
      </c>
      <c r="E461" s="117">
        <v>1081000000</v>
      </c>
      <c r="F461" s="117"/>
      <c r="G461" s="117"/>
      <c r="H461" s="117"/>
      <c r="I461" s="117"/>
      <c r="J461" s="151">
        <f t="shared" si="247"/>
        <v>0</v>
      </c>
      <c r="K461" s="117"/>
      <c r="L461" s="117">
        <f t="shared" si="248"/>
        <v>0</v>
      </c>
      <c r="M461" s="117"/>
      <c r="N461" s="117"/>
      <c r="O461" s="117"/>
      <c r="P461" s="117">
        <f t="shared" si="249"/>
        <v>0</v>
      </c>
      <c r="Q461" s="117">
        <v>38000000</v>
      </c>
      <c r="R461" s="117">
        <f t="shared" si="250"/>
        <v>37643000</v>
      </c>
      <c r="S461" s="117">
        <v>37643000</v>
      </c>
      <c r="T461" s="117"/>
      <c r="U461" s="117"/>
      <c r="V461" s="117">
        <f t="shared" si="251"/>
        <v>357000</v>
      </c>
      <c r="W461" s="117">
        <f t="shared" si="252"/>
        <v>37643000</v>
      </c>
      <c r="X461" s="117">
        <f t="shared" si="253"/>
        <v>0</v>
      </c>
      <c r="Y461" s="117">
        <f t="shared" si="254"/>
        <v>37643000</v>
      </c>
      <c r="Z461" s="204">
        <f t="shared" ref="Z461:Z524" si="255">S461+M461+I461-W461</f>
        <v>0</v>
      </c>
    </row>
    <row r="462" spans="1:26">
      <c r="A462" s="114" t="s">
        <v>465</v>
      </c>
      <c r="B462" s="115" t="s">
        <v>1259</v>
      </c>
      <c r="C462" s="116" t="s">
        <v>457</v>
      </c>
      <c r="D462" s="116" t="s">
        <v>1260</v>
      </c>
      <c r="E462" s="117">
        <v>1879000000</v>
      </c>
      <c r="F462" s="117"/>
      <c r="G462" s="117"/>
      <c r="H462" s="117"/>
      <c r="I462" s="117"/>
      <c r="J462" s="151">
        <f t="shared" si="247"/>
        <v>0</v>
      </c>
      <c r="K462" s="117"/>
      <c r="L462" s="117">
        <f t="shared" si="248"/>
        <v>0</v>
      </c>
      <c r="M462" s="117"/>
      <c r="N462" s="117"/>
      <c r="O462" s="117"/>
      <c r="P462" s="117">
        <f t="shared" si="249"/>
        <v>0</v>
      </c>
      <c r="Q462" s="117">
        <v>158000000</v>
      </c>
      <c r="R462" s="117">
        <f t="shared" si="250"/>
        <v>148518089</v>
      </c>
      <c r="S462" s="117">
        <v>148518089</v>
      </c>
      <c r="T462" s="117"/>
      <c r="U462" s="117"/>
      <c r="V462" s="117">
        <f t="shared" si="251"/>
        <v>9481911</v>
      </c>
      <c r="W462" s="117">
        <f t="shared" si="252"/>
        <v>148518089</v>
      </c>
      <c r="X462" s="117">
        <f t="shared" si="253"/>
        <v>0</v>
      </c>
      <c r="Y462" s="117">
        <f t="shared" si="254"/>
        <v>148518089</v>
      </c>
      <c r="Z462" s="204">
        <f t="shared" si="255"/>
        <v>0</v>
      </c>
    </row>
    <row r="463" spans="1:26">
      <c r="A463" s="152" t="s">
        <v>468</v>
      </c>
      <c r="B463" s="115" t="s">
        <v>1261</v>
      </c>
      <c r="C463" s="116" t="s">
        <v>457</v>
      </c>
      <c r="D463" s="116" t="s">
        <v>1262</v>
      </c>
      <c r="E463" s="117">
        <v>18926000000</v>
      </c>
      <c r="F463" s="117"/>
      <c r="G463" s="117"/>
      <c r="H463" s="117"/>
      <c r="I463" s="117"/>
      <c r="J463" s="151">
        <f t="shared" si="247"/>
        <v>0</v>
      </c>
      <c r="K463" s="117"/>
      <c r="L463" s="117">
        <f t="shared" si="248"/>
        <v>0</v>
      </c>
      <c r="M463" s="117"/>
      <c r="N463" s="117"/>
      <c r="O463" s="117"/>
      <c r="P463" s="117">
        <f t="shared" si="249"/>
        <v>0</v>
      </c>
      <c r="Q463" s="117">
        <v>177000000</v>
      </c>
      <c r="R463" s="117">
        <f t="shared" si="250"/>
        <v>176554509</v>
      </c>
      <c r="S463" s="117">
        <v>176554509</v>
      </c>
      <c r="T463" s="117"/>
      <c r="U463" s="117"/>
      <c r="V463" s="117">
        <f t="shared" si="251"/>
        <v>445491</v>
      </c>
      <c r="W463" s="117">
        <f t="shared" si="252"/>
        <v>176554509</v>
      </c>
      <c r="X463" s="117">
        <f t="shared" si="253"/>
        <v>0</v>
      </c>
      <c r="Y463" s="117">
        <f t="shared" si="254"/>
        <v>176554509</v>
      </c>
      <c r="Z463" s="204">
        <f t="shared" si="255"/>
        <v>0</v>
      </c>
    </row>
    <row r="464" spans="1:26" ht="24">
      <c r="A464" s="114" t="s">
        <v>471</v>
      </c>
      <c r="B464" s="115" t="s">
        <v>1263</v>
      </c>
      <c r="C464" s="116" t="s">
        <v>457</v>
      </c>
      <c r="D464" s="116" t="s">
        <v>1264</v>
      </c>
      <c r="E464" s="117">
        <v>16334000000</v>
      </c>
      <c r="F464" s="117"/>
      <c r="G464" s="117"/>
      <c r="H464" s="117"/>
      <c r="I464" s="117"/>
      <c r="J464" s="151">
        <f t="shared" si="247"/>
        <v>0</v>
      </c>
      <c r="K464" s="117"/>
      <c r="L464" s="117">
        <f t="shared" si="248"/>
        <v>0</v>
      </c>
      <c r="M464" s="117"/>
      <c r="N464" s="117"/>
      <c r="O464" s="117"/>
      <c r="P464" s="117">
        <f t="shared" si="249"/>
        <v>0</v>
      </c>
      <c r="Q464" s="117">
        <v>186000000</v>
      </c>
      <c r="R464" s="117">
        <f t="shared" si="250"/>
        <v>186000000</v>
      </c>
      <c r="S464" s="117">
        <v>186000000</v>
      </c>
      <c r="T464" s="117"/>
      <c r="U464" s="117"/>
      <c r="V464" s="117">
        <f t="shared" si="251"/>
        <v>0</v>
      </c>
      <c r="W464" s="117">
        <f t="shared" si="252"/>
        <v>186000000</v>
      </c>
      <c r="X464" s="117">
        <f t="shared" si="253"/>
        <v>0</v>
      </c>
      <c r="Y464" s="117">
        <f t="shared" si="254"/>
        <v>186000000</v>
      </c>
      <c r="Z464" s="204">
        <f t="shared" si="255"/>
        <v>0</v>
      </c>
    </row>
    <row r="465" spans="1:26" ht="24">
      <c r="A465" s="152" t="s">
        <v>474</v>
      </c>
      <c r="B465" s="115" t="s">
        <v>1265</v>
      </c>
      <c r="C465" s="116" t="s">
        <v>457</v>
      </c>
      <c r="D465" s="116" t="s">
        <v>1266</v>
      </c>
      <c r="E465" s="117">
        <v>103447000000</v>
      </c>
      <c r="F465" s="117"/>
      <c r="G465" s="117"/>
      <c r="H465" s="117"/>
      <c r="I465" s="117"/>
      <c r="J465" s="151">
        <f t="shared" si="247"/>
        <v>0</v>
      </c>
      <c r="K465" s="117"/>
      <c r="L465" s="117">
        <f t="shared" si="248"/>
        <v>0</v>
      </c>
      <c r="M465" s="117"/>
      <c r="N465" s="117"/>
      <c r="O465" s="117"/>
      <c r="P465" s="117">
        <f t="shared" si="249"/>
        <v>0</v>
      </c>
      <c r="Q465" s="117">
        <v>431000000</v>
      </c>
      <c r="R465" s="117">
        <f t="shared" si="250"/>
        <v>365355000</v>
      </c>
      <c r="S465" s="117">
        <v>365355000</v>
      </c>
      <c r="T465" s="117"/>
      <c r="U465" s="117"/>
      <c r="V465" s="117">
        <f t="shared" si="251"/>
        <v>65645000</v>
      </c>
      <c r="W465" s="117">
        <f t="shared" si="252"/>
        <v>365355000</v>
      </c>
      <c r="X465" s="117">
        <f t="shared" si="253"/>
        <v>0</v>
      </c>
      <c r="Y465" s="117">
        <f t="shared" si="254"/>
        <v>365355000</v>
      </c>
      <c r="Z465" s="204">
        <f t="shared" si="255"/>
        <v>0</v>
      </c>
    </row>
    <row r="466" spans="1:26" ht="24">
      <c r="A466" s="114" t="s">
        <v>477</v>
      </c>
      <c r="B466" s="115" t="s">
        <v>1267</v>
      </c>
      <c r="C466" s="116" t="s">
        <v>457</v>
      </c>
      <c r="D466" s="116" t="s">
        <v>1268</v>
      </c>
      <c r="E466" s="117">
        <v>24779000000</v>
      </c>
      <c r="F466" s="117"/>
      <c r="G466" s="117"/>
      <c r="H466" s="117"/>
      <c r="I466" s="117"/>
      <c r="J466" s="151">
        <f t="shared" si="247"/>
        <v>0</v>
      </c>
      <c r="K466" s="117"/>
      <c r="L466" s="117">
        <f t="shared" si="248"/>
        <v>0</v>
      </c>
      <c r="M466" s="117"/>
      <c r="N466" s="117"/>
      <c r="O466" s="117"/>
      <c r="P466" s="117">
        <f t="shared" si="249"/>
        <v>0</v>
      </c>
      <c r="Q466" s="117">
        <v>262000000</v>
      </c>
      <c r="R466" s="117">
        <f t="shared" si="250"/>
        <v>261879042</v>
      </c>
      <c r="S466" s="117">
        <v>261879042</v>
      </c>
      <c r="T466" s="117"/>
      <c r="U466" s="117"/>
      <c r="V466" s="117">
        <f t="shared" si="251"/>
        <v>120958</v>
      </c>
      <c r="W466" s="117">
        <f t="shared" si="252"/>
        <v>261879042</v>
      </c>
      <c r="X466" s="117">
        <f t="shared" si="253"/>
        <v>0</v>
      </c>
      <c r="Y466" s="117">
        <f t="shared" si="254"/>
        <v>261879042</v>
      </c>
      <c r="Z466" s="204">
        <f t="shared" si="255"/>
        <v>0</v>
      </c>
    </row>
    <row r="467" spans="1:26">
      <c r="A467" s="152" t="s">
        <v>480</v>
      </c>
      <c r="B467" s="115" t="s">
        <v>1269</v>
      </c>
      <c r="C467" s="116" t="s">
        <v>457</v>
      </c>
      <c r="D467" s="116" t="s">
        <v>1270</v>
      </c>
      <c r="E467" s="117">
        <v>13500000000</v>
      </c>
      <c r="F467" s="117"/>
      <c r="G467" s="117"/>
      <c r="H467" s="117"/>
      <c r="I467" s="117"/>
      <c r="J467" s="151">
        <f t="shared" si="247"/>
        <v>0</v>
      </c>
      <c r="K467" s="117"/>
      <c r="L467" s="117">
        <f t="shared" si="248"/>
        <v>0</v>
      </c>
      <c r="M467" s="117"/>
      <c r="N467" s="117"/>
      <c r="O467" s="117"/>
      <c r="P467" s="117">
        <f t="shared" si="249"/>
        <v>0</v>
      </c>
      <c r="Q467" s="117">
        <v>85000000</v>
      </c>
      <c r="R467" s="117">
        <f t="shared" si="250"/>
        <v>77256000</v>
      </c>
      <c r="S467" s="117">
        <v>77256000</v>
      </c>
      <c r="T467" s="117"/>
      <c r="U467" s="117"/>
      <c r="V467" s="117">
        <f t="shared" si="251"/>
        <v>7744000</v>
      </c>
      <c r="W467" s="117">
        <f t="shared" si="252"/>
        <v>77256000</v>
      </c>
      <c r="X467" s="117">
        <f t="shared" si="253"/>
        <v>0</v>
      </c>
      <c r="Y467" s="117">
        <f t="shared" si="254"/>
        <v>77256000</v>
      </c>
      <c r="Z467" s="204">
        <f t="shared" si="255"/>
        <v>0</v>
      </c>
    </row>
    <row r="468" spans="1:26">
      <c r="A468" s="114" t="s">
        <v>483</v>
      </c>
      <c r="B468" s="115" t="s">
        <v>1271</v>
      </c>
      <c r="C468" s="116" t="s">
        <v>457</v>
      </c>
      <c r="D468" s="116" t="s">
        <v>1272</v>
      </c>
      <c r="E468" s="117">
        <v>42673000000</v>
      </c>
      <c r="F468" s="117"/>
      <c r="G468" s="117"/>
      <c r="H468" s="117"/>
      <c r="I468" s="117"/>
      <c r="J468" s="151">
        <f t="shared" si="247"/>
        <v>0</v>
      </c>
      <c r="K468" s="117"/>
      <c r="L468" s="117">
        <f t="shared" si="248"/>
        <v>0</v>
      </c>
      <c r="M468" s="117"/>
      <c r="N468" s="117"/>
      <c r="O468" s="117"/>
      <c r="P468" s="117">
        <f t="shared" si="249"/>
        <v>0</v>
      </c>
      <c r="Q468" s="117">
        <v>154000000</v>
      </c>
      <c r="R468" s="117">
        <f t="shared" si="250"/>
        <v>153626617</v>
      </c>
      <c r="S468" s="117">
        <v>153626617</v>
      </c>
      <c r="T468" s="117"/>
      <c r="U468" s="117"/>
      <c r="V468" s="117">
        <f t="shared" si="251"/>
        <v>373383</v>
      </c>
      <c r="W468" s="117">
        <f t="shared" si="252"/>
        <v>153626617</v>
      </c>
      <c r="X468" s="117">
        <f t="shared" si="253"/>
        <v>0</v>
      </c>
      <c r="Y468" s="117">
        <f t="shared" si="254"/>
        <v>153626617</v>
      </c>
      <c r="Z468" s="204">
        <f t="shared" si="255"/>
        <v>0</v>
      </c>
    </row>
    <row r="469" spans="1:26">
      <c r="A469" s="152" t="s">
        <v>486</v>
      </c>
      <c r="B469" s="115" t="s">
        <v>1273</v>
      </c>
      <c r="C469" s="116" t="s">
        <v>457</v>
      </c>
      <c r="D469" s="116" t="s">
        <v>1274</v>
      </c>
      <c r="E469" s="117">
        <v>40251000000</v>
      </c>
      <c r="F469" s="117"/>
      <c r="G469" s="117"/>
      <c r="H469" s="117"/>
      <c r="I469" s="117"/>
      <c r="J469" s="151">
        <f t="shared" si="247"/>
        <v>0</v>
      </c>
      <c r="K469" s="117"/>
      <c r="L469" s="117">
        <f t="shared" si="248"/>
        <v>0</v>
      </c>
      <c r="M469" s="117"/>
      <c r="N469" s="117"/>
      <c r="O469" s="117"/>
      <c r="P469" s="117">
        <f t="shared" si="249"/>
        <v>0</v>
      </c>
      <c r="Q469" s="117">
        <v>106000000</v>
      </c>
      <c r="R469" s="117">
        <f t="shared" si="250"/>
        <v>105215219</v>
      </c>
      <c r="S469" s="117">
        <v>105215219</v>
      </c>
      <c r="T469" s="117"/>
      <c r="U469" s="117"/>
      <c r="V469" s="117">
        <f t="shared" si="251"/>
        <v>784781</v>
      </c>
      <c r="W469" s="117">
        <f t="shared" si="252"/>
        <v>105215219</v>
      </c>
      <c r="X469" s="117">
        <f t="shared" si="253"/>
        <v>0</v>
      </c>
      <c r="Y469" s="117">
        <f t="shared" si="254"/>
        <v>105215219</v>
      </c>
      <c r="Z469" s="204">
        <f t="shared" si="255"/>
        <v>0</v>
      </c>
    </row>
    <row r="470" spans="1:26" ht="24">
      <c r="A470" s="114" t="s">
        <v>489</v>
      </c>
      <c r="B470" s="115" t="s">
        <v>1275</v>
      </c>
      <c r="C470" s="116" t="s">
        <v>457</v>
      </c>
      <c r="D470" s="116" t="s">
        <v>1276</v>
      </c>
      <c r="E470" s="117">
        <v>36248000000</v>
      </c>
      <c r="F470" s="117"/>
      <c r="G470" s="117"/>
      <c r="H470" s="117"/>
      <c r="I470" s="117"/>
      <c r="J470" s="151">
        <f t="shared" si="247"/>
        <v>0</v>
      </c>
      <c r="K470" s="117"/>
      <c r="L470" s="117">
        <f t="shared" si="248"/>
        <v>0</v>
      </c>
      <c r="M470" s="117"/>
      <c r="N470" s="117"/>
      <c r="O470" s="117"/>
      <c r="P470" s="117">
        <f t="shared" si="249"/>
        <v>0</v>
      </c>
      <c r="Q470" s="117">
        <v>435000000</v>
      </c>
      <c r="R470" s="117">
        <f t="shared" si="250"/>
        <v>424923000</v>
      </c>
      <c r="S470" s="117">
        <v>424923000</v>
      </c>
      <c r="T470" s="117"/>
      <c r="U470" s="117"/>
      <c r="V470" s="117">
        <f t="shared" si="251"/>
        <v>10077000</v>
      </c>
      <c r="W470" s="117">
        <f t="shared" si="252"/>
        <v>424923000</v>
      </c>
      <c r="X470" s="117">
        <f t="shared" si="253"/>
        <v>0</v>
      </c>
      <c r="Y470" s="117">
        <f t="shared" si="254"/>
        <v>424923000</v>
      </c>
      <c r="Z470" s="204">
        <f t="shared" si="255"/>
        <v>0</v>
      </c>
    </row>
    <row r="471" spans="1:26" ht="24">
      <c r="A471" s="152" t="s">
        <v>553</v>
      </c>
      <c r="B471" s="115" t="s">
        <v>1277</v>
      </c>
      <c r="C471" s="116" t="s">
        <v>457</v>
      </c>
      <c r="D471" s="116" t="s">
        <v>1278</v>
      </c>
      <c r="E471" s="117">
        <v>18631000000</v>
      </c>
      <c r="F471" s="117"/>
      <c r="G471" s="117"/>
      <c r="H471" s="117"/>
      <c r="I471" s="117"/>
      <c r="J471" s="151">
        <f t="shared" si="247"/>
        <v>0</v>
      </c>
      <c r="K471" s="117"/>
      <c r="L471" s="117">
        <f t="shared" si="248"/>
        <v>0</v>
      </c>
      <c r="M471" s="117"/>
      <c r="N471" s="117"/>
      <c r="O471" s="117"/>
      <c r="P471" s="117">
        <f t="shared" si="249"/>
        <v>0</v>
      </c>
      <c r="Q471" s="117">
        <v>308000000</v>
      </c>
      <c r="R471" s="117">
        <f t="shared" si="250"/>
        <v>307818676</v>
      </c>
      <c r="S471" s="117">
        <v>307818676</v>
      </c>
      <c r="T471" s="117"/>
      <c r="U471" s="117"/>
      <c r="V471" s="117">
        <f t="shared" si="251"/>
        <v>181324</v>
      </c>
      <c r="W471" s="117">
        <f t="shared" si="252"/>
        <v>307818676</v>
      </c>
      <c r="X471" s="117">
        <f t="shared" si="253"/>
        <v>0</v>
      </c>
      <c r="Y471" s="117">
        <f t="shared" si="254"/>
        <v>307818676</v>
      </c>
      <c r="Z471" s="204">
        <f t="shared" si="255"/>
        <v>0</v>
      </c>
    </row>
    <row r="472" spans="1:26">
      <c r="A472" s="114" t="s">
        <v>556</v>
      </c>
      <c r="B472" s="115" t="s">
        <v>1279</v>
      </c>
      <c r="C472" s="116" t="s">
        <v>457</v>
      </c>
      <c r="D472" s="116" t="s">
        <v>1280</v>
      </c>
      <c r="E472" s="117">
        <v>11884000000</v>
      </c>
      <c r="F472" s="117"/>
      <c r="G472" s="117"/>
      <c r="H472" s="117"/>
      <c r="I472" s="117"/>
      <c r="J472" s="151">
        <f t="shared" si="247"/>
        <v>0</v>
      </c>
      <c r="K472" s="117"/>
      <c r="L472" s="117">
        <f t="shared" si="248"/>
        <v>0</v>
      </c>
      <c r="M472" s="117"/>
      <c r="N472" s="117"/>
      <c r="O472" s="117"/>
      <c r="P472" s="117">
        <f t="shared" si="249"/>
        <v>0</v>
      </c>
      <c r="Q472" s="117">
        <v>49000000</v>
      </c>
      <c r="R472" s="117">
        <f t="shared" si="250"/>
        <v>48709714</v>
      </c>
      <c r="S472" s="117">
        <v>48709714</v>
      </c>
      <c r="T472" s="117"/>
      <c r="U472" s="117"/>
      <c r="V472" s="117">
        <f t="shared" si="251"/>
        <v>290286</v>
      </c>
      <c r="W472" s="117">
        <f t="shared" si="252"/>
        <v>48709714</v>
      </c>
      <c r="X472" s="117">
        <f t="shared" si="253"/>
        <v>0</v>
      </c>
      <c r="Y472" s="117">
        <f t="shared" si="254"/>
        <v>48709714</v>
      </c>
      <c r="Z472" s="204">
        <f t="shared" si="255"/>
        <v>0</v>
      </c>
    </row>
    <row r="473" spans="1:26" ht="24">
      <c r="A473" s="152" t="s">
        <v>559</v>
      </c>
      <c r="B473" s="115" t="s">
        <v>1281</v>
      </c>
      <c r="C473" s="116" t="s">
        <v>457</v>
      </c>
      <c r="D473" s="116" t="s">
        <v>1282</v>
      </c>
      <c r="E473" s="117">
        <v>11455000000</v>
      </c>
      <c r="F473" s="117"/>
      <c r="G473" s="117"/>
      <c r="H473" s="117"/>
      <c r="I473" s="117"/>
      <c r="J473" s="151">
        <f t="shared" si="247"/>
        <v>0</v>
      </c>
      <c r="K473" s="117"/>
      <c r="L473" s="117">
        <f t="shared" si="248"/>
        <v>0</v>
      </c>
      <c r="M473" s="117"/>
      <c r="N473" s="117"/>
      <c r="O473" s="117"/>
      <c r="P473" s="117">
        <f t="shared" si="249"/>
        <v>0</v>
      </c>
      <c r="Q473" s="117">
        <v>223000000</v>
      </c>
      <c r="R473" s="117">
        <f t="shared" si="250"/>
        <v>222472000</v>
      </c>
      <c r="S473" s="117">
        <v>222472000</v>
      </c>
      <c r="T473" s="117"/>
      <c r="U473" s="117"/>
      <c r="V473" s="117">
        <f t="shared" si="251"/>
        <v>528000</v>
      </c>
      <c r="W473" s="117">
        <f t="shared" si="252"/>
        <v>222472000</v>
      </c>
      <c r="X473" s="117">
        <f t="shared" si="253"/>
        <v>0</v>
      </c>
      <c r="Y473" s="117">
        <f t="shared" si="254"/>
        <v>222472000</v>
      </c>
      <c r="Z473" s="204">
        <f t="shared" si="255"/>
        <v>0</v>
      </c>
    </row>
    <row r="474" spans="1:26">
      <c r="A474" s="114" t="s">
        <v>562</v>
      </c>
      <c r="B474" s="115" t="s">
        <v>1283</v>
      </c>
      <c r="C474" s="116" t="s">
        <v>457</v>
      </c>
      <c r="D474" s="116" t="s">
        <v>1284</v>
      </c>
      <c r="E474" s="117">
        <v>8240000000</v>
      </c>
      <c r="F474" s="117">
        <v>24574784</v>
      </c>
      <c r="G474" s="117"/>
      <c r="H474" s="117"/>
      <c r="I474" s="117"/>
      <c r="J474" s="151">
        <f t="shared" si="247"/>
        <v>0</v>
      </c>
      <c r="K474" s="117"/>
      <c r="L474" s="117">
        <f t="shared" si="248"/>
        <v>0</v>
      </c>
      <c r="M474" s="117"/>
      <c r="N474" s="117"/>
      <c r="O474" s="117"/>
      <c r="P474" s="117">
        <f t="shared" si="249"/>
        <v>0</v>
      </c>
      <c r="Q474" s="117">
        <v>13000000</v>
      </c>
      <c r="R474" s="117">
        <f t="shared" si="250"/>
        <v>12728000</v>
      </c>
      <c r="S474" s="117">
        <v>12728000</v>
      </c>
      <c r="T474" s="117"/>
      <c r="U474" s="117"/>
      <c r="V474" s="117">
        <f t="shared" si="251"/>
        <v>272000</v>
      </c>
      <c r="W474" s="117">
        <f t="shared" si="252"/>
        <v>12728000</v>
      </c>
      <c r="X474" s="117">
        <f t="shared" si="253"/>
        <v>0</v>
      </c>
      <c r="Y474" s="117">
        <f t="shared" si="254"/>
        <v>37302784</v>
      </c>
      <c r="Z474" s="204">
        <f t="shared" si="255"/>
        <v>0</v>
      </c>
    </row>
    <row r="475" spans="1:26">
      <c r="A475" s="152" t="s">
        <v>565</v>
      </c>
      <c r="B475" s="115" t="s">
        <v>1285</v>
      </c>
      <c r="C475" s="116" t="s">
        <v>457</v>
      </c>
      <c r="D475" s="116" t="s">
        <v>1286</v>
      </c>
      <c r="E475" s="117">
        <v>3208000000</v>
      </c>
      <c r="F475" s="117"/>
      <c r="G475" s="117"/>
      <c r="H475" s="117"/>
      <c r="I475" s="117"/>
      <c r="J475" s="151">
        <f t="shared" si="247"/>
        <v>0</v>
      </c>
      <c r="K475" s="117"/>
      <c r="L475" s="117">
        <f t="shared" si="248"/>
        <v>0</v>
      </c>
      <c r="M475" s="117"/>
      <c r="N475" s="117"/>
      <c r="O475" s="117"/>
      <c r="P475" s="117">
        <f t="shared" si="249"/>
        <v>0</v>
      </c>
      <c r="Q475" s="117">
        <v>56000000</v>
      </c>
      <c r="R475" s="117">
        <f t="shared" si="250"/>
        <v>55558562</v>
      </c>
      <c r="S475" s="117">
        <v>55558562</v>
      </c>
      <c r="T475" s="117"/>
      <c r="U475" s="117"/>
      <c r="V475" s="117">
        <f t="shared" si="251"/>
        <v>441438</v>
      </c>
      <c r="W475" s="117">
        <f t="shared" si="252"/>
        <v>55558562</v>
      </c>
      <c r="X475" s="117">
        <f t="shared" si="253"/>
        <v>0</v>
      </c>
      <c r="Y475" s="117">
        <f t="shared" si="254"/>
        <v>55558562</v>
      </c>
      <c r="Z475" s="204">
        <f t="shared" si="255"/>
        <v>0</v>
      </c>
    </row>
    <row r="476" spans="1:26">
      <c r="A476" s="114" t="s">
        <v>568</v>
      </c>
      <c r="B476" s="115" t="s">
        <v>1287</v>
      </c>
      <c r="C476" s="116" t="s">
        <v>457</v>
      </c>
      <c r="D476" s="116" t="s">
        <v>1288</v>
      </c>
      <c r="E476" s="117">
        <v>82013000000</v>
      </c>
      <c r="F476" s="117"/>
      <c r="G476" s="117"/>
      <c r="H476" s="117"/>
      <c r="I476" s="117"/>
      <c r="J476" s="151">
        <f t="shared" si="247"/>
        <v>0</v>
      </c>
      <c r="K476" s="117"/>
      <c r="L476" s="117">
        <f t="shared" si="248"/>
        <v>0</v>
      </c>
      <c r="M476" s="117"/>
      <c r="N476" s="117"/>
      <c r="O476" s="117"/>
      <c r="P476" s="117">
        <f t="shared" si="249"/>
        <v>0</v>
      </c>
      <c r="Q476" s="117">
        <v>8000000</v>
      </c>
      <c r="R476" s="117">
        <f t="shared" si="250"/>
        <v>7040000</v>
      </c>
      <c r="S476" s="117">
        <v>7040000</v>
      </c>
      <c r="T476" s="117"/>
      <c r="U476" s="117"/>
      <c r="V476" s="117">
        <f t="shared" si="251"/>
        <v>960000</v>
      </c>
      <c r="W476" s="117">
        <f t="shared" si="252"/>
        <v>7040000</v>
      </c>
      <c r="X476" s="117">
        <f t="shared" si="253"/>
        <v>0</v>
      </c>
      <c r="Y476" s="117">
        <f t="shared" si="254"/>
        <v>7040000</v>
      </c>
      <c r="Z476" s="204">
        <f t="shared" si="255"/>
        <v>0</v>
      </c>
    </row>
    <row r="477" spans="1:26">
      <c r="A477" s="152" t="s">
        <v>571</v>
      </c>
      <c r="B477" s="115" t="s">
        <v>1289</v>
      </c>
      <c r="C477" s="116" t="s">
        <v>457</v>
      </c>
      <c r="D477" s="116" t="s">
        <v>1290</v>
      </c>
      <c r="E477" s="117">
        <v>19885000000</v>
      </c>
      <c r="F477" s="117"/>
      <c r="G477" s="117"/>
      <c r="H477" s="117"/>
      <c r="I477" s="117"/>
      <c r="J477" s="151">
        <f t="shared" si="247"/>
        <v>0</v>
      </c>
      <c r="K477" s="117"/>
      <c r="L477" s="117">
        <f t="shared" si="248"/>
        <v>0</v>
      </c>
      <c r="M477" s="117"/>
      <c r="N477" s="117"/>
      <c r="O477" s="117"/>
      <c r="P477" s="117">
        <f t="shared" si="249"/>
        <v>0</v>
      </c>
      <c r="Q477" s="117">
        <v>59000000</v>
      </c>
      <c r="R477" s="117">
        <f t="shared" si="250"/>
        <v>58247293</v>
      </c>
      <c r="S477" s="117">
        <v>58247293</v>
      </c>
      <c r="T477" s="117"/>
      <c r="U477" s="117"/>
      <c r="V477" s="117">
        <f t="shared" si="251"/>
        <v>752707</v>
      </c>
      <c r="W477" s="117">
        <f t="shared" si="252"/>
        <v>58247293</v>
      </c>
      <c r="X477" s="117">
        <f t="shared" si="253"/>
        <v>0</v>
      </c>
      <c r="Y477" s="117">
        <f t="shared" si="254"/>
        <v>58247293</v>
      </c>
      <c r="Z477" s="204">
        <f t="shared" si="255"/>
        <v>0</v>
      </c>
    </row>
    <row r="478" spans="1:26" ht="24">
      <c r="A478" s="114" t="s">
        <v>574</v>
      </c>
      <c r="B478" s="115" t="s">
        <v>1291</v>
      </c>
      <c r="C478" s="116" t="s">
        <v>457</v>
      </c>
      <c r="D478" s="116" t="s">
        <v>1292</v>
      </c>
      <c r="E478" s="117">
        <v>20733000000</v>
      </c>
      <c r="F478" s="117"/>
      <c r="G478" s="117"/>
      <c r="H478" s="117"/>
      <c r="I478" s="117"/>
      <c r="J478" s="151">
        <f t="shared" si="247"/>
        <v>0</v>
      </c>
      <c r="K478" s="117"/>
      <c r="L478" s="117">
        <f t="shared" si="248"/>
        <v>0</v>
      </c>
      <c r="M478" s="117"/>
      <c r="N478" s="117"/>
      <c r="O478" s="117"/>
      <c r="P478" s="117">
        <f t="shared" si="249"/>
        <v>0</v>
      </c>
      <c r="Q478" s="117">
        <v>349000000</v>
      </c>
      <c r="R478" s="117">
        <f t="shared" si="250"/>
        <v>348114756</v>
      </c>
      <c r="S478" s="117">
        <v>348114756</v>
      </c>
      <c r="T478" s="117"/>
      <c r="U478" s="117"/>
      <c r="V478" s="117">
        <f t="shared" si="251"/>
        <v>885244</v>
      </c>
      <c r="W478" s="117">
        <f t="shared" si="252"/>
        <v>348114756</v>
      </c>
      <c r="X478" s="117">
        <f t="shared" si="253"/>
        <v>0</v>
      </c>
      <c r="Y478" s="117">
        <f t="shared" si="254"/>
        <v>348114756</v>
      </c>
      <c r="Z478" s="204">
        <f t="shared" si="255"/>
        <v>0</v>
      </c>
    </row>
    <row r="479" spans="1:26">
      <c r="A479" s="152" t="s">
        <v>577</v>
      </c>
      <c r="B479" s="115" t="s">
        <v>1293</v>
      </c>
      <c r="C479" s="116" t="s">
        <v>457</v>
      </c>
      <c r="D479" s="116" t="s">
        <v>1294</v>
      </c>
      <c r="E479" s="117">
        <v>31182000000</v>
      </c>
      <c r="F479" s="117"/>
      <c r="G479" s="117"/>
      <c r="H479" s="117"/>
      <c r="I479" s="117"/>
      <c r="J479" s="151">
        <f t="shared" si="247"/>
        <v>0</v>
      </c>
      <c r="K479" s="117"/>
      <c r="L479" s="117">
        <f t="shared" si="248"/>
        <v>0</v>
      </c>
      <c r="M479" s="117"/>
      <c r="N479" s="117"/>
      <c r="O479" s="117"/>
      <c r="P479" s="117">
        <f t="shared" si="249"/>
        <v>0</v>
      </c>
      <c r="Q479" s="117">
        <v>7000000</v>
      </c>
      <c r="R479" s="117">
        <f t="shared" si="250"/>
        <v>6164000</v>
      </c>
      <c r="S479" s="117">
        <v>6164000</v>
      </c>
      <c r="T479" s="117"/>
      <c r="U479" s="117"/>
      <c r="V479" s="117">
        <f t="shared" si="251"/>
        <v>836000</v>
      </c>
      <c r="W479" s="117">
        <f t="shared" si="252"/>
        <v>6164000</v>
      </c>
      <c r="X479" s="117">
        <f t="shared" si="253"/>
        <v>0</v>
      </c>
      <c r="Y479" s="117">
        <f t="shared" si="254"/>
        <v>6164000</v>
      </c>
      <c r="Z479" s="204">
        <f t="shared" si="255"/>
        <v>0</v>
      </c>
    </row>
    <row r="480" spans="1:26">
      <c r="A480" s="114" t="s">
        <v>656</v>
      </c>
      <c r="B480" s="115" t="s">
        <v>1109</v>
      </c>
      <c r="C480" s="116" t="s">
        <v>457</v>
      </c>
      <c r="D480" s="116" t="s">
        <v>1110</v>
      </c>
      <c r="E480" s="117">
        <v>19026000000</v>
      </c>
      <c r="F480" s="117"/>
      <c r="G480" s="117"/>
      <c r="H480" s="117"/>
      <c r="I480" s="117"/>
      <c r="J480" s="151">
        <f t="shared" si="247"/>
        <v>0</v>
      </c>
      <c r="K480" s="117"/>
      <c r="L480" s="117">
        <f t="shared" si="248"/>
        <v>0</v>
      </c>
      <c r="M480" s="117"/>
      <c r="N480" s="117"/>
      <c r="O480" s="117"/>
      <c r="P480" s="117">
        <f t="shared" si="249"/>
        <v>0</v>
      </c>
      <c r="Q480" s="117">
        <v>1942000000</v>
      </c>
      <c r="R480" s="117">
        <f t="shared" si="250"/>
        <v>1942000000</v>
      </c>
      <c r="S480" s="117">
        <v>1942000000</v>
      </c>
      <c r="T480" s="117"/>
      <c r="U480" s="117"/>
      <c r="V480" s="117">
        <f t="shared" si="251"/>
        <v>0</v>
      </c>
      <c r="W480" s="117">
        <f t="shared" si="252"/>
        <v>1942000000</v>
      </c>
      <c r="X480" s="117">
        <f t="shared" si="253"/>
        <v>0</v>
      </c>
      <c r="Y480" s="117">
        <f t="shared" si="254"/>
        <v>1942000000</v>
      </c>
      <c r="Z480" s="204">
        <f t="shared" si="255"/>
        <v>0</v>
      </c>
    </row>
    <row r="481" spans="1:26" ht="24">
      <c r="A481" s="152" t="s">
        <v>659</v>
      </c>
      <c r="B481" s="115" t="s">
        <v>1295</v>
      </c>
      <c r="C481" s="116" t="s">
        <v>457</v>
      </c>
      <c r="D481" s="116" t="s">
        <v>1296</v>
      </c>
      <c r="E481" s="117">
        <v>6670000000</v>
      </c>
      <c r="F481" s="117"/>
      <c r="G481" s="117"/>
      <c r="H481" s="117"/>
      <c r="I481" s="117"/>
      <c r="J481" s="151">
        <f t="shared" si="247"/>
        <v>0</v>
      </c>
      <c r="K481" s="117"/>
      <c r="L481" s="117">
        <f t="shared" si="248"/>
        <v>0</v>
      </c>
      <c r="M481" s="117"/>
      <c r="N481" s="117"/>
      <c r="O481" s="117"/>
      <c r="P481" s="117">
        <f t="shared" si="249"/>
        <v>0</v>
      </c>
      <c r="Q481" s="117">
        <v>2900000000</v>
      </c>
      <c r="R481" s="117">
        <f t="shared" si="250"/>
        <v>2637708743</v>
      </c>
      <c r="S481" s="117">
        <v>2637708743</v>
      </c>
      <c r="T481" s="117"/>
      <c r="U481" s="117"/>
      <c r="V481" s="117">
        <f t="shared" si="251"/>
        <v>262291257</v>
      </c>
      <c r="W481" s="117">
        <f t="shared" si="252"/>
        <v>2637708743</v>
      </c>
      <c r="X481" s="117">
        <f t="shared" si="253"/>
        <v>0</v>
      </c>
      <c r="Y481" s="117">
        <f t="shared" si="254"/>
        <v>2637708743</v>
      </c>
      <c r="Z481" s="204">
        <f t="shared" si="255"/>
        <v>0</v>
      </c>
    </row>
    <row r="482" spans="1:26">
      <c r="A482" s="114" t="s">
        <v>662</v>
      </c>
      <c r="B482" s="115" t="s">
        <v>1297</v>
      </c>
      <c r="C482" s="116" t="s">
        <v>457</v>
      </c>
      <c r="D482" s="116" t="s">
        <v>1298</v>
      </c>
      <c r="E482" s="117">
        <v>3853000000</v>
      </c>
      <c r="F482" s="117">
        <v>107397000</v>
      </c>
      <c r="G482" s="117"/>
      <c r="H482" s="117"/>
      <c r="I482" s="117"/>
      <c r="J482" s="151">
        <f t="shared" si="247"/>
        <v>0</v>
      </c>
      <c r="K482" s="117"/>
      <c r="L482" s="117">
        <f t="shared" si="248"/>
        <v>0</v>
      </c>
      <c r="M482" s="117"/>
      <c r="N482" s="117"/>
      <c r="O482" s="117"/>
      <c r="P482" s="117">
        <f t="shared" si="249"/>
        <v>0</v>
      </c>
      <c r="Q482" s="117">
        <v>532000000</v>
      </c>
      <c r="R482" s="117">
        <f t="shared" si="250"/>
        <v>531495000</v>
      </c>
      <c r="S482" s="117">
        <v>531495000</v>
      </c>
      <c r="T482" s="117"/>
      <c r="U482" s="117"/>
      <c r="V482" s="117">
        <f t="shared" si="251"/>
        <v>505000</v>
      </c>
      <c r="W482" s="117">
        <f t="shared" si="252"/>
        <v>531495000</v>
      </c>
      <c r="X482" s="117">
        <f t="shared" si="253"/>
        <v>0</v>
      </c>
      <c r="Y482" s="117">
        <f t="shared" si="254"/>
        <v>638892000</v>
      </c>
      <c r="Z482" s="204">
        <f t="shared" si="255"/>
        <v>0</v>
      </c>
    </row>
    <row r="483" spans="1:26">
      <c r="A483" s="152" t="s">
        <v>665</v>
      </c>
      <c r="B483" s="115" t="s">
        <v>1299</v>
      </c>
      <c r="C483" s="116" t="s">
        <v>457</v>
      </c>
      <c r="D483" s="116" t="s">
        <v>1300</v>
      </c>
      <c r="E483" s="117">
        <v>10950000000</v>
      </c>
      <c r="F483" s="117">
        <v>3661530000</v>
      </c>
      <c r="G483" s="117"/>
      <c r="H483" s="117"/>
      <c r="I483" s="117"/>
      <c r="J483" s="151">
        <f t="shared" si="247"/>
        <v>0</v>
      </c>
      <c r="K483" s="117"/>
      <c r="L483" s="117">
        <f t="shared" si="248"/>
        <v>0</v>
      </c>
      <c r="M483" s="117"/>
      <c r="N483" s="117"/>
      <c r="O483" s="117"/>
      <c r="P483" s="117">
        <f t="shared" si="249"/>
        <v>0</v>
      </c>
      <c r="Q483" s="117">
        <v>28000000</v>
      </c>
      <c r="R483" s="117">
        <f t="shared" si="250"/>
        <v>27776000</v>
      </c>
      <c r="S483" s="117">
        <v>27776000</v>
      </c>
      <c r="T483" s="117"/>
      <c r="U483" s="117"/>
      <c r="V483" s="117">
        <f t="shared" si="251"/>
        <v>224000</v>
      </c>
      <c r="W483" s="117">
        <f t="shared" si="252"/>
        <v>27776000</v>
      </c>
      <c r="X483" s="117">
        <f t="shared" si="253"/>
        <v>0</v>
      </c>
      <c r="Y483" s="117">
        <f t="shared" si="254"/>
        <v>3689306000</v>
      </c>
      <c r="Z483" s="204">
        <f t="shared" si="255"/>
        <v>0</v>
      </c>
    </row>
    <row r="484" spans="1:26">
      <c r="A484" s="114" t="s">
        <v>668</v>
      </c>
      <c r="B484" s="115" t="s">
        <v>1183</v>
      </c>
      <c r="C484" s="116" t="s">
        <v>457</v>
      </c>
      <c r="D484" s="116" t="s">
        <v>1184</v>
      </c>
      <c r="E484" s="117">
        <v>13565000000</v>
      </c>
      <c r="F484" s="117"/>
      <c r="G484" s="117"/>
      <c r="H484" s="117"/>
      <c r="I484" s="117"/>
      <c r="J484" s="151">
        <f t="shared" si="247"/>
        <v>0</v>
      </c>
      <c r="K484" s="117"/>
      <c r="L484" s="117">
        <f t="shared" si="248"/>
        <v>0</v>
      </c>
      <c r="M484" s="117"/>
      <c r="N484" s="117"/>
      <c r="O484" s="117"/>
      <c r="P484" s="117">
        <f t="shared" si="249"/>
        <v>0</v>
      </c>
      <c r="Q484" s="117">
        <v>62000000</v>
      </c>
      <c r="R484" s="117">
        <f t="shared" si="250"/>
        <v>0</v>
      </c>
      <c r="S484" s="117"/>
      <c r="T484" s="117"/>
      <c r="U484" s="117"/>
      <c r="V484" s="117">
        <f t="shared" si="251"/>
        <v>62000000</v>
      </c>
      <c r="W484" s="117">
        <f t="shared" si="252"/>
        <v>0</v>
      </c>
      <c r="X484" s="117">
        <f t="shared" si="253"/>
        <v>0</v>
      </c>
      <c r="Y484" s="117">
        <f t="shared" si="254"/>
        <v>0</v>
      </c>
      <c r="Z484" s="204">
        <f t="shared" si="255"/>
        <v>0</v>
      </c>
    </row>
    <row r="485" spans="1:26">
      <c r="A485" s="152" t="s">
        <v>671</v>
      </c>
      <c r="B485" s="115" t="s">
        <v>1301</v>
      </c>
      <c r="C485" s="116" t="s">
        <v>457</v>
      </c>
      <c r="D485" s="116" t="s">
        <v>1302</v>
      </c>
      <c r="E485" s="117">
        <v>3094000000</v>
      </c>
      <c r="F485" s="117"/>
      <c r="G485" s="117"/>
      <c r="H485" s="117"/>
      <c r="I485" s="117"/>
      <c r="J485" s="151">
        <f t="shared" si="247"/>
        <v>0</v>
      </c>
      <c r="K485" s="117"/>
      <c r="L485" s="117">
        <f t="shared" si="248"/>
        <v>0</v>
      </c>
      <c r="M485" s="117"/>
      <c r="N485" s="117"/>
      <c r="O485" s="117"/>
      <c r="P485" s="117">
        <f t="shared" si="249"/>
        <v>0</v>
      </c>
      <c r="Q485" s="117">
        <v>26000000</v>
      </c>
      <c r="R485" s="117">
        <f t="shared" si="250"/>
        <v>25207377</v>
      </c>
      <c r="S485" s="117">
        <v>25207377</v>
      </c>
      <c r="T485" s="117"/>
      <c r="U485" s="117"/>
      <c r="V485" s="117">
        <f t="shared" si="251"/>
        <v>792623</v>
      </c>
      <c r="W485" s="117">
        <f t="shared" si="252"/>
        <v>25207377</v>
      </c>
      <c r="X485" s="117">
        <f t="shared" si="253"/>
        <v>0</v>
      </c>
      <c r="Y485" s="117">
        <f t="shared" si="254"/>
        <v>25207377</v>
      </c>
      <c r="Z485" s="204">
        <f t="shared" si="255"/>
        <v>0</v>
      </c>
    </row>
    <row r="486" spans="1:26">
      <c r="A486" s="114" t="s">
        <v>674</v>
      </c>
      <c r="B486" s="115" t="s">
        <v>1303</v>
      </c>
      <c r="C486" s="116" t="s">
        <v>457</v>
      </c>
      <c r="D486" s="116" t="s">
        <v>1304</v>
      </c>
      <c r="E486" s="117">
        <v>7313000000</v>
      </c>
      <c r="F486" s="117">
        <v>4582000000</v>
      </c>
      <c r="G486" s="117"/>
      <c r="H486" s="117"/>
      <c r="I486" s="117"/>
      <c r="J486" s="151">
        <f t="shared" si="247"/>
        <v>0</v>
      </c>
      <c r="K486" s="117"/>
      <c r="L486" s="117">
        <f t="shared" si="248"/>
        <v>0</v>
      </c>
      <c r="M486" s="117"/>
      <c r="N486" s="117"/>
      <c r="O486" s="117"/>
      <c r="P486" s="117">
        <f t="shared" si="249"/>
        <v>0</v>
      </c>
      <c r="Q486" s="117">
        <v>549000000</v>
      </c>
      <c r="R486" s="117">
        <f t="shared" si="250"/>
        <v>548212000</v>
      </c>
      <c r="S486" s="117">
        <v>548212000</v>
      </c>
      <c r="T486" s="117"/>
      <c r="U486" s="117"/>
      <c r="V486" s="117">
        <f t="shared" si="251"/>
        <v>788000</v>
      </c>
      <c r="W486" s="117">
        <f t="shared" si="252"/>
        <v>548212000</v>
      </c>
      <c r="X486" s="117">
        <f t="shared" si="253"/>
        <v>0</v>
      </c>
      <c r="Y486" s="117">
        <f t="shared" si="254"/>
        <v>5130212000</v>
      </c>
      <c r="Z486" s="204">
        <f t="shared" si="255"/>
        <v>0</v>
      </c>
    </row>
    <row r="487" spans="1:26" ht="24">
      <c r="A487" s="152" t="s">
        <v>749</v>
      </c>
      <c r="B487" s="115" t="s">
        <v>1305</v>
      </c>
      <c r="C487" s="116" t="s">
        <v>457</v>
      </c>
      <c r="D487" s="116" t="s">
        <v>1306</v>
      </c>
      <c r="E487" s="117">
        <v>5257000000</v>
      </c>
      <c r="F487" s="117"/>
      <c r="G487" s="117"/>
      <c r="H487" s="117"/>
      <c r="I487" s="117"/>
      <c r="J487" s="151">
        <f t="shared" si="247"/>
        <v>0</v>
      </c>
      <c r="K487" s="117"/>
      <c r="L487" s="117">
        <f t="shared" si="248"/>
        <v>0</v>
      </c>
      <c r="M487" s="117"/>
      <c r="N487" s="117"/>
      <c r="O487" s="117"/>
      <c r="P487" s="117">
        <f t="shared" si="249"/>
        <v>0</v>
      </c>
      <c r="Q487" s="117">
        <v>61000000</v>
      </c>
      <c r="R487" s="117">
        <f t="shared" si="250"/>
        <v>60868800</v>
      </c>
      <c r="S487" s="117">
        <v>60868800</v>
      </c>
      <c r="T487" s="117"/>
      <c r="U487" s="117"/>
      <c r="V487" s="117">
        <f t="shared" si="251"/>
        <v>131200</v>
      </c>
      <c r="W487" s="117">
        <f t="shared" si="252"/>
        <v>60868800</v>
      </c>
      <c r="X487" s="117">
        <f t="shared" si="253"/>
        <v>0</v>
      </c>
      <c r="Y487" s="117">
        <f t="shared" si="254"/>
        <v>60868800</v>
      </c>
      <c r="Z487" s="204">
        <f t="shared" si="255"/>
        <v>0</v>
      </c>
    </row>
    <row r="488" spans="1:26">
      <c r="A488" s="114" t="s">
        <v>752</v>
      </c>
      <c r="B488" s="115" t="s">
        <v>1307</v>
      </c>
      <c r="C488" s="116" t="s">
        <v>457</v>
      </c>
      <c r="D488" s="116" t="s">
        <v>1308</v>
      </c>
      <c r="E488" s="117">
        <v>4674000000</v>
      </c>
      <c r="F488" s="117"/>
      <c r="G488" s="117"/>
      <c r="H488" s="117"/>
      <c r="I488" s="117"/>
      <c r="J488" s="151">
        <f t="shared" si="247"/>
        <v>0</v>
      </c>
      <c r="K488" s="117"/>
      <c r="L488" s="117">
        <f t="shared" si="248"/>
        <v>0</v>
      </c>
      <c r="M488" s="117"/>
      <c r="N488" s="117"/>
      <c r="O488" s="117"/>
      <c r="P488" s="117">
        <f t="shared" si="249"/>
        <v>0</v>
      </c>
      <c r="Q488" s="117">
        <v>49000000</v>
      </c>
      <c r="R488" s="117">
        <f t="shared" si="250"/>
        <v>48935000</v>
      </c>
      <c r="S488" s="117">
        <v>48935000</v>
      </c>
      <c r="T488" s="117"/>
      <c r="U488" s="117"/>
      <c r="V488" s="117">
        <f t="shared" si="251"/>
        <v>65000</v>
      </c>
      <c r="W488" s="117">
        <f t="shared" si="252"/>
        <v>48935000</v>
      </c>
      <c r="X488" s="117">
        <f t="shared" si="253"/>
        <v>0</v>
      </c>
      <c r="Y488" s="117">
        <f t="shared" si="254"/>
        <v>48935000</v>
      </c>
      <c r="Z488" s="204">
        <f t="shared" si="255"/>
        <v>0</v>
      </c>
    </row>
    <row r="489" spans="1:26" ht="24">
      <c r="A489" s="152" t="s">
        <v>755</v>
      </c>
      <c r="B489" s="115" t="s">
        <v>1309</v>
      </c>
      <c r="C489" s="116" t="s">
        <v>457</v>
      </c>
      <c r="D489" s="116" t="s">
        <v>1310</v>
      </c>
      <c r="E489" s="117">
        <v>670000000</v>
      </c>
      <c r="F489" s="117"/>
      <c r="G489" s="117"/>
      <c r="H489" s="117"/>
      <c r="I489" s="117"/>
      <c r="J489" s="151">
        <f t="shared" si="247"/>
        <v>0</v>
      </c>
      <c r="K489" s="117"/>
      <c r="L489" s="117">
        <f t="shared" si="248"/>
        <v>0</v>
      </c>
      <c r="M489" s="117"/>
      <c r="N489" s="117"/>
      <c r="O489" s="117"/>
      <c r="P489" s="117">
        <f t="shared" si="249"/>
        <v>0</v>
      </c>
      <c r="Q489" s="117">
        <v>4000000</v>
      </c>
      <c r="R489" s="117">
        <f t="shared" si="250"/>
        <v>3471000</v>
      </c>
      <c r="S489" s="117">
        <v>3471000</v>
      </c>
      <c r="T489" s="117"/>
      <c r="U489" s="117"/>
      <c r="V489" s="117">
        <f t="shared" si="251"/>
        <v>529000</v>
      </c>
      <c r="W489" s="117">
        <f t="shared" si="252"/>
        <v>3471000</v>
      </c>
      <c r="X489" s="117">
        <f t="shared" si="253"/>
        <v>0</v>
      </c>
      <c r="Y489" s="117">
        <f t="shared" si="254"/>
        <v>3471000</v>
      </c>
      <c r="Z489" s="204">
        <f t="shared" si="255"/>
        <v>0</v>
      </c>
    </row>
    <row r="490" spans="1:26">
      <c r="A490" s="114" t="s">
        <v>758</v>
      </c>
      <c r="B490" s="115" t="s">
        <v>611</v>
      </c>
      <c r="C490" s="116"/>
      <c r="D490" s="116"/>
      <c r="E490" s="117"/>
      <c r="F490" s="117"/>
      <c r="G490" s="117"/>
      <c r="H490" s="117"/>
      <c r="I490" s="117"/>
      <c r="J490" s="151"/>
      <c r="K490" s="117"/>
      <c r="L490" s="117"/>
      <c r="M490" s="117"/>
      <c r="N490" s="117"/>
      <c r="O490" s="117"/>
      <c r="P490" s="117"/>
      <c r="Q490" s="117">
        <v>447000000</v>
      </c>
      <c r="R490" s="117"/>
      <c r="S490" s="117"/>
      <c r="T490" s="117"/>
      <c r="U490" s="117"/>
      <c r="V490" s="117"/>
      <c r="W490" s="117"/>
      <c r="X490" s="117"/>
      <c r="Y490" s="117"/>
      <c r="Z490" s="204">
        <f t="shared" si="255"/>
        <v>0</v>
      </c>
    </row>
    <row r="491" spans="1:26" s="139" customFormat="1">
      <c r="A491" s="135" t="s">
        <v>339</v>
      </c>
      <c r="B491" s="136" t="s">
        <v>1311</v>
      </c>
      <c r="C491" s="137"/>
      <c r="D491" s="138">
        <f t="shared" ref="D491:P491" si="256">SUM(D492:D496)</f>
        <v>0</v>
      </c>
      <c r="E491" s="138">
        <f t="shared" si="256"/>
        <v>83375840447</v>
      </c>
      <c r="F491" s="138">
        <f t="shared" si="256"/>
        <v>4383834000</v>
      </c>
      <c r="G491" s="138">
        <f t="shared" si="256"/>
        <v>1091834000</v>
      </c>
      <c r="H491" s="138">
        <f t="shared" si="256"/>
        <v>0</v>
      </c>
      <c r="I491" s="138">
        <f t="shared" si="256"/>
        <v>1091834000</v>
      </c>
      <c r="J491" s="138">
        <f t="shared" si="256"/>
        <v>0</v>
      </c>
      <c r="K491" s="138">
        <f t="shared" si="256"/>
        <v>0</v>
      </c>
      <c r="L491" s="138">
        <f t="shared" si="256"/>
        <v>0</v>
      </c>
      <c r="M491" s="138">
        <f t="shared" si="256"/>
        <v>0</v>
      </c>
      <c r="N491" s="138">
        <f t="shared" si="256"/>
        <v>0</v>
      </c>
      <c r="O491" s="138">
        <f t="shared" si="256"/>
        <v>0</v>
      </c>
      <c r="P491" s="138">
        <f t="shared" si="256"/>
        <v>0</v>
      </c>
      <c r="Q491" s="138">
        <f>SUM(Q492:Q496)</f>
        <v>35740000000</v>
      </c>
      <c r="R491" s="138">
        <f t="shared" ref="R491:Y491" si="257">SUM(R492:R496)</f>
        <v>29303523017</v>
      </c>
      <c r="S491" s="138">
        <f>SUM(S492:S496)</f>
        <v>15391001417</v>
      </c>
      <c r="T491" s="138">
        <f t="shared" si="257"/>
        <v>13912521600</v>
      </c>
      <c r="U491" s="138">
        <f t="shared" si="257"/>
        <v>0</v>
      </c>
      <c r="V491" s="138">
        <f t="shared" si="257"/>
        <v>6436476983</v>
      </c>
      <c r="W491" s="138">
        <f>SUM(W492:W496)</f>
        <v>16482835417</v>
      </c>
      <c r="X491" s="138">
        <f t="shared" si="257"/>
        <v>278200000</v>
      </c>
      <c r="Y491" s="138">
        <f t="shared" si="257"/>
        <v>13687357017</v>
      </c>
      <c r="Z491" s="204">
        <f t="shared" si="255"/>
        <v>0</v>
      </c>
    </row>
    <row r="492" spans="1:26">
      <c r="A492" s="152" t="s">
        <v>455</v>
      </c>
      <c r="B492" s="115" t="s">
        <v>825</v>
      </c>
      <c r="C492" s="116" t="s">
        <v>457</v>
      </c>
      <c r="D492" s="116" t="s">
        <v>826</v>
      </c>
      <c r="E492" s="117">
        <v>27164000000</v>
      </c>
      <c r="F492" s="117"/>
      <c r="G492" s="117"/>
      <c r="H492" s="117"/>
      <c r="I492" s="117"/>
      <c r="J492" s="151">
        <f>G492-H492-I492+N492</f>
        <v>0</v>
      </c>
      <c r="K492" s="117"/>
      <c r="L492" s="117">
        <f>SUM(M492:N492)</f>
        <v>0</v>
      </c>
      <c r="M492" s="117"/>
      <c r="N492" s="117"/>
      <c r="O492" s="117"/>
      <c r="P492" s="117">
        <f>K492-L492-O492</f>
        <v>0</v>
      </c>
      <c r="Q492" s="117">
        <v>3462000000</v>
      </c>
      <c r="R492" s="117">
        <f>SUM(S492:T492)</f>
        <v>896469000</v>
      </c>
      <c r="S492" s="117">
        <v>896469000</v>
      </c>
      <c r="T492" s="117"/>
      <c r="U492" s="117"/>
      <c r="V492" s="117">
        <f>Q492-R492-U492</f>
        <v>2565531000</v>
      </c>
      <c r="W492" s="117">
        <f>SUM(I492,M492,S492)</f>
        <v>896469000</v>
      </c>
      <c r="X492" s="117">
        <f>G492-H492-I492+N492+T492</f>
        <v>0</v>
      </c>
      <c r="Y492" s="117">
        <f>F492+L492+R492</f>
        <v>896469000</v>
      </c>
      <c r="Z492" s="204">
        <f t="shared" si="255"/>
        <v>0</v>
      </c>
    </row>
    <row r="493" spans="1:26">
      <c r="A493" s="114" t="s">
        <v>459</v>
      </c>
      <c r="B493" s="115" t="s">
        <v>828</v>
      </c>
      <c r="C493" s="116" t="s">
        <v>457</v>
      </c>
      <c r="D493" s="116" t="s">
        <v>829</v>
      </c>
      <c r="E493" s="117">
        <v>20082000000</v>
      </c>
      <c r="F493" s="117"/>
      <c r="G493" s="117"/>
      <c r="H493" s="117"/>
      <c r="I493" s="117"/>
      <c r="J493" s="151">
        <f>G493-H493-I493+N493</f>
        <v>0</v>
      </c>
      <c r="K493" s="117"/>
      <c r="L493" s="117">
        <f>SUM(M493:N493)</f>
        <v>0</v>
      </c>
      <c r="M493" s="117"/>
      <c r="N493" s="117"/>
      <c r="O493" s="117"/>
      <c r="P493" s="117">
        <f>K493-L493-O493</f>
        <v>0</v>
      </c>
      <c r="Q493" s="117">
        <v>6031000000</v>
      </c>
      <c r="R493" s="117">
        <f>SUM(S493:T493)</f>
        <v>4126668938</v>
      </c>
      <c r="S493" s="117">
        <v>3848468938</v>
      </c>
      <c r="T493" s="117">
        <v>278200000</v>
      </c>
      <c r="U493" s="117"/>
      <c r="V493" s="117">
        <f>Q493-R493-U493</f>
        <v>1904331062</v>
      </c>
      <c r="W493" s="117">
        <f>SUM(I493,M493,S493)</f>
        <v>3848468938</v>
      </c>
      <c r="X493" s="117">
        <f>G493-H493-I493+N493+T493</f>
        <v>278200000</v>
      </c>
      <c r="Y493" s="117">
        <f>F493+L493+R493</f>
        <v>4126668938</v>
      </c>
      <c r="Z493" s="204">
        <f t="shared" si="255"/>
        <v>0</v>
      </c>
    </row>
    <row r="494" spans="1:26">
      <c r="A494" s="152" t="s">
        <v>462</v>
      </c>
      <c r="B494" s="115" t="s">
        <v>831</v>
      </c>
      <c r="C494" s="116" t="s">
        <v>457</v>
      </c>
      <c r="D494" s="116" t="s">
        <v>832</v>
      </c>
      <c r="E494" s="117">
        <v>22850000000</v>
      </c>
      <c r="F494" s="117"/>
      <c r="G494" s="117"/>
      <c r="H494" s="117"/>
      <c r="I494" s="117"/>
      <c r="J494" s="151">
        <f>G494-H494-I494+N494</f>
        <v>0</v>
      </c>
      <c r="K494" s="117"/>
      <c r="L494" s="117">
        <f>SUM(M494:N494)</f>
        <v>0</v>
      </c>
      <c r="M494" s="117"/>
      <c r="N494" s="117"/>
      <c r="O494" s="117"/>
      <c r="P494" s="117">
        <f>K494-L494-O494</f>
        <v>0</v>
      </c>
      <c r="Q494" s="117">
        <v>3636000000</v>
      </c>
      <c r="R494" s="117">
        <f>SUM(S494:T494)</f>
        <v>2233891000</v>
      </c>
      <c r="S494" s="117">
        <v>2233891000</v>
      </c>
      <c r="T494" s="117"/>
      <c r="U494" s="117"/>
      <c r="V494" s="117">
        <f>Q494-R494-U494</f>
        <v>1402109000</v>
      </c>
      <c r="W494" s="117">
        <f>SUM(I494,M494,S494)</f>
        <v>2233891000</v>
      </c>
      <c r="X494" s="117">
        <f>G494-H494-I494+N494+T494</f>
        <v>0</v>
      </c>
      <c r="Y494" s="117">
        <f>F494+L494+R494</f>
        <v>2233891000</v>
      </c>
      <c r="Z494" s="204">
        <f t="shared" si="255"/>
        <v>0</v>
      </c>
    </row>
    <row r="495" spans="1:26">
      <c r="A495" s="114" t="s">
        <v>465</v>
      </c>
      <c r="B495" s="115" t="s">
        <v>834</v>
      </c>
      <c r="C495" s="116" t="s">
        <v>457</v>
      </c>
      <c r="D495" s="116" t="s">
        <v>835</v>
      </c>
      <c r="E495" s="117">
        <v>13279840447</v>
      </c>
      <c r="F495" s="117">
        <v>4383834000</v>
      </c>
      <c r="G495" s="154">
        <v>1091834000</v>
      </c>
      <c r="H495" s="154">
        <v>0</v>
      </c>
      <c r="I495" s="154">
        <v>1091834000</v>
      </c>
      <c r="J495" s="151">
        <f>G495-H495-I495+N495</f>
        <v>0</v>
      </c>
      <c r="K495" s="117"/>
      <c r="L495" s="117">
        <f>SUM(M495:N495)</f>
        <v>0</v>
      </c>
      <c r="M495" s="117"/>
      <c r="N495" s="117"/>
      <c r="O495" s="117"/>
      <c r="P495" s="117">
        <f>K495-L495-O495</f>
        <v>0</v>
      </c>
      <c r="Q495" s="117">
        <v>2611000000</v>
      </c>
      <c r="R495" s="117">
        <f>SUM(S495:T495)</f>
        <v>2046494079</v>
      </c>
      <c r="S495" s="117">
        <v>2046494079</v>
      </c>
      <c r="T495" s="117"/>
      <c r="U495" s="117"/>
      <c r="V495" s="117">
        <f>Q495-R495-U495</f>
        <v>564505921</v>
      </c>
      <c r="W495" s="117">
        <f>SUM(I495,M495,S495)</f>
        <v>3138328079</v>
      </c>
      <c r="X495" s="117">
        <f>G495-H495-I495+N495+T495</f>
        <v>0</v>
      </c>
      <c r="Y495" s="117">
        <f>F495+L495+R495</f>
        <v>6430328079</v>
      </c>
      <c r="Z495" s="204">
        <f t="shared" si="255"/>
        <v>0</v>
      </c>
    </row>
    <row r="496" spans="1:26" s="113" customFormat="1" ht="24">
      <c r="A496" s="114" t="s">
        <v>468</v>
      </c>
      <c r="B496" s="115" t="s">
        <v>630</v>
      </c>
      <c r="C496" s="116"/>
      <c r="D496" s="116"/>
      <c r="E496" s="117"/>
      <c r="F496" s="117"/>
      <c r="G496" s="117"/>
      <c r="H496" s="117"/>
      <c r="I496" s="117"/>
      <c r="J496" s="118"/>
      <c r="K496" s="117"/>
      <c r="L496" s="117"/>
      <c r="M496" s="117"/>
      <c r="N496" s="117"/>
      <c r="O496" s="117"/>
      <c r="P496" s="117"/>
      <c r="Q496" s="117">
        <v>20000000000</v>
      </c>
      <c r="R496" s="117">
        <f>SUM(S496:T496)</f>
        <v>20000000000</v>
      </c>
      <c r="S496" s="117">
        <f>31365678400-25000000000</f>
        <v>6365678400</v>
      </c>
      <c r="T496" s="117">
        <v>13634321600</v>
      </c>
      <c r="U496" s="117"/>
      <c r="V496" s="117">
        <f>Q496-R496-U496</f>
        <v>0</v>
      </c>
      <c r="W496" s="117">
        <f>SUM(I496,M496,S496)</f>
        <v>6365678400</v>
      </c>
      <c r="X496" s="117"/>
      <c r="Y496" s="117"/>
      <c r="Z496" s="204">
        <f>S496+M496+I496-W496</f>
        <v>0</v>
      </c>
    </row>
    <row r="497" spans="1:26" s="139" customFormat="1" ht="24">
      <c r="A497" s="135" t="s">
        <v>11</v>
      </c>
      <c r="B497" s="136" t="s">
        <v>1312</v>
      </c>
      <c r="C497" s="137"/>
      <c r="D497" s="138">
        <f t="shared" ref="D497:P497" si="258">SUM(D498:D499)</f>
        <v>0</v>
      </c>
      <c r="E497" s="138">
        <f t="shared" si="258"/>
        <v>48252074908</v>
      </c>
      <c r="F497" s="138">
        <f t="shared" si="258"/>
        <v>0</v>
      </c>
      <c r="G497" s="138">
        <f t="shared" si="258"/>
        <v>0</v>
      </c>
      <c r="H497" s="138">
        <f t="shared" si="258"/>
        <v>0</v>
      </c>
      <c r="I497" s="138">
        <f t="shared" si="258"/>
        <v>0</v>
      </c>
      <c r="J497" s="138">
        <f t="shared" si="258"/>
        <v>0</v>
      </c>
      <c r="K497" s="138">
        <f t="shared" si="258"/>
        <v>0</v>
      </c>
      <c r="L497" s="138">
        <f t="shared" si="258"/>
        <v>0</v>
      </c>
      <c r="M497" s="138">
        <f t="shared" si="258"/>
        <v>0</v>
      </c>
      <c r="N497" s="138">
        <f t="shared" si="258"/>
        <v>0</v>
      </c>
      <c r="O497" s="138">
        <f t="shared" si="258"/>
        <v>0</v>
      </c>
      <c r="P497" s="138">
        <f t="shared" si="258"/>
        <v>0</v>
      </c>
      <c r="Q497" s="138">
        <f>SUM(Q498:Q499)</f>
        <v>75000000000</v>
      </c>
      <c r="R497" s="138">
        <f t="shared" ref="R497:Y497" si="259">SUM(R498:R499)</f>
        <v>764988000</v>
      </c>
      <c r="S497" s="138">
        <f t="shared" si="259"/>
        <v>764988000</v>
      </c>
      <c r="T497" s="138">
        <f t="shared" si="259"/>
        <v>0</v>
      </c>
      <c r="U497" s="138">
        <f t="shared" si="259"/>
        <v>0</v>
      </c>
      <c r="V497" s="138">
        <f t="shared" si="259"/>
        <v>74235012000</v>
      </c>
      <c r="W497" s="138">
        <f t="shared" si="259"/>
        <v>764988000</v>
      </c>
      <c r="X497" s="138">
        <f t="shared" si="259"/>
        <v>0</v>
      </c>
      <c r="Y497" s="138">
        <f t="shared" si="259"/>
        <v>764988000</v>
      </c>
      <c r="Z497" s="204">
        <f t="shared" si="255"/>
        <v>0</v>
      </c>
    </row>
    <row r="498" spans="1:26">
      <c r="A498" s="114" t="s">
        <v>455</v>
      </c>
      <c r="B498" s="115" t="s">
        <v>1313</v>
      </c>
      <c r="C498" s="116" t="s">
        <v>457</v>
      </c>
      <c r="D498" s="116" t="s">
        <v>1314</v>
      </c>
      <c r="E498" s="117">
        <v>504238000</v>
      </c>
      <c r="F498" s="117"/>
      <c r="G498" s="117"/>
      <c r="H498" s="117"/>
      <c r="I498" s="117"/>
      <c r="J498" s="151">
        <f>G498-H498-I498+N498</f>
        <v>0</v>
      </c>
      <c r="K498" s="117"/>
      <c r="L498" s="117">
        <f>SUM(M498:N498)</f>
        <v>0</v>
      </c>
      <c r="M498" s="117"/>
      <c r="N498" s="117"/>
      <c r="O498" s="117"/>
      <c r="P498" s="117">
        <f>K498-L498-O498</f>
        <v>0</v>
      </c>
      <c r="Q498" s="117">
        <v>30000000000</v>
      </c>
      <c r="R498" s="117">
        <f>SUM(S498:T498)</f>
        <v>392511000</v>
      </c>
      <c r="S498" s="117">
        <v>392511000</v>
      </c>
      <c r="T498" s="117"/>
      <c r="U498" s="117"/>
      <c r="V498" s="117">
        <f>Q498-R498-U498</f>
        <v>29607489000</v>
      </c>
      <c r="W498" s="117">
        <f>SUM(I498,M498,S498)</f>
        <v>392511000</v>
      </c>
      <c r="X498" s="117">
        <f>G498-H498-I498+N498+T498</f>
        <v>0</v>
      </c>
      <c r="Y498" s="117">
        <f>F498+L498+R498</f>
        <v>392511000</v>
      </c>
      <c r="Z498" s="204">
        <f t="shared" si="255"/>
        <v>0</v>
      </c>
    </row>
    <row r="499" spans="1:26" ht="24">
      <c r="A499" s="114" t="s">
        <v>459</v>
      </c>
      <c r="B499" s="115" t="s">
        <v>1315</v>
      </c>
      <c r="C499" s="116" t="s">
        <v>457</v>
      </c>
      <c r="D499" s="116" t="s">
        <v>1316</v>
      </c>
      <c r="E499" s="117">
        <v>47747836908</v>
      </c>
      <c r="F499" s="117"/>
      <c r="G499" s="117"/>
      <c r="H499" s="117"/>
      <c r="I499" s="117"/>
      <c r="J499" s="151">
        <f>G499-H499-I499+N499</f>
        <v>0</v>
      </c>
      <c r="K499" s="117"/>
      <c r="L499" s="117">
        <f>SUM(M499:N499)</f>
        <v>0</v>
      </c>
      <c r="M499" s="117"/>
      <c r="N499" s="117"/>
      <c r="O499" s="117"/>
      <c r="P499" s="117">
        <f>K499-L499-O499</f>
        <v>0</v>
      </c>
      <c r="Q499" s="117">
        <v>45000000000</v>
      </c>
      <c r="R499" s="117">
        <f>SUM(S499:T499)</f>
        <v>372477000</v>
      </c>
      <c r="S499" s="117">
        <v>372477000</v>
      </c>
      <c r="T499" s="117"/>
      <c r="U499" s="117"/>
      <c r="V499" s="117">
        <f>Q499-R499-U499</f>
        <v>44627523000</v>
      </c>
      <c r="W499" s="117">
        <f>SUM(I499,M499,S499)</f>
        <v>372477000</v>
      </c>
      <c r="X499" s="117">
        <f>G499-H499-I499+N499+T499</f>
        <v>0</v>
      </c>
      <c r="Y499" s="117">
        <f>F499+L499+R499</f>
        <v>372477000</v>
      </c>
      <c r="Z499" s="204">
        <f t="shared" si="255"/>
        <v>0</v>
      </c>
    </row>
    <row r="500" spans="1:26" s="139" customFormat="1" ht="17.25" customHeight="1">
      <c r="A500" s="135" t="s">
        <v>1317</v>
      </c>
      <c r="B500" s="136" t="s">
        <v>1318</v>
      </c>
      <c r="C500" s="137"/>
      <c r="D500" s="138" t="str">
        <f t="shared" ref="D500:P500" si="260">D501</f>
        <v>7237023</v>
      </c>
      <c r="E500" s="138">
        <f t="shared" si="260"/>
        <v>1343808699235</v>
      </c>
      <c r="F500" s="138">
        <f t="shared" si="260"/>
        <v>0</v>
      </c>
      <c r="G500" s="138">
        <f t="shared" si="260"/>
        <v>0</v>
      </c>
      <c r="H500" s="138">
        <f t="shared" si="260"/>
        <v>0</v>
      </c>
      <c r="I500" s="138">
        <f t="shared" si="260"/>
        <v>0</v>
      </c>
      <c r="J500" s="138">
        <f t="shared" si="260"/>
        <v>0</v>
      </c>
      <c r="K500" s="138">
        <f t="shared" si="260"/>
        <v>0</v>
      </c>
      <c r="L500" s="138">
        <f t="shared" si="260"/>
        <v>0</v>
      </c>
      <c r="M500" s="138">
        <f t="shared" si="260"/>
        <v>0</v>
      </c>
      <c r="N500" s="138">
        <f t="shared" si="260"/>
        <v>0</v>
      </c>
      <c r="O500" s="138">
        <f t="shared" si="260"/>
        <v>0</v>
      </c>
      <c r="P500" s="138">
        <f t="shared" si="260"/>
        <v>0</v>
      </c>
      <c r="Q500" s="138">
        <f>Q501</f>
        <v>144469000000</v>
      </c>
      <c r="R500" s="138">
        <f t="shared" ref="R500:Y500" si="261">R501</f>
        <v>144469000000</v>
      </c>
      <c r="S500" s="138">
        <f t="shared" si="261"/>
        <v>144469000000</v>
      </c>
      <c r="T500" s="138">
        <f t="shared" si="261"/>
        <v>0</v>
      </c>
      <c r="U500" s="138">
        <f t="shared" si="261"/>
        <v>0</v>
      </c>
      <c r="V500" s="138">
        <f t="shared" si="261"/>
        <v>0</v>
      </c>
      <c r="W500" s="138">
        <f t="shared" si="261"/>
        <v>144469000000</v>
      </c>
      <c r="X500" s="138">
        <f t="shared" si="261"/>
        <v>0</v>
      </c>
      <c r="Y500" s="138">
        <f t="shared" si="261"/>
        <v>144469000000</v>
      </c>
      <c r="Z500" s="204">
        <f t="shared" si="255"/>
        <v>0</v>
      </c>
    </row>
    <row r="501" spans="1:26" ht="24">
      <c r="A501" s="114" t="s">
        <v>455</v>
      </c>
      <c r="B501" s="115" t="s">
        <v>624</v>
      </c>
      <c r="C501" s="116" t="s">
        <v>457</v>
      </c>
      <c r="D501" s="116" t="s">
        <v>625</v>
      </c>
      <c r="E501" s="117">
        <v>1343808699235</v>
      </c>
      <c r="F501" s="117"/>
      <c r="G501" s="117"/>
      <c r="H501" s="117"/>
      <c r="I501" s="117"/>
      <c r="J501" s="151">
        <f>G501-H501-I501+N501</f>
        <v>0</v>
      </c>
      <c r="K501" s="117"/>
      <c r="L501" s="117">
        <f>SUM(M501:N501)</f>
        <v>0</v>
      </c>
      <c r="M501" s="117"/>
      <c r="N501" s="117"/>
      <c r="O501" s="117"/>
      <c r="P501" s="117">
        <f>K501-L501-O501</f>
        <v>0</v>
      </c>
      <c r="Q501" s="117">
        <v>144469000000</v>
      </c>
      <c r="R501" s="117">
        <f>SUM(S501:T501)</f>
        <v>144469000000</v>
      </c>
      <c r="S501" s="117">
        <v>144469000000</v>
      </c>
      <c r="T501" s="117"/>
      <c r="U501" s="117"/>
      <c r="V501" s="117">
        <f>Q501-R501-U501</f>
        <v>0</v>
      </c>
      <c r="W501" s="117">
        <f>SUM(I501,M501,S501)</f>
        <v>144469000000</v>
      </c>
      <c r="X501" s="117">
        <f>G501-H501-I501+N501+T501</f>
        <v>0</v>
      </c>
      <c r="Y501" s="117">
        <f>F501+L501+R501</f>
        <v>144469000000</v>
      </c>
      <c r="Z501" s="204">
        <f t="shared" si="255"/>
        <v>0</v>
      </c>
    </row>
    <row r="502" spans="1:26" s="155" customFormat="1">
      <c r="A502" s="156" t="s">
        <v>1319</v>
      </c>
      <c r="B502" s="157" t="s">
        <v>1320</v>
      </c>
      <c r="C502" s="158"/>
      <c r="D502" s="159">
        <f t="shared" ref="D502:P502" si="262">SUM(D503:D506)</f>
        <v>0</v>
      </c>
      <c r="E502" s="159">
        <f t="shared" si="262"/>
        <v>1087132000000</v>
      </c>
      <c r="F502" s="159">
        <f t="shared" si="262"/>
        <v>189519026758</v>
      </c>
      <c r="G502" s="159">
        <f t="shared" si="262"/>
        <v>63583314480</v>
      </c>
      <c r="H502" s="159">
        <f t="shared" si="262"/>
        <v>0</v>
      </c>
      <c r="I502" s="159">
        <f t="shared" si="262"/>
        <v>59991271406</v>
      </c>
      <c r="J502" s="159">
        <f t="shared" si="262"/>
        <v>15669683988</v>
      </c>
      <c r="K502" s="159">
        <f t="shared" si="262"/>
        <v>112531000000</v>
      </c>
      <c r="L502" s="159">
        <f t="shared" si="262"/>
        <v>108301029487</v>
      </c>
      <c r="M502" s="159">
        <f t="shared" si="262"/>
        <v>96223388573</v>
      </c>
      <c r="N502" s="159">
        <f t="shared" si="262"/>
        <v>12077640914</v>
      </c>
      <c r="O502" s="159">
        <f t="shared" si="262"/>
        <v>0</v>
      </c>
      <c r="P502" s="159">
        <f t="shared" si="262"/>
        <v>4229970513</v>
      </c>
      <c r="Q502" s="159">
        <f>SUM(Q503:Q506)</f>
        <v>0</v>
      </c>
      <c r="R502" s="159">
        <f t="shared" ref="R502:Y502" si="263">SUM(R503:R506)</f>
        <v>0</v>
      </c>
      <c r="S502" s="159">
        <f t="shared" si="263"/>
        <v>0</v>
      </c>
      <c r="T502" s="159">
        <f t="shared" si="263"/>
        <v>0</v>
      </c>
      <c r="U502" s="159">
        <f t="shared" si="263"/>
        <v>0</v>
      </c>
      <c r="V502" s="159">
        <f t="shared" si="263"/>
        <v>0</v>
      </c>
      <c r="W502" s="159">
        <f t="shared" si="263"/>
        <v>156214659979</v>
      </c>
      <c r="X502" s="159">
        <f t="shared" si="263"/>
        <v>15669683988</v>
      </c>
      <c r="Y502" s="159">
        <f t="shared" si="263"/>
        <v>297820056245</v>
      </c>
      <c r="Z502" s="204">
        <f t="shared" si="255"/>
        <v>0</v>
      </c>
    </row>
    <row r="503" spans="1:26" s="124" customFormat="1">
      <c r="A503" s="160" t="s">
        <v>11</v>
      </c>
      <c r="B503" s="161" t="s">
        <v>492</v>
      </c>
      <c r="C503" s="111"/>
      <c r="D503" s="109"/>
      <c r="E503" s="112"/>
      <c r="F503" s="112"/>
      <c r="G503" s="112"/>
      <c r="H503" s="112"/>
      <c r="I503" s="112"/>
      <c r="J503" s="162"/>
      <c r="K503" s="112"/>
      <c r="L503" s="112"/>
      <c r="M503" s="112"/>
      <c r="N503" s="112"/>
      <c r="O503" s="112"/>
      <c r="P503" s="112"/>
      <c r="Q503" s="112"/>
      <c r="R503" s="112"/>
      <c r="S503" s="112"/>
      <c r="T503" s="112"/>
      <c r="U503" s="112"/>
      <c r="V503" s="112"/>
      <c r="W503" s="112"/>
      <c r="X503" s="112"/>
      <c r="Y503" s="112"/>
      <c r="Z503" s="204">
        <f t="shared" si="255"/>
        <v>0</v>
      </c>
    </row>
    <row r="504" spans="1:26" s="113" customFormat="1">
      <c r="A504" s="114"/>
      <c r="B504" s="115" t="s">
        <v>1321</v>
      </c>
      <c r="C504" s="116" t="s">
        <v>457</v>
      </c>
      <c r="D504" s="116" t="s">
        <v>1322</v>
      </c>
      <c r="E504" s="117">
        <v>299531000000</v>
      </c>
      <c r="F504" s="117">
        <v>5171159478</v>
      </c>
      <c r="G504" s="117">
        <v>15000000</v>
      </c>
      <c r="H504" s="117"/>
      <c r="I504" s="117">
        <v>0</v>
      </c>
      <c r="J504" s="118">
        <f>G504-H504-I504+N504</f>
        <v>15000000</v>
      </c>
      <c r="K504" s="117">
        <v>5100000000</v>
      </c>
      <c r="L504" s="117">
        <f>SUM(M504:N504)</f>
        <v>870029487</v>
      </c>
      <c r="M504" s="117">
        <v>870029487</v>
      </c>
      <c r="N504" s="117"/>
      <c r="O504" s="117"/>
      <c r="P504" s="117">
        <f>K504-L504-O504</f>
        <v>4229970513</v>
      </c>
      <c r="Q504" s="117"/>
      <c r="R504" s="117">
        <f>SUM(S504:T504)</f>
        <v>0</v>
      </c>
      <c r="S504" s="117"/>
      <c r="T504" s="117"/>
      <c r="U504" s="117"/>
      <c r="V504" s="117">
        <f>Q504-R504-U504</f>
        <v>0</v>
      </c>
      <c r="W504" s="117">
        <f>SUM(I504,M504,S504)</f>
        <v>870029487</v>
      </c>
      <c r="X504" s="117">
        <f>G504-H504-I504+N504+T504</f>
        <v>15000000</v>
      </c>
      <c r="Y504" s="117">
        <f>F504+L504+R504</f>
        <v>6041188965</v>
      </c>
      <c r="Z504" s="204">
        <f t="shared" si="255"/>
        <v>0</v>
      </c>
    </row>
    <row r="505" spans="1:26" s="124" customFormat="1">
      <c r="A505" s="160" t="s">
        <v>16</v>
      </c>
      <c r="B505" s="161" t="s">
        <v>1323</v>
      </c>
      <c r="C505" s="111"/>
      <c r="D505" s="109"/>
      <c r="E505" s="112"/>
      <c r="F505" s="112"/>
      <c r="G505" s="112"/>
      <c r="H505" s="112"/>
      <c r="I505" s="112"/>
      <c r="J505" s="162"/>
      <c r="K505" s="112"/>
      <c r="L505" s="112"/>
      <c r="M505" s="112"/>
      <c r="N505" s="112"/>
      <c r="O505" s="112"/>
      <c r="P505" s="112"/>
      <c r="Q505" s="112"/>
      <c r="R505" s="112"/>
      <c r="S505" s="112"/>
      <c r="T505" s="112"/>
      <c r="U505" s="112"/>
      <c r="V505" s="112"/>
      <c r="W505" s="112"/>
      <c r="X505" s="112"/>
      <c r="Y505" s="112"/>
      <c r="Z505" s="204">
        <f t="shared" si="255"/>
        <v>0</v>
      </c>
    </row>
    <row r="506" spans="1:26" s="113" customFormat="1">
      <c r="A506" s="114"/>
      <c r="B506" s="115" t="s">
        <v>1324</v>
      </c>
      <c r="C506" s="116" t="s">
        <v>457</v>
      </c>
      <c r="D506" s="116" t="s">
        <v>1325</v>
      </c>
      <c r="E506" s="117">
        <v>787601000000</v>
      </c>
      <c r="F506" s="117">
        <f>3196454000+181151413280</f>
        <v>184347867280</v>
      </c>
      <c r="G506" s="117">
        <v>63568314480</v>
      </c>
      <c r="H506" s="117"/>
      <c r="I506" s="117">
        <v>59991271406</v>
      </c>
      <c r="J506" s="118">
        <f>G506-H506-I506+N506</f>
        <v>15654683988</v>
      </c>
      <c r="K506" s="149">
        <v>107431000000</v>
      </c>
      <c r="L506" s="149">
        <f>SUM(M506:N506)</f>
        <v>107431000000</v>
      </c>
      <c r="M506" s="117">
        <v>95353359086</v>
      </c>
      <c r="N506" s="117">
        <v>12077640914</v>
      </c>
      <c r="O506" s="117"/>
      <c r="P506" s="117">
        <f>K506-L506-O506</f>
        <v>0</v>
      </c>
      <c r="Q506" s="117"/>
      <c r="R506" s="117">
        <f>SUM(S506:T506)</f>
        <v>0</v>
      </c>
      <c r="S506" s="117"/>
      <c r="T506" s="117"/>
      <c r="U506" s="117"/>
      <c r="V506" s="117">
        <f>Q506-R506-U506</f>
        <v>0</v>
      </c>
      <c r="W506" s="117">
        <f>SUM(I506,M506,S506)</f>
        <v>155344630492</v>
      </c>
      <c r="X506" s="117">
        <f>G506-H506-I506+N506+T506</f>
        <v>15654683988</v>
      </c>
      <c r="Y506" s="117">
        <f>F506+L506+R506</f>
        <v>291778867280</v>
      </c>
      <c r="Z506" s="204">
        <f t="shared" si="255"/>
        <v>0</v>
      </c>
    </row>
    <row r="507" spans="1:26" s="139" customFormat="1">
      <c r="A507" s="163" t="s">
        <v>1326</v>
      </c>
      <c r="B507" s="136" t="s">
        <v>1327</v>
      </c>
      <c r="C507" s="137"/>
      <c r="D507" s="137"/>
      <c r="E507" s="138"/>
      <c r="F507" s="138"/>
      <c r="G507" s="138"/>
      <c r="H507" s="138"/>
      <c r="I507" s="138"/>
      <c r="J507" s="138"/>
      <c r="K507" s="138"/>
      <c r="L507" s="138"/>
      <c r="M507" s="138"/>
      <c r="N507" s="138"/>
      <c r="O507" s="138"/>
      <c r="P507" s="138"/>
      <c r="Q507" s="138"/>
      <c r="R507" s="138"/>
      <c r="S507" s="138"/>
      <c r="T507" s="138"/>
      <c r="U507" s="138"/>
      <c r="V507" s="138"/>
      <c r="W507" s="138"/>
      <c r="X507" s="138"/>
      <c r="Y507" s="138"/>
      <c r="Z507" s="204">
        <f t="shared" si="255"/>
        <v>0</v>
      </c>
    </row>
    <row r="508" spans="1:26" ht="24.75" customHeight="1">
      <c r="A508" s="114" t="s">
        <v>1328</v>
      </c>
      <c r="B508" s="115" t="s">
        <v>587</v>
      </c>
      <c r="C508" s="116" t="s">
        <v>457</v>
      </c>
      <c r="D508" s="116" t="s">
        <v>588</v>
      </c>
      <c r="E508" s="117">
        <v>9199149573</v>
      </c>
      <c r="F508" s="117">
        <v>3945987478</v>
      </c>
      <c r="G508" s="117"/>
      <c r="H508" s="117"/>
      <c r="I508" s="117"/>
      <c r="J508" s="151">
        <f t="shared" ref="J508" si="264">G508-H508-I508+N508</f>
        <v>0</v>
      </c>
      <c r="K508" s="140">
        <v>554000000</v>
      </c>
      <c r="L508" s="117">
        <f t="shared" ref="L508" si="265">SUM(M508:N508)</f>
        <v>554000000</v>
      </c>
      <c r="M508" s="117">
        <v>554000000</v>
      </c>
      <c r="N508" s="117"/>
      <c r="O508" s="117"/>
      <c r="P508" s="117">
        <f t="shared" ref="P508" si="266">K508-L508-O508</f>
        <v>0</v>
      </c>
      <c r="Q508" s="117"/>
      <c r="R508" s="117">
        <f t="shared" ref="R508" si="267">SUM(S508:T508)</f>
        <v>0</v>
      </c>
      <c r="S508" s="117"/>
      <c r="T508" s="117"/>
      <c r="U508" s="117"/>
      <c r="V508" s="117">
        <f t="shared" ref="V508" si="268">Q508-R508-U508</f>
        <v>0</v>
      </c>
      <c r="W508" s="117">
        <f t="shared" ref="W508" si="269">SUM(I508,M508,S508)</f>
        <v>554000000</v>
      </c>
      <c r="X508" s="117">
        <f t="shared" ref="X508" si="270">G508-H508-I508+N508+T508</f>
        <v>0</v>
      </c>
      <c r="Y508" s="117">
        <f t="shared" ref="Y508" si="271">F508+L508+R508</f>
        <v>4499987478</v>
      </c>
      <c r="Z508" s="204">
        <f t="shared" si="255"/>
        <v>0</v>
      </c>
    </row>
    <row r="509" spans="1:26" s="113" customFormat="1" ht="17.25" customHeight="1">
      <c r="A509" s="114"/>
      <c r="B509" s="115"/>
      <c r="C509" s="116"/>
      <c r="D509" s="116"/>
      <c r="E509" s="117"/>
      <c r="F509" s="117"/>
      <c r="G509" s="117"/>
      <c r="H509" s="117"/>
      <c r="I509" s="117"/>
      <c r="J509" s="118"/>
      <c r="K509" s="117"/>
      <c r="L509" s="117"/>
      <c r="M509" s="117"/>
      <c r="N509" s="117"/>
      <c r="O509" s="117"/>
      <c r="P509" s="117"/>
      <c r="Q509" s="117"/>
      <c r="R509" s="117"/>
      <c r="S509" s="117"/>
      <c r="T509" s="117"/>
      <c r="U509" s="117"/>
      <c r="V509" s="117"/>
      <c r="W509" s="117"/>
      <c r="X509" s="117"/>
      <c r="Y509" s="117"/>
      <c r="Z509" s="204">
        <f t="shared" si="255"/>
        <v>0</v>
      </c>
    </row>
    <row r="510" spans="1:26" s="113" customFormat="1" ht="17.25" customHeight="1">
      <c r="A510" s="114"/>
      <c r="B510" s="115"/>
      <c r="C510" s="116"/>
      <c r="D510" s="116"/>
      <c r="E510" s="117"/>
      <c r="F510" s="117"/>
      <c r="G510" s="117"/>
      <c r="H510" s="117"/>
      <c r="I510" s="117"/>
      <c r="J510" s="118"/>
      <c r="K510" s="117"/>
      <c r="L510" s="117"/>
      <c r="M510" s="117"/>
      <c r="N510" s="117"/>
      <c r="O510" s="117"/>
      <c r="P510" s="117"/>
      <c r="Q510" s="117"/>
      <c r="R510" s="117"/>
      <c r="S510" s="117"/>
      <c r="T510" s="117"/>
      <c r="U510" s="117"/>
      <c r="V510" s="117"/>
      <c r="W510" s="117"/>
      <c r="X510" s="117"/>
      <c r="Y510" s="117"/>
      <c r="Z510" s="204">
        <f t="shared" si="255"/>
        <v>0</v>
      </c>
    </row>
    <row r="511" spans="1:26" s="113" customFormat="1" ht="17.25" customHeight="1">
      <c r="A511" s="114"/>
      <c r="B511" s="115"/>
      <c r="C511" s="116"/>
      <c r="D511" s="116"/>
      <c r="E511" s="117"/>
      <c r="F511" s="117"/>
      <c r="G511" s="117"/>
      <c r="H511" s="117"/>
      <c r="I511" s="117"/>
      <c r="J511" s="118"/>
      <c r="K511" s="117"/>
      <c r="L511" s="117"/>
      <c r="M511" s="117"/>
      <c r="N511" s="117"/>
      <c r="O511" s="117"/>
      <c r="P511" s="117"/>
      <c r="Q511" s="117"/>
      <c r="R511" s="117"/>
      <c r="S511" s="117"/>
      <c r="T511" s="117"/>
      <c r="U511" s="117"/>
      <c r="V511" s="117"/>
      <c r="W511" s="117"/>
      <c r="X511" s="117"/>
      <c r="Y511" s="117"/>
      <c r="Z511" s="204">
        <f t="shared" si="255"/>
        <v>0</v>
      </c>
    </row>
    <row r="512" spans="1:26" s="113" customFormat="1" ht="17.25" customHeight="1">
      <c r="A512" s="114"/>
      <c r="B512" s="115"/>
      <c r="C512" s="116"/>
      <c r="D512" s="116"/>
      <c r="E512" s="117"/>
      <c r="F512" s="117"/>
      <c r="G512" s="117"/>
      <c r="H512" s="117"/>
      <c r="I512" s="117"/>
      <c r="J512" s="118"/>
      <c r="K512" s="117"/>
      <c r="L512" s="117"/>
      <c r="M512" s="117"/>
      <c r="N512" s="117"/>
      <c r="O512" s="117"/>
      <c r="P512" s="117"/>
      <c r="Q512" s="117"/>
      <c r="R512" s="117"/>
      <c r="S512" s="117"/>
      <c r="T512" s="117"/>
      <c r="U512" s="117"/>
      <c r="V512" s="117"/>
      <c r="W512" s="117"/>
      <c r="X512" s="117"/>
      <c r="Y512" s="117"/>
      <c r="Z512" s="204">
        <f t="shared" si="255"/>
        <v>0</v>
      </c>
    </row>
    <row r="513" spans="1:26" s="113" customFormat="1">
      <c r="A513" s="114"/>
      <c r="B513" s="115"/>
      <c r="C513" s="116"/>
      <c r="D513" s="116"/>
      <c r="E513" s="117"/>
      <c r="F513" s="117"/>
      <c r="G513" s="117"/>
      <c r="H513" s="117"/>
      <c r="I513" s="117"/>
      <c r="J513" s="118"/>
      <c r="K513" s="117"/>
      <c r="L513" s="117"/>
      <c r="M513" s="117"/>
      <c r="N513" s="117"/>
      <c r="O513" s="117"/>
      <c r="P513" s="117"/>
      <c r="Q513" s="117"/>
      <c r="R513" s="117"/>
      <c r="S513" s="117"/>
      <c r="T513" s="119"/>
      <c r="U513" s="117"/>
      <c r="V513" s="117"/>
      <c r="W513" s="117"/>
      <c r="X513" s="117"/>
      <c r="Y513" s="117"/>
      <c r="Z513" s="204">
        <f t="shared" si="255"/>
        <v>0</v>
      </c>
    </row>
    <row r="514" spans="1:26" s="113" customFormat="1">
      <c r="A514" s="114"/>
      <c r="B514" s="115"/>
      <c r="C514" s="116"/>
      <c r="D514" s="116"/>
      <c r="E514" s="117"/>
      <c r="F514" s="117"/>
      <c r="G514" s="117"/>
      <c r="H514" s="117"/>
      <c r="I514" s="117"/>
      <c r="J514" s="118"/>
      <c r="K514" s="117"/>
      <c r="L514" s="117"/>
      <c r="M514" s="117"/>
      <c r="N514" s="117"/>
      <c r="O514" s="117"/>
      <c r="P514" s="117"/>
      <c r="Q514" s="117"/>
      <c r="R514" s="117"/>
      <c r="S514" s="117"/>
      <c r="T514" s="119"/>
      <c r="U514" s="117"/>
      <c r="V514" s="117"/>
      <c r="W514" s="117"/>
      <c r="X514" s="117"/>
      <c r="Y514" s="117"/>
      <c r="Z514" s="204">
        <f t="shared" si="255"/>
        <v>0</v>
      </c>
    </row>
    <row r="515" spans="1:26" s="113" customFormat="1">
      <c r="A515" s="114"/>
      <c r="B515" s="115"/>
      <c r="C515" s="116"/>
      <c r="D515" s="116"/>
      <c r="E515" s="117"/>
      <c r="F515" s="117"/>
      <c r="G515" s="117"/>
      <c r="H515" s="117"/>
      <c r="I515" s="117"/>
      <c r="J515" s="118"/>
      <c r="K515" s="117"/>
      <c r="L515" s="117"/>
      <c r="M515" s="117"/>
      <c r="N515" s="117"/>
      <c r="O515" s="117"/>
      <c r="P515" s="117"/>
      <c r="Q515" s="117"/>
      <c r="R515" s="117"/>
      <c r="S515" s="117"/>
      <c r="T515" s="119"/>
      <c r="U515" s="117"/>
      <c r="V515" s="117"/>
      <c r="W515" s="117"/>
      <c r="X515" s="117"/>
      <c r="Y515" s="117"/>
      <c r="Z515" s="204">
        <f t="shared" si="255"/>
        <v>0</v>
      </c>
    </row>
    <row r="516" spans="1:26" s="168" customFormat="1">
      <c r="A516" s="164"/>
      <c r="B516" s="165"/>
      <c r="C516" s="166"/>
      <c r="D516" s="164"/>
      <c r="E516" s="167"/>
      <c r="F516" s="167"/>
      <c r="G516" s="167"/>
      <c r="H516" s="167"/>
      <c r="I516" s="167"/>
      <c r="J516" s="167"/>
      <c r="K516" s="167"/>
      <c r="L516" s="167"/>
      <c r="M516" s="167"/>
      <c r="N516" s="167"/>
      <c r="O516" s="167"/>
      <c r="P516" s="167"/>
      <c r="Q516" s="167"/>
      <c r="R516" s="167"/>
      <c r="S516" s="167"/>
      <c r="T516" s="167"/>
      <c r="U516" s="167"/>
      <c r="V516" s="167"/>
      <c r="W516" s="167"/>
      <c r="X516" s="167"/>
      <c r="Y516" s="167"/>
      <c r="Z516" s="204">
        <f t="shared" si="255"/>
        <v>0</v>
      </c>
    </row>
    <row r="517" spans="1:26" s="124" customFormat="1" hidden="1">
      <c r="A517" s="114" t="s">
        <v>1329</v>
      </c>
      <c r="B517" s="121" t="s">
        <v>466</v>
      </c>
      <c r="C517" s="122" t="s">
        <v>457</v>
      </c>
      <c r="D517" s="122" t="s">
        <v>467</v>
      </c>
      <c r="E517" s="123">
        <v>12860000000</v>
      </c>
      <c r="F517" s="123"/>
      <c r="G517" s="123"/>
      <c r="H517" s="123"/>
      <c r="I517" s="123"/>
      <c r="J517" s="118">
        <f t="shared" ref="J517:J519" si="272">G517-H517-I517+N517</f>
        <v>0</v>
      </c>
      <c r="K517" s="123"/>
      <c r="L517" s="123">
        <f t="shared" ref="L517:L519" si="273">SUM(M517:N517)</f>
        <v>0</v>
      </c>
      <c r="M517" s="123"/>
      <c r="N517" s="123"/>
      <c r="O517" s="123"/>
      <c r="P517" s="123">
        <f t="shared" ref="P517:P519" si="274">K517-L517-O517</f>
        <v>0</v>
      </c>
      <c r="Q517" s="123"/>
      <c r="R517" s="117">
        <f t="shared" ref="R517:R519" si="275">SUM(S517:T517)</f>
        <v>0</v>
      </c>
      <c r="S517" s="123"/>
      <c r="T517" s="134"/>
      <c r="U517" s="123"/>
      <c r="V517" s="117">
        <f t="shared" ref="V517:V519" si="276">Q517-R517-U517</f>
        <v>0</v>
      </c>
      <c r="W517" s="117">
        <f t="shared" ref="W517:W519" si="277">SUM(I517,M517,S517)</f>
        <v>0</v>
      </c>
      <c r="X517" s="117">
        <f t="shared" ref="X517:X519" si="278">G517-H517-I517+N517+T517</f>
        <v>0</v>
      </c>
      <c r="Y517" s="117">
        <f t="shared" ref="Y517:Y519" si="279">F517+L517+R517</f>
        <v>0</v>
      </c>
      <c r="Z517" s="204">
        <f t="shared" si="255"/>
        <v>0</v>
      </c>
    </row>
    <row r="518" spans="1:26" s="124" customFormat="1" hidden="1">
      <c r="A518" s="114" t="s">
        <v>1330</v>
      </c>
      <c r="B518" s="121" t="s">
        <v>965</v>
      </c>
      <c r="C518" s="122" t="s">
        <v>457</v>
      </c>
      <c r="D518" s="122" t="s">
        <v>966</v>
      </c>
      <c r="E518" s="123">
        <v>282970000</v>
      </c>
      <c r="F518" s="123"/>
      <c r="G518" s="123"/>
      <c r="H518" s="123"/>
      <c r="I518" s="123"/>
      <c r="J518" s="118">
        <f t="shared" si="272"/>
        <v>0</v>
      </c>
      <c r="K518" s="123"/>
      <c r="L518" s="123">
        <f t="shared" si="273"/>
        <v>0</v>
      </c>
      <c r="M518" s="123"/>
      <c r="N518" s="123"/>
      <c r="O518" s="123"/>
      <c r="P518" s="123">
        <f t="shared" si="274"/>
        <v>0</v>
      </c>
      <c r="Q518" s="123">
        <v>0</v>
      </c>
      <c r="R518" s="117">
        <f t="shared" si="275"/>
        <v>0</v>
      </c>
      <c r="S518" s="123"/>
      <c r="T518" s="134"/>
      <c r="U518" s="123"/>
      <c r="V518" s="117">
        <f t="shared" si="276"/>
        <v>0</v>
      </c>
      <c r="W518" s="117">
        <f t="shared" si="277"/>
        <v>0</v>
      </c>
      <c r="X518" s="117">
        <f t="shared" si="278"/>
        <v>0</v>
      </c>
      <c r="Y518" s="117">
        <f t="shared" si="279"/>
        <v>0</v>
      </c>
      <c r="Z518" s="204">
        <f t="shared" si="255"/>
        <v>0</v>
      </c>
    </row>
    <row r="519" spans="1:26" s="113" customFormat="1" hidden="1">
      <c r="A519" s="114" t="s">
        <v>1331</v>
      </c>
      <c r="B519" s="115" t="s">
        <v>939</v>
      </c>
      <c r="C519" s="116" t="s">
        <v>457</v>
      </c>
      <c r="D519" s="116" t="s">
        <v>940</v>
      </c>
      <c r="E519" s="117">
        <v>466300000</v>
      </c>
      <c r="F519" s="117">
        <v>172700000</v>
      </c>
      <c r="G519" s="117">
        <v>165000000</v>
      </c>
      <c r="H519" s="117">
        <v>0</v>
      </c>
      <c r="I519" s="117">
        <v>165000000</v>
      </c>
      <c r="J519" s="118">
        <f t="shared" si="272"/>
        <v>0</v>
      </c>
      <c r="K519" s="117"/>
      <c r="L519" s="117">
        <f t="shared" si="273"/>
        <v>0</v>
      </c>
      <c r="M519" s="117"/>
      <c r="N519" s="117"/>
      <c r="O519" s="117"/>
      <c r="P519" s="117">
        <f t="shared" si="274"/>
        <v>0</v>
      </c>
      <c r="Q519" s="123">
        <v>0</v>
      </c>
      <c r="R519" s="117">
        <f t="shared" si="275"/>
        <v>0</v>
      </c>
      <c r="S519" s="117"/>
      <c r="T519" s="119"/>
      <c r="U519" s="117"/>
      <c r="V519" s="117">
        <f t="shared" si="276"/>
        <v>0</v>
      </c>
      <c r="W519" s="117">
        <f t="shared" si="277"/>
        <v>165000000</v>
      </c>
      <c r="X519" s="117">
        <f t="shared" si="278"/>
        <v>0</v>
      </c>
      <c r="Y519" s="117">
        <f t="shared" si="279"/>
        <v>172700000</v>
      </c>
      <c r="Z519" s="204">
        <f t="shared" si="255"/>
        <v>0</v>
      </c>
    </row>
    <row r="520" spans="1:26" s="173" customFormat="1" hidden="1">
      <c r="A520" s="169"/>
      <c r="B520" s="170"/>
      <c r="C520" s="171"/>
      <c r="D520" s="171"/>
      <c r="E520" s="172"/>
      <c r="F520" s="172"/>
      <c r="G520" s="172"/>
      <c r="H520" s="172"/>
      <c r="I520" s="172"/>
      <c r="J520" s="118"/>
      <c r="K520" s="172"/>
      <c r="L520" s="172"/>
      <c r="M520" s="172"/>
      <c r="N520" s="172"/>
      <c r="O520" s="172"/>
      <c r="P520" s="172"/>
      <c r="Q520" s="172"/>
      <c r="R520" s="172"/>
      <c r="S520" s="172"/>
      <c r="T520" s="172"/>
      <c r="U520" s="172"/>
      <c r="V520" s="172"/>
      <c r="W520" s="172"/>
      <c r="X520" s="172"/>
      <c r="Y520" s="172"/>
      <c r="Z520" s="204">
        <f t="shared" si="255"/>
        <v>0</v>
      </c>
    </row>
    <row r="521" spans="1:26" s="178" customFormat="1" ht="36" hidden="1">
      <c r="A521" s="174" t="s">
        <v>8</v>
      </c>
      <c r="B521" s="175" t="s">
        <v>1332</v>
      </c>
      <c r="C521" s="176"/>
      <c r="D521" s="174"/>
      <c r="E521" s="177"/>
      <c r="F521" s="177">
        <f t="shared" ref="F521:Y521" si="280">SUM(F522,F547,F551,F559,F568)</f>
        <v>394142724959</v>
      </c>
      <c r="G521" s="177">
        <f t="shared" si="280"/>
        <v>69412725492</v>
      </c>
      <c r="H521" s="177">
        <f t="shared" si="280"/>
        <v>9533390000</v>
      </c>
      <c r="I521" s="177">
        <f t="shared" si="280"/>
        <v>40485451004</v>
      </c>
      <c r="J521" s="162">
        <f t="shared" si="280"/>
        <v>19393884488</v>
      </c>
      <c r="K521" s="177">
        <f t="shared" si="280"/>
        <v>0</v>
      </c>
      <c r="L521" s="177">
        <f t="shared" si="280"/>
        <v>0</v>
      </c>
      <c r="M521" s="177">
        <f t="shared" si="280"/>
        <v>0</v>
      </c>
      <c r="N521" s="177">
        <f t="shared" si="280"/>
        <v>0</v>
      </c>
      <c r="O521" s="177">
        <f t="shared" si="280"/>
        <v>0</v>
      </c>
      <c r="P521" s="177">
        <f t="shared" si="280"/>
        <v>0</v>
      </c>
      <c r="Q521" s="177">
        <f t="shared" si="280"/>
        <v>0</v>
      </c>
      <c r="R521" s="177">
        <f t="shared" si="280"/>
        <v>0</v>
      </c>
      <c r="S521" s="177">
        <f t="shared" si="280"/>
        <v>0</v>
      </c>
      <c r="T521" s="177">
        <f t="shared" si="280"/>
        <v>0</v>
      </c>
      <c r="U521" s="177">
        <f t="shared" si="280"/>
        <v>0</v>
      </c>
      <c r="V521" s="177">
        <f t="shared" si="280"/>
        <v>0</v>
      </c>
      <c r="W521" s="177">
        <f t="shared" si="280"/>
        <v>40485451004</v>
      </c>
      <c r="X521" s="177">
        <f t="shared" si="280"/>
        <v>19393884488</v>
      </c>
      <c r="Y521" s="177">
        <f t="shared" si="280"/>
        <v>392225234959</v>
      </c>
      <c r="Z521" s="204">
        <f t="shared" si="255"/>
        <v>0</v>
      </c>
    </row>
    <row r="522" spans="1:26" s="168" customFormat="1" ht="24" hidden="1">
      <c r="A522" s="164" t="s">
        <v>11</v>
      </c>
      <c r="B522" s="165" t="s">
        <v>1333</v>
      </c>
      <c r="C522" s="166"/>
      <c r="D522" s="164"/>
      <c r="E522" s="167"/>
      <c r="F522" s="167">
        <f t="shared" ref="F522:Y522" si="281">SUM(F523:F546)</f>
        <v>100736677413</v>
      </c>
      <c r="G522" s="167">
        <f t="shared" si="281"/>
        <v>13636207984</v>
      </c>
      <c r="H522" s="167">
        <f t="shared" si="281"/>
        <v>0</v>
      </c>
      <c r="I522" s="167">
        <f t="shared" si="281"/>
        <v>11437492359</v>
      </c>
      <c r="J522" s="167">
        <f t="shared" si="281"/>
        <v>2198715625</v>
      </c>
      <c r="K522" s="167">
        <f t="shared" si="281"/>
        <v>0</v>
      </c>
      <c r="L522" s="167">
        <f t="shared" si="281"/>
        <v>0</v>
      </c>
      <c r="M522" s="167">
        <f t="shared" si="281"/>
        <v>0</v>
      </c>
      <c r="N522" s="167">
        <f t="shared" si="281"/>
        <v>0</v>
      </c>
      <c r="O522" s="167">
        <f t="shared" si="281"/>
        <v>0</v>
      </c>
      <c r="P522" s="167">
        <f t="shared" si="281"/>
        <v>0</v>
      </c>
      <c r="Q522" s="167">
        <f t="shared" si="281"/>
        <v>0</v>
      </c>
      <c r="R522" s="167">
        <f t="shared" si="281"/>
        <v>0</v>
      </c>
      <c r="S522" s="167">
        <f t="shared" si="281"/>
        <v>0</v>
      </c>
      <c r="T522" s="167">
        <f t="shared" si="281"/>
        <v>0</v>
      </c>
      <c r="U522" s="167">
        <f t="shared" si="281"/>
        <v>0</v>
      </c>
      <c r="V522" s="167">
        <f t="shared" si="281"/>
        <v>0</v>
      </c>
      <c r="W522" s="167">
        <f t="shared" si="281"/>
        <v>11437492359</v>
      </c>
      <c r="X522" s="167">
        <f t="shared" si="281"/>
        <v>2198715625</v>
      </c>
      <c r="Y522" s="167">
        <f t="shared" si="281"/>
        <v>100736677413</v>
      </c>
      <c r="Z522" s="204">
        <f t="shared" si="255"/>
        <v>0</v>
      </c>
    </row>
    <row r="523" spans="1:26" s="113" customFormat="1" hidden="1">
      <c r="A523" s="114" t="s">
        <v>455</v>
      </c>
      <c r="B523" s="115" t="s">
        <v>1334</v>
      </c>
      <c r="C523" s="116" t="s">
        <v>457</v>
      </c>
      <c r="D523" s="116" t="s">
        <v>1335</v>
      </c>
      <c r="E523" s="117">
        <v>63837427000</v>
      </c>
      <c r="F523" s="117">
        <v>11311249416</v>
      </c>
      <c r="G523" s="125">
        <v>5166217000</v>
      </c>
      <c r="H523" s="117">
        <v>0</v>
      </c>
      <c r="I523" s="117">
        <v>5166217000</v>
      </c>
      <c r="J523" s="118">
        <f t="shared" ref="J523:J546" si="282">G523-H523-I523+N523</f>
        <v>0</v>
      </c>
      <c r="K523" s="117"/>
      <c r="L523" s="117">
        <f t="shared" ref="L523:L584" si="283">SUM(M523:N523)</f>
        <v>0</v>
      </c>
      <c r="M523" s="117"/>
      <c r="N523" s="117"/>
      <c r="O523" s="117"/>
      <c r="P523" s="117"/>
      <c r="Q523" s="117"/>
      <c r="R523" s="117"/>
      <c r="S523" s="117"/>
      <c r="T523" s="117"/>
      <c r="U523" s="117"/>
      <c r="V523" s="117">
        <f t="shared" ref="V523:V584" si="284">Q523-R523-U523</f>
        <v>0</v>
      </c>
      <c r="W523" s="117">
        <f t="shared" ref="W523:W546" si="285">SUM(I523,M523,S523)</f>
        <v>5166217000</v>
      </c>
      <c r="X523" s="117">
        <f t="shared" ref="X523:X546" si="286">G523-H523-I523+N523+T523</f>
        <v>0</v>
      </c>
      <c r="Y523" s="117">
        <f t="shared" ref="Y523:Y546" si="287">F523+L523+R523</f>
        <v>11311249416</v>
      </c>
      <c r="Z523" s="204">
        <f t="shared" si="255"/>
        <v>0</v>
      </c>
    </row>
    <row r="524" spans="1:26" s="113" customFormat="1" ht="24" hidden="1">
      <c r="A524" s="114" t="s">
        <v>459</v>
      </c>
      <c r="B524" s="115" t="s">
        <v>759</v>
      </c>
      <c r="C524" s="116" t="s">
        <v>457</v>
      </c>
      <c r="D524" s="116" t="s">
        <v>760</v>
      </c>
      <c r="E524" s="117">
        <v>31499841216</v>
      </c>
      <c r="F524" s="117">
        <v>9423878084</v>
      </c>
      <c r="G524" s="125">
        <v>3357446000</v>
      </c>
      <c r="H524" s="117">
        <v>0</v>
      </c>
      <c r="I524" s="117">
        <v>3357446000</v>
      </c>
      <c r="J524" s="118">
        <f t="shared" si="282"/>
        <v>0</v>
      </c>
      <c r="K524" s="117"/>
      <c r="L524" s="117">
        <f t="shared" si="283"/>
        <v>0</v>
      </c>
      <c r="M524" s="117"/>
      <c r="N524" s="117"/>
      <c r="O524" s="117"/>
      <c r="P524" s="117"/>
      <c r="Q524" s="117"/>
      <c r="R524" s="117"/>
      <c r="S524" s="117"/>
      <c r="T524" s="117"/>
      <c r="U524" s="117"/>
      <c r="V524" s="117">
        <f t="shared" si="284"/>
        <v>0</v>
      </c>
      <c r="W524" s="117">
        <f t="shared" si="285"/>
        <v>3357446000</v>
      </c>
      <c r="X524" s="117">
        <f t="shared" si="286"/>
        <v>0</v>
      </c>
      <c r="Y524" s="117">
        <f t="shared" si="287"/>
        <v>9423878084</v>
      </c>
      <c r="Z524" s="204">
        <f t="shared" si="255"/>
        <v>0</v>
      </c>
    </row>
    <row r="525" spans="1:26" s="113" customFormat="1" hidden="1">
      <c r="A525" s="114" t="s">
        <v>462</v>
      </c>
      <c r="B525" s="115" t="s">
        <v>1336</v>
      </c>
      <c r="C525" s="116" t="s">
        <v>457</v>
      </c>
      <c r="D525" s="116" t="s">
        <v>1337</v>
      </c>
      <c r="E525" s="117">
        <v>14975000000</v>
      </c>
      <c r="F525" s="117">
        <v>71702000</v>
      </c>
      <c r="G525" s="117">
        <v>23726000</v>
      </c>
      <c r="H525" s="117">
        <v>0</v>
      </c>
      <c r="I525" s="117">
        <v>23726000</v>
      </c>
      <c r="J525" s="118">
        <f t="shared" si="282"/>
        <v>0</v>
      </c>
      <c r="K525" s="117"/>
      <c r="L525" s="117">
        <f t="shared" si="283"/>
        <v>0</v>
      </c>
      <c r="M525" s="117"/>
      <c r="N525" s="117"/>
      <c r="O525" s="117"/>
      <c r="P525" s="117"/>
      <c r="Q525" s="117"/>
      <c r="R525" s="117"/>
      <c r="S525" s="117"/>
      <c r="T525" s="117"/>
      <c r="U525" s="117"/>
      <c r="V525" s="117">
        <f t="shared" si="284"/>
        <v>0</v>
      </c>
      <c r="W525" s="117">
        <f t="shared" si="285"/>
        <v>23726000</v>
      </c>
      <c r="X525" s="117">
        <f t="shared" si="286"/>
        <v>0</v>
      </c>
      <c r="Y525" s="117">
        <f t="shared" si="287"/>
        <v>71702000</v>
      </c>
      <c r="Z525" s="204">
        <f t="shared" ref="Z525:Z588" si="288">S525+M525+I525-W525</f>
        <v>0</v>
      </c>
    </row>
    <row r="526" spans="1:26" s="113" customFormat="1" ht="24" hidden="1">
      <c r="A526" s="114" t="s">
        <v>465</v>
      </c>
      <c r="B526" s="115" t="s">
        <v>1338</v>
      </c>
      <c r="C526" s="116" t="s">
        <v>457</v>
      </c>
      <c r="D526" s="116" t="s">
        <v>1339</v>
      </c>
      <c r="E526" s="117">
        <v>41608000000</v>
      </c>
      <c r="F526" s="117">
        <v>26784381700</v>
      </c>
      <c r="G526" s="117">
        <v>614267000</v>
      </c>
      <c r="H526" s="117">
        <v>0</v>
      </c>
      <c r="I526" s="117">
        <v>614267000</v>
      </c>
      <c r="J526" s="118">
        <f t="shared" si="282"/>
        <v>0</v>
      </c>
      <c r="K526" s="117"/>
      <c r="L526" s="117">
        <f t="shared" si="283"/>
        <v>0</v>
      </c>
      <c r="M526" s="117"/>
      <c r="N526" s="117"/>
      <c r="O526" s="117"/>
      <c r="P526" s="117"/>
      <c r="Q526" s="117"/>
      <c r="R526" s="117"/>
      <c r="S526" s="117"/>
      <c r="T526" s="117"/>
      <c r="U526" s="117"/>
      <c r="V526" s="117">
        <f t="shared" si="284"/>
        <v>0</v>
      </c>
      <c r="W526" s="117">
        <f t="shared" si="285"/>
        <v>614267000</v>
      </c>
      <c r="X526" s="117">
        <f t="shared" si="286"/>
        <v>0</v>
      </c>
      <c r="Y526" s="117">
        <f t="shared" si="287"/>
        <v>26784381700</v>
      </c>
      <c r="Z526" s="204">
        <f t="shared" si="288"/>
        <v>0</v>
      </c>
    </row>
    <row r="527" spans="1:26" s="113" customFormat="1" ht="24" hidden="1">
      <c r="A527" s="114" t="s">
        <v>468</v>
      </c>
      <c r="B527" s="115" t="s">
        <v>1340</v>
      </c>
      <c r="C527" s="116" t="s">
        <v>457</v>
      </c>
      <c r="D527" s="116" t="s">
        <v>1341</v>
      </c>
      <c r="E527" s="117">
        <v>7470174615</v>
      </c>
      <c r="F527" s="117">
        <v>6194074000</v>
      </c>
      <c r="G527" s="117">
        <v>15571000</v>
      </c>
      <c r="H527" s="117">
        <v>0</v>
      </c>
      <c r="I527" s="117">
        <v>15571000</v>
      </c>
      <c r="J527" s="118">
        <f t="shared" si="282"/>
        <v>0</v>
      </c>
      <c r="K527" s="117"/>
      <c r="L527" s="117">
        <f t="shared" si="283"/>
        <v>0</v>
      </c>
      <c r="M527" s="117"/>
      <c r="N527" s="117"/>
      <c r="O527" s="117"/>
      <c r="P527" s="117"/>
      <c r="Q527" s="117"/>
      <c r="R527" s="117"/>
      <c r="S527" s="117"/>
      <c r="T527" s="117"/>
      <c r="U527" s="117"/>
      <c r="V527" s="117">
        <f t="shared" si="284"/>
        <v>0</v>
      </c>
      <c r="W527" s="117">
        <f t="shared" si="285"/>
        <v>15571000</v>
      </c>
      <c r="X527" s="117">
        <f t="shared" si="286"/>
        <v>0</v>
      </c>
      <c r="Y527" s="117">
        <f t="shared" si="287"/>
        <v>6194074000</v>
      </c>
      <c r="Z527" s="204">
        <f t="shared" si="288"/>
        <v>0</v>
      </c>
    </row>
    <row r="528" spans="1:26" s="113" customFormat="1" ht="24" hidden="1">
      <c r="A528" s="114" t="s">
        <v>471</v>
      </c>
      <c r="B528" s="115" t="s">
        <v>1342</v>
      </c>
      <c r="C528" s="116" t="s">
        <v>457</v>
      </c>
      <c r="D528" s="116" t="s">
        <v>1343</v>
      </c>
      <c r="E528" s="117">
        <v>13378000000</v>
      </c>
      <c r="F528" s="117">
        <v>10290501055</v>
      </c>
      <c r="G528" s="117">
        <v>237348000</v>
      </c>
      <c r="H528" s="117">
        <v>0</v>
      </c>
      <c r="I528" s="117">
        <v>237348000</v>
      </c>
      <c r="J528" s="118">
        <f t="shared" si="282"/>
        <v>0</v>
      </c>
      <c r="K528" s="117"/>
      <c r="L528" s="117">
        <f t="shared" si="283"/>
        <v>0</v>
      </c>
      <c r="M528" s="117"/>
      <c r="N528" s="117"/>
      <c r="O528" s="117"/>
      <c r="P528" s="117"/>
      <c r="Q528" s="117"/>
      <c r="R528" s="117"/>
      <c r="S528" s="117"/>
      <c r="T528" s="117"/>
      <c r="U528" s="117"/>
      <c r="V528" s="117">
        <f t="shared" si="284"/>
        <v>0</v>
      </c>
      <c r="W528" s="117">
        <f t="shared" si="285"/>
        <v>237348000</v>
      </c>
      <c r="X528" s="117">
        <f t="shared" si="286"/>
        <v>0</v>
      </c>
      <c r="Y528" s="117">
        <f t="shared" si="287"/>
        <v>10290501055</v>
      </c>
      <c r="Z528" s="204">
        <f t="shared" si="288"/>
        <v>0</v>
      </c>
    </row>
    <row r="529" spans="1:26" s="113" customFormat="1" ht="24" hidden="1">
      <c r="A529" s="114" t="s">
        <v>474</v>
      </c>
      <c r="B529" s="115" t="s">
        <v>1344</v>
      </c>
      <c r="C529" s="116" t="s">
        <v>457</v>
      </c>
      <c r="D529" s="116" t="s">
        <v>1345</v>
      </c>
      <c r="E529" s="117">
        <v>14623000000</v>
      </c>
      <c r="F529" s="117">
        <v>12056524949</v>
      </c>
      <c r="G529" s="117">
        <v>283742000</v>
      </c>
      <c r="H529" s="117">
        <v>0</v>
      </c>
      <c r="I529" s="117">
        <v>283742000</v>
      </c>
      <c r="J529" s="118">
        <f t="shared" si="282"/>
        <v>0</v>
      </c>
      <c r="K529" s="117"/>
      <c r="L529" s="117">
        <f t="shared" si="283"/>
        <v>0</v>
      </c>
      <c r="M529" s="117"/>
      <c r="N529" s="117"/>
      <c r="O529" s="117"/>
      <c r="P529" s="117"/>
      <c r="Q529" s="117"/>
      <c r="R529" s="117"/>
      <c r="S529" s="117"/>
      <c r="T529" s="117"/>
      <c r="U529" s="117"/>
      <c r="V529" s="117">
        <f t="shared" si="284"/>
        <v>0</v>
      </c>
      <c r="W529" s="117">
        <f t="shared" si="285"/>
        <v>283742000</v>
      </c>
      <c r="X529" s="117">
        <f t="shared" si="286"/>
        <v>0</v>
      </c>
      <c r="Y529" s="117">
        <f t="shared" si="287"/>
        <v>12056524949</v>
      </c>
      <c r="Z529" s="204">
        <f t="shared" si="288"/>
        <v>0</v>
      </c>
    </row>
    <row r="530" spans="1:26" s="113" customFormat="1" ht="24" hidden="1">
      <c r="A530" s="114" t="s">
        <v>477</v>
      </c>
      <c r="B530" s="115" t="s">
        <v>1346</v>
      </c>
      <c r="C530" s="116" t="s">
        <v>457</v>
      </c>
      <c r="D530" s="116" t="s">
        <v>1347</v>
      </c>
      <c r="E530" s="117">
        <v>1137711128</v>
      </c>
      <c r="F530" s="117">
        <v>484665000</v>
      </c>
      <c r="G530" s="117">
        <v>19818000</v>
      </c>
      <c r="H530" s="117">
        <v>0</v>
      </c>
      <c r="I530" s="117">
        <v>19818000</v>
      </c>
      <c r="J530" s="118">
        <f t="shared" si="282"/>
        <v>0</v>
      </c>
      <c r="K530" s="117"/>
      <c r="L530" s="117">
        <f t="shared" si="283"/>
        <v>0</v>
      </c>
      <c r="M530" s="117"/>
      <c r="N530" s="117"/>
      <c r="O530" s="117"/>
      <c r="P530" s="117"/>
      <c r="Q530" s="117"/>
      <c r="R530" s="117"/>
      <c r="S530" s="117"/>
      <c r="T530" s="117"/>
      <c r="U530" s="117"/>
      <c r="V530" s="117">
        <f t="shared" si="284"/>
        <v>0</v>
      </c>
      <c r="W530" s="117">
        <f t="shared" si="285"/>
        <v>19818000</v>
      </c>
      <c r="X530" s="117">
        <f t="shared" si="286"/>
        <v>0</v>
      </c>
      <c r="Y530" s="117">
        <f t="shared" si="287"/>
        <v>484665000</v>
      </c>
      <c r="Z530" s="204">
        <f t="shared" si="288"/>
        <v>0</v>
      </c>
    </row>
    <row r="531" spans="1:26" s="113" customFormat="1" ht="24" hidden="1">
      <c r="A531" s="114" t="s">
        <v>480</v>
      </c>
      <c r="B531" s="115" t="s">
        <v>1348</v>
      </c>
      <c r="C531" s="116" t="s">
        <v>457</v>
      </c>
      <c r="D531" s="116" t="s">
        <v>1349</v>
      </c>
      <c r="E531" s="117">
        <v>7278246700</v>
      </c>
      <c r="F531" s="117">
        <v>4546281500</v>
      </c>
      <c r="G531" s="117">
        <v>129270000</v>
      </c>
      <c r="H531" s="117">
        <v>0</v>
      </c>
      <c r="I531" s="117">
        <v>129270000</v>
      </c>
      <c r="J531" s="118">
        <f t="shared" si="282"/>
        <v>0</v>
      </c>
      <c r="K531" s="117"/>
      <c r="L531" s="117">
        <f t="shared" si="283"/>
        <v>0</v>
      </c>
      <c r="M531" s="117"/>
      <c r="N531" s="117"/>
      <c r="O531" s="117"/>
      <c r="P531" s="117"/>
      <c r="Q531" s="117"/>
      <c r="R531" s="117"/>
      <c r="S531" s="117"/>
      <c r="T531" s="117"/>
      <c r="U531" s="117"/>
      <c r="V531" s="117">
        <f t="shared" si="284"/>
        <v>0</v>
      </c>
      <c r="W531" s="117">
        <f t="shared" si="285"/>
        <v>129270000</v>
      </c>
      <c r="X531" s="117">
        <f t="shared" si="286"/>
        <v>0</v>
      </c>
      <c r="Y531" s="117">
        <f t="shared" si="287"/>
        <v>4546281500</v>
      </c>
      <c r="Z531" s="204">
        <f t="shared" si="288"/>
        <v>0</v>
      </c>
    </row>
    <row r="532" spans="1:26" s="113" customFormat="1" ht="24" hidden="1">
      <c r="A532" s="114" t="s">
        <v>483</v>
      </c>
      <c r="B532" s="115" t="s">
        <v>1350</v>
      </c>
      <c r="C532" s="116" t="s">
        <v>457</v>
      </c>
      <c r="D532" s="116" t="s">
        <v>1351</v>
      </c>
      <c r="E532" s="117">
        <v>5557000000</v>
      </c>
      <c r="F532" s="117">
        <v>728002000</v>
      </c>
      <c r="G532" s="117">
        <v>84535000</v>
      </c>
      <c r="H532" s="117"/>
      <c r="I532" s="117">
        <v>0</v>
      </c>
      <c r="J532" s="118">
        <f t="shared" si="282"/>
        <v>84535000</v>
      </c>
      <c r="K532" s="117"/>
      <c r="L532" s="117">
        <f t="shared" si="283"/>
        <v>0</v>
      </c>
      <c r="M532" s="117"/>
      <c r="N532" s="117"/>
      <c r="O532" s="117"/>
      <c r="P532" s="117"/>
      <c r="Q532" s="117"/>
      <c r="R532" s="117"/>
      <c r="S532" s="117"/>
      <c r="T532" s="117"/>
      <c r="U532" s="117"/>
      <c r="V532" s="117">
        <f t="shared" si="284"/>
        <v>0</v>
      </c>
      <c r="W532" s="117">
        <f t="shared" si="285"/>
        <v>0</v>
      </c>
      <c r="X532" s="117">
        <f t="shared" si="286"/>
        <v>84535000</v>
      </c>
      <c r="Y532" s="117">
        <f t="shared" si="287"/>
        <v>728002000</v>
      </c>
      <c r="Z532" s="204">
        <f t="shared" si="288"/>
        <v>0</v>
      </c>
    </row>
    <row r="533" spans="1:26" s="113" customFormat="1" ht="24" hidden="1">
      <c r="A533" s="114" t="s">
        <v>486</v>
      </c>
      <c r="B533" s="115" t="s">
        <v>622</v>
      </c>
      <c r="C533" s="116" t="s">
        <v>457</v>
      </c>
      <c r="D533" s="116" t="s">
        <v>623</v>
      </c>
      <c r="E533" s="117">
        <v>329015000000</v>
      </c>
      <c r="F533" s="117">
        <v>303737466</v>
      </c>
      <c r="G533" s="117">
        <v>172737466</v>
      </c>
      <c r="H533" s="117">
        <v>0</v>
      </c>
      <c r="I533" s="117">
        <v>172737466</v>
      </c>
      <c r="J533" s="118">
        <f t="shared" si="282"/>
        <v>0</v>
      </c>
      <c r="K533" s="117"/>
      <c r="L533" s="117">
        <f t="shared" si="283"/>
        <v>0</v>
      </c>
      <c r="M533" s="117"/>
      <c r="N533" s="117"/>
      <c r="O533" s="117"/>
      <c r="P533" s="117"/>
      <c r="Q533" s="117"/>
      <c r="R533" s="117"/>
      <c r="S533" s="117"/>
      <c r="T533" s="117"/>
      <c r="U533" s="117"/>
      <c r="V533" s="117">
        <f t="shared" si="284"/>
        <v>0</v>
      </c>
      <c r="W533" s="117">
        <f t="shared" si="285"/>
        <v>172737466</v>
      </c>
      <c r="X533" s="117">
        <f t="shared" si="286"/>
        <v>0</v>
      </c>
      <c r="Y533" s="117">
        <f t="shared" si="287"/>
        <v>303737466</v>
      </c>
      <c r="Z533" s="204">
        <f t="shared" si="288"/>
        <v>0</v>
      </c>
    </row>
    <row r="534" spans="1:26" s="113" customFormat="1" hidden="1">
      <c r="A534" s="114" t="s">
        <v>489</v>
      </c>
      <c r="B534" s="115" t="s">
        <v>1301</v>
      </c>
      <c r="C534" s="116" t="s">
        <v>457</v>
      </c>
      <c r="D534" s="116" t="s">
        <v>1302</v>
      </c>
      <c r="E534" s="117">
        <v>3094000000</v>
      </c>
      <c r="F534" s="117">
        <v>153470603</v>
      </c>
      <c r="G534" s="117">
        <v>153470603</v>
      </c>
      <c r="H534" s="117">
        <v>0</v>
      </c>
      <c r="I534" s="117">
        <v>153470603</v>
      </c>
      <c r="J534" s="118">
        <f t="shared" si="282"/>
        <v>0</v>
      </c>
      <c r="K534" s="117"/>
      <c r="L534" s="117">
        <f t="shared" si="283"/>
        <v>0</v>
      </c>
      <c r="M534" s="117"/>
      <c r="N534" s="117"/>
      <c r="O534" s="117"/>
      <c r="P534" s="117"/>
      <c r="Q534" s="117"/>
      <c r="R534" s="117"/>
      <c r="S534" s="117"/>
      <c r="T534" s="117"/>
      <c r="U534" s="117"/>
      <c r="V534" s="117">
        <f t="shared" si="284"/>
        <v>0</v>
      </c>
      <c r="W534" s="117">
        <f t="shared" si="285"/>
        <v>153470603</v>
      </c>
      <c r="X534" s="117">
        <f t="shared" si="286"/>
        <v>0</v>
      </c>
      <c r="Y534" s="117">
        <f t="shared" si="287"/>
        <v>153470603</v>
      </c>
      <c r="Z534" s="204">
        <f t="shared" si="288"/>
        <v>0</v>
      </c>
    </row>
    <row r="535" spans="1:26" s="113" customFormat="1" ht="24" hidden="1">
      <c r="A535" s="114" t="s">
        <v>553</v>
      </c>
      <c r="B535" s="115" t="s">
        <v>1352</v>
      </c>
      <c r="C535" s="116" t="s">
        <v>457</v>
      </c>
      <c r="D535" s="116" t="s">
        <v>1353</v>
      </c>
      <c r="E535" s="117">
        <v>9603000000</v>
      </c>
      <c r="F535" s="117">
        <v>2600000000</v>
      </c>
      <c r="G535" s="117">
        <v>125032743</v>
      </c>
      <c r="H535" s="117">
        <v>0</v>
      </c>
      <c r="I535" s="117">
        <v>125032743</v>
      </c>
      <c r="J535" s="118">
        <f t="shared" si="282"/>
        <v>0</v>
      </c>
      <c r="K535" s="117"/>
      <c r="L535" s="117">
        <f t="shared" si="283"/>
        <v>0</v>
      </c>
      <c r="M535" s="117"/>
      <c r="N535" s="117"/>
      <c r="O535" s="117"/>
      <c r="P535" s="117"/>
      <c r="Q535" s="117"/>
      <c r="R535" s="117"/>
      <c r="S535" s="117"/>
      <c r="T535" s="117"/>
      <c r="U535" s="117"/>
      <c r="V535" s="117">
        <f t="shared" si="284"/>
        <v>0</v>
      </c>
      <c r="W535" s="117">
        <f t="shared" si="285"/>
        <v>125032743</v>
      </c>
      <c r="X535" s="117">
        <f t="shared" si="286"/>
        <v>0</v>
      </c>
      <c r="Y535" s="117">
        <f t="shared" si="287"/>
        <v>2600000000</v>
      </c>
      <c r="Z535" s="204">
        <f t="shared" si="288"/>
        <v>0</v>
      </c>
    </row>
    <row r="536" spans="1:26" s="113" customFormat="1" hidden="1">
      <c r="A536" s="114" t="s">
        <v>559</v>
      </c>
      <c r="B536" s="179" t="s">
        <v>1354</v>
      </c>
      <c r="C536" s="116"/>
      <c r="D536" s="116"/>
      <c r="E536" s="117"/>
      <c r="F536" s="117"/>
      <c r="G536" s="180">
        <v>68247000</v>
      </c>
      <c r="H536" s="117"/>
      <c r="I536" s="117">
        <v>0</v>
      </c>
      <c r="J536" s="118">
        <f t="shared" si="282"/>
        <v>68247000</v>
      </c>
      <c r="K536" s="117"/>
      <c r="L536" s="117">
        <f t="shared" si="283"/>
        <v>0</v>
      </c>
      <c r="M536" s="117"/>
      <c r="N536" s="117"/>
      <c r="O536" s="117"/>
      <c r="P536" s="117"/>
      <c r="Q536" s="117"/>
      <c r="R536" s="117"/>
      <c r="S536" s="117"/>
      <c r="T536" s="117"/>
      <c r="U536" s="117"/>
      <c r="V536" s="117">
        <f t="shared" si="284"/>
        <v>0</v>
      </c>
      <c r="W536" s="117">
        <f t="shared" si="285"/>
        <v>0</v>
      </c>
      <c r="X536" s="117">
        <f t="shared" si="286"/>
        <v>68247000</v>
      </c>
      <c r="Y536" s="117">
        <f t="shared" si="287"/>
        <v>0</v>
      </c>
      <c r="Z536" s="204">
        <f t="shared" si="288"/>
        <v>0</v>
      </c>
    </row>
    <row r="537" spans="1:26" s="113" customFormat="1" hidden="1">
      <c r="A537" s="114" t="s">
        <v>562</v>
      </c>
      <c r="B537" s="179" t="s">
        <v>1355</v>
      </c>
      <c r="C537" s="116"/>
      <c r="D537" s="116"/>
      <c r="E537" s="117"/>
      <c r="F537" s="117"/>
      <c r="G537" s="117">
        <v>79000000</v>
      </c>
      <c r="H537" s="117">
        <v>0</v>
      </c>
      <c r="I537" s="117">
        <v>79000000</v>
      </c>
      <c r="J537" s="118">
        <f t="shared" si="282"/>
        <v>0</v>
      </c>
      <c r="K537" s="117"/>
      <c r="L537" s="117">
        <f t="shared" si="283"/>
        <v>0</v>
      </c>
      <c r="M537" s="117"/>
      <c r="N537" s="117"/>
      <c r="O537" s="117"/>
      <c r="P537" s="117"/>
      <c r="Q537" s="117"/>
      <c r="R537" s="117"/>
      <c r="S537" s="117"/>
      <c r="T537" s="117"/>
      <c r="U537" s="117"/>
      <c r="V537" s="117">
        <f t="shared" si="284"/>
        <v>0</v>
      </c>
      <c r="W537" s="117">
        <f t="shared" si="285"/>
        <v>79000000</v>
      </c>
      <c r="X537" s="117">
        <f t="shared" si="286"/>
        <v>0</v>
      </c>
      <c r="Y537" s="117">
        <f t="shared" si="287"/>
        <v>0</v>
      </c>
      <c r="Z537" s="204">
        <f t="shared" si="288"/>
        <v>0</v>
      </c>
    </row>
    <row r="538" spans="1:26" s="113" customFormat="1" hidden="1">
      <c r="A538" s="114" t="s">
        <v>565</v>
      </c>
      <c r="B538" s="179" t="s">
        <v>1356</v>
      </c>
      <c r="C538" s="116"/>
      <c r="D538" s="116"/>
      <c r="E538" s="117"/>
      <c r="F538" s="117"/>
      <c r="G538" s="117">
        <v>39157157</v>
      </c>
      <c r="H538" s="117">
        <v>0</v>
      </c>
      <c r="I538" s="117">
        <v>39157157</v>
      </c>
      <c r="J538" s="118">
        <f t="shared" si="282"/>
        <v>0</v>
      </c>
      <c r="K538" s="117"/>
      <c r="L538" s="117">
        <f t="shared" si="283"/>
        <v>0</v>
      </c>
      <c r="M538" s="117"/>
      <c r="N538" s="117"/>
      <c r="O538" s="117"/>
      <c r="P538" s="117"/>
      <c r="Q538" s="117"/>
      <c r="R538" s="117"/>
      <c r="S538" s="117"/>
      <c r="T538" s="117"/>
      <c r="U538" s="117"/>
      <c r="V538" s="117">
        <f t="shared" si="284"/>
        <v>0</v>
      </c>
      <c r="W538" s="117">
        <f t="shared" si="285"/>
        <v>39157157</v>
      </c>
      <c r="X538" s="117">
        <f t="shared" si="286"/>
        <v>0</v>
      </c>
      <c r="Y538" s="117">
        <f t="shared" si="287"/>
        <v>0</v>
      </c>
      <c r="Z538" s="204">
        <f t="shared" si="288"/>
        <v>0</v>
      </c>
    </row>
    <row r="539" spans="1:26" s="113" customFormat="1" hidden="1">
      <c r="A539" s="114" t="s">
        <v>568</v>
      </c>
      <c r="B539" s="179" t="s">
        <v>1357</v>
      </c>
      <c r="C539" s="116"/>
      <c r="D539" s="116"/>
      <c r="E539" s="117"/>
      <c r="F539" s="117"/>
      <c r="G539" s="117">
        <v>143700000</v>
      </c>
      <c r="H539" s="117">
        <v>0</v>
      </c>
      <c r="I539" s="117">
        <v>143700000</v>
      </c>
      <c r="J539" s="118">
        <f t="shared" si="282"/>
        <v>0</v>
      </c>
      <c r="K539" s="117"/>
      <c r="L539" s="117">
        <f t="shared" si="283"/>
        <v>0</v>
      </c>
      <c r="M539" s="117"/>
      <c r="N539" s="117"/>
      <c r="O539" s="117"/>
      <c r="P539" s="117"/>
      <c r="Q539" s="117"/>
      <c r="R539" s="117"/>
      <c r="S539" s="117"/>
      <c r="T539" s="117"/>
      <c r="U539" s="117"/>
      <c r="V539" s="117">
        <f t="shared" si="284"/>
        <v>0</v>
      </c>
      <c r="W539" s="117">
        <f t="shared" si="285"/>
        <v>143700000</v>
      </c>
      <c r="X539" s="117">
        <f t="shared" si="286"/>
        <v>0</v>
      </c>
      <c r="Y539" s="117">
        <f t="shared" si="287"/>
        <v>0</v>
      </c>
      <c r="Z539" s="204">
        <f t="shared" si="288"/>
        <v>0</v>
      </c>
    </row>
    <row r="540" spans="1:26" s="113" customFormat="1" hidden="1">
      <c r="A540" s="114" t="s">
        <v>571</v>
      </c>
      <c r="B540" s="179" t="s">
        <v>1358</v>
      </c>
      <c r="C540" s="116"/>
      <c r="D540" s="116"/>
      <c r="E540" s="117"/>
      <c r="F540" s="117"/>
      <c r="G540" s="117">
        <v>1902688000</v>
      </c>
      <c r="H540" s="117"/>
      <c r="I540" s="117">
        <v>0</v>
      </c>
      <c r="J540" s="118">
        <f t="shared" si="282"/>
        <v>1902688000</v>
      </c>
      <c r="K540" s="117"/>
      <c r="L540" s="117">
        <f t="shared" si="283"/>
        <v>0</v>
      </c>
      <c r="M540" s="117"/>
      <c r="N540" s="117"/>
      <c r="O540" s="117"/>
      <c r="P540" s="117"/>
      <c r="Q540" s="117"/>
      <c r="R540" s="117"/>
      <c r="S540" s="117"/>
      <c r="T540" s="117"/>
      <c r="U540" s="117"/>
      <c r="V540" s="117">
        <f t="shared" si="284"/>
        <v>0</v>
      </c>
      <c r="W540" s="117">
        <f t="shared" si="285"/>
        <v>0</v>
      </c>
      <c r="X540" s="117">
        <f t="shared" si="286"/>
        <v>1902688000</v>
      </c>
      <c r="Y540" s="117">
        <f t="shared" si="287"/>
        <v>0</v>
      </c>
      <c r="Z540" s="204">
        <f t="shared" si="288"/>
        <v>0</v>
      </c>
    </row>
    <row r="541" spans="1:26" s="113" customFormat="1" hidden="1">
      <c r="A541" s="114" t="s">
        <v>574</v>
      </c>
      <c r="B541" s="179" t="s">
        <v>1359</v>
      </c>
      <c r="C541" s="116"/>
      <c r="D541" s="116"/>
      <c r="E541" s="117"/>
      <c r="F541" s="117"/>
      <c r="G541" s="117">
        <v>233691015</v>
      </c>
      <c r="H541" s="117"/>
      <c r="I541" s="117">
        <v>92361390</v>
      </c>
      <c r="J541" s="118">
        <f t="shared" si="282"/>
        <v>141329625</v>
      </c>
      <c r="K541" s="117"/>
      <c r="L541" s="117">
        <f t="shared" si="283"/>
        <v>0</v>
      </c>
      <c r="M541" s="117"/>
      <c r="N541" s="117"/>
      <c r="O541" s="117"/>
      <c r="P541" s="117"/>
      <c r="Q541" s="117"/>
      <c r="R541" s="117"/>
      <c r="S541" s="117"/>
      <c r="T541" s="117"/>
      <c r="U541" s="117"/>
      <c r="V541" s="117">
        <f t="shared" si="284"/>
        <v>0</v>
      </c>
      <c r="W541" s="117">
        <f t="shared" si="285"/>
        <v>92361390</v>
      </c>
      <c r="X541" s="117">
        <f t="shared" si="286"/>
        <v>141329625</v>
      </c>
      <c r="Y541" s="117">
        <f t="shared" si="287"/>
        <v>0</v>
      </c>
      <c r="Z541" s="204">
        <f t="shared" si="288"/>
        <v>0</v>
      </c>
    </row>
    <row r="542" spans="1:26" s="113" customFormat="1" hidden="1">
      <c r="A542" s="114" t="s">
        <v>577</v>
      </c>
      <c r="B542" s="179" t="s">
        <v>1360</v>
      </c>
      <c r="C542" s="116"/>
      <c r="D542" s="116"/>
      <c r="E542" s="117"/>
      <c r="F542" s="117"/>
      <c r="G542" s="117">
        <v>513757000</v>
      </c>
      <c r="H542" s="117">
        <v>0</v>
      </c>
      <c r="I542" s="117">
        <v>513757000</v>
      </c>
      <c r="J542" s="118">
        <f t="shared" si="282"/>
        <v>0</v>
      </c>
      <c r="K542" s="117"/>
      <c r="L542" s="117">
        <f t="shared" si="283"/>
        <v>0</v>
      </c>
      <c r="M542" s="117"/>
      <c r="N542" s="117"/>
      <c r="O542" s="117"/>
      <c r="P542" s="117"/>
      <c r="Q542" s="117"/>
      <c r="R542" s="117"/>
      <c r="S542" s="117"/>
      <c r="T542" s="117"/>
      <c r="U542" s="117"/>
      <c r="V542" s="117">
        <f t="shared" si="284"/>
        <v>0</v>
      </c>
      <c r="W542" s="117">
        <f t="shared" si="285"/>
        <v>513757000</v>
      </c>
      <c r="X542" s="117">
        <f t="shared" si="286"/>
        <v>0</v>
      </c>
      <c r="Y542" s="117">
        <f t="shared" si="287"/>
        <v>0</v>
      </c>
      <c r="Z542" s="204">
        <f t="shared" si="288"/>
        <v>0</v>
      </c>
    </row>
    <row r="543" spans="1:26" s="113" customFormat="1" hidden="1">
      <c r="A543" s="114" t="s">
        <v>656</v>
      </c>
      <c r="B543" s="179" t="s">
        <v>1361</v>
      </c>
      <c r="C543" s="116"/>
      <c r="D543" s="116"/>
      <c r="E543" s="117"/>
      <c r="F543" s="117"/>
      <c r="G543" s="117">
        <v>22691000</v>
      </c>
      <c r="H543" s="117">
        <v>0</v>
      </c>
      <c r="I543" s="117">
        <v>22691000</v>
      </c>
      <c r="J543" s="118">
        <f t="shared" si="282"/>
        <v>0</v>
      </c>
      <c r="K543" s="117"/>
      <c r="L543" s="117">
        <f t="shared" si="283"/>
        <v>0</v>
      </c>
      <c r="M543" s="117"/>
      <c r="N543" s="117"/>
      <c r="O543" s="117"/>
      <c r="P543" s="117"/>
      <c r="Q543" s="117"/>
      <c r="R543" s="117"/>
      <c r="S543" s="117"/>
      <c r="T543" s="117"/>
      <c r="U543" s="117"/>
      <c r="V543" s="117">
        <f t="shared" si="284"/>
        <v>0</v>
      </c>
      <c r="W543" s="117">
        <f t="shared" si="285"/>
        <v>22691000</v>
      </c>
      <c r="X543" s="117">
        <f t="shared" si="286"/>
        <v>0</v>
      </c>
      <c r="Y543" s="117">
        <f t="shared" si="287"/>
        <v>0</v>
      </c>
      <c r="Z543" s="204">
        <f t="shared" si="288"/>
        <v>0</v>
      </c>
    </row>
    <row r="544" spans="1:26" s="113" customFormat="1" hidden="1">
      <c r="A544" s="114" t="s">
        <v>659</v>
      </c>
      <c r="B544" s="179" t="s">
        <v>1362</v>
      </c>
      <c r="C544" s="116"/>
      <c r="D544" s="116"/>
      <c r="E544" s="117"/>
      <c r="F544" s="117"/>
      <c r="G544" s="117">
        <v>124180000</v>
      </c>
      <c r="H544" s="117">
        <v>0</v>
      </c>
      <c r="I544" s="117">
        <v>124180000</v>
      </c>
      <c r="J544" s="118">
        <f t="shared" si="282"/>
        <v>0</v>
      </c>
      <c r="K544" s="117"/>
      <c r="L544" s="117">
        <f t="shared" si="283"/>
        <v>0</v>
      </c>
      <c r="M544" s="117"/>
      <c r="N544" s="117"/>
      <c r="O544" s="117"/>
      <c r="P544" s="117"/>
      <c r="Q544" s="117"/>
      <c r="R544" s="117"/>
      <c r="S544" s="117"/>
      <c r="T544" s="117"/>
      <c r="U544" s="117"/>
      <c r="V544" s="117">
        <f t="shared" si="284"/>
        <v>0</v>
      </c>
      <c r="W544" s="117">
        <f t="shared" si="285"/>
        <v>124180000</v>
      </c>
      <c r="X544" s="117">
        <f t="shared" si="286"/>
        <v>0</v>
      </c>
      <c r="Y544" s="117">
        <f t="shared" si="287"/>
        <v>0</v>
      </c>
      <c r="Z544" s="204">
        <f t="shared" si="288"/>
        <v>0</v>
      </c>
    </row>
    <row r="545" spans="1:26" s="113" customFormat="1" hidden="1">
      <c r="A545" s="114" t="s">
        <v>662</v>
      </c>
      <c r="B545" s="115" t="s">
        <v>1363</v>
      </c>
      <c r="C545" s="116" t="s">
        <v>457</v>
      </c>
      <c r="D545" s="116" t="s">
        <v>1364</v>
      </c>
      <c r="E545" s="117">
        <v>30866000000</v>
      </c>
      <c r="F545" s="117">
        <v>12502854640</v>
      </c>
      <c r="G545" s="117">
        <v>1916000</v>
      </c>
      <c r="H545" s="117"/>
      <c r="I545" s="117">
        <v>0</v>
      </c>
      <c r="J545" s="118">
        <f>G545-H545-I545+N545</f>
        <v>1916000</v>
      </c>
      <c r="K545" s="117"/>
      <c r="L545" s="117">
        <f t="shared" si="283"/>
        <v>0</v>
      </c>
      <c r="M545" s="117"/>
      <c r="N545" s="117"/>
      <c r="O545" s="117"/>
      <c r="P545" s="117"/>
      <c r="Q545" s="117"/>
      <c r="R545" s="117"/>
      <c r="S545" s="117"/>
      <c r="T545" s="117"/>
      <c r="U545" s="117"/>
      <c r="V545" s="117">
        <f t="shared" si="284"/>
        <v>0</v>
      </c>
      <c r="W545" s="117">
        <f t="shared" si="285"/>
        <v>0</v>
      </c>
      <c r="X545" s="117">
        <f t="shared" si="286"/>
        <v>1916000</v>
      </c>
      <c r="Y545" s="117">
        <f t="shared" si="287"/>
        <v>12502854640</v>
      </c>
      <c r="Z545" s="204">
        <f t="shared" si="288"/>
        <v>0</v>
      </c>
    </row>
    <row r="546" spans="1:26" s="113" customFormat="1" hidden="1">
      <c r="A546" s="114" t="s">
        <v>665</v>
      </c>
      <c r="B546" s="115" t="s">
        <v>1365</v>
      </c>
      <c r="C546" s="116" t="s">
        <v>457</v>
      </c>
      <c r="D546" s="116" t="s">
        <v>1366</v>
      </c>
      <c r="E546" s="117">
        <v>3613000000</v>
      </c>
      <c r="F546" s="117">
        <v>3285355000</v>
      </c>
      <c r="G546" s="117">
        <v>124000000</v>
      </c>
      <c r="H546" s="117">
        <v>0</v>
      </c>
      <c r="I546" s="117">
        <v>124000000</v>
      </c>
      <c r="J546" s="118">
        <f t="shared" si="282"/>
        <v>0</v>
      </c>
      <c r="K546" s="117"/>
      <c r="L546" s="117">
        <f t="shared" si="283"/>
        <v>0</v>
      </c>
      <c r="M546" s="117"/>
      <c r="N546" s="117"/>
      <c r="O546" s="117"/>
      <c r="P546" s="117"/>
      <c r="Q546" s="117"/>
      <c r="R546" s="117"/>
      <c r="S546" s="117"/>
      <c r="T546" s="117"/>
      <c r="U546" s="117"/>
      <c r="V546" s="117">
        <f t="shared" si="284"/>
        <v>0</v>
      </c>
      <c r="W546" s="117">
        <f t="shared" si="285"/>
        <v>124000000</v>
      </c>
      <c r="X546" s="117">
        <f t="shared" si="286"/>
        <v>0</v>
      </c>
      <c r="Y546" s="117">
        <f t="shared" si="287"/>
        <v>3285355000</v>
      </c>
      <c r="Z546" s="204">
        <f t="shared" si="288"/>
        <v>0</v>
      </c>
    </row>
    <row r="547" spans="1:26" s="168" customFormat="1" ht="24" hidden="1">
      <c r="A547" s="164" t="s">
        <v>16</v>
      </c>
      <c r="B547" s="165" t="s">
        <v>1367</v>
      </c>
      <c r="C547" s="166"/>
      <c r="D547" s="164"/>
      <c r="E547" s="167"/>
      <c r="F547" s="167">
        <f>SUM(F548:F550)</f>
        <v>6181968000</v>
      </c>
      <c r="G547" s="167">
        <f t="shared" ref="G547:Y547" si="289">SUM(G548:G550)</f>
        <v>2392717000</v>
      </c>
      <c r="H547" s="167">
        <f t="shared" si="289"/>
        <v>0</v>
      </c>
      <c r="I547" s="167">
        <f t="shared" si="289"/>
        <v>2392717000</v>
      </c>
      <c r="J547" s="181">
        <f t="shared" si="289"/>
        <v>0</v>
      </c>
      <c r="K547" s="167">
        <f t="shared" si="289"/>
        <v>0</v>
      </c>
      <c r="L547" s="167">
        <f t="shared" si="289"/>
        <v>0</v>
      </c>
      <c r="M547" s="167">
        <f t="shared" si="289"/>
        <v>0</v>
      </c>
      <c r="N547" s="167">
        <f t="shared" si="289"/>
        <v>0</v>
      </c>
      <c r="O547" s="167">
        <f t="shared" si="289"/>
        <v>0</v>
      </c>
      <c r="P547" s="167">
        <f t="shared" si="289"/>
        <v>0</v>
      </c>
      <c r="Q547" s="167">
        <f t="shared" si="289"/>
        <v>0</v>
      </c>
      <c r="R547" s="167">
        <f t="shared" si="289"/>
        <v>0</v>
      </c>
      <c r="S547" s="167">
        <f t="shared" si="289"/>
        <v>0</v>
      </c>
      <c r="T547" s="167">
        <f t="shared" si="289"/>
        <v>0</v>
      </c>
      <c r="U547" s="167">
        <f t="shared" si="289"/>
        <v>0</v>
      </c>
      <c r="V547" s="167">
        <f t="shared" si="289"/>
        <v>0</v>
      </c>
      <c r="W547" s="167">
        <f t="shared" si="289"/>
        <v>2392717000</v>
      </c>
      <c r="X547" s="167">
        <f t="shared" si="289"/>
        <v>0</v>
      </c>
      <c r="Y547" s="167">
        <f t="shared" si="289"/>
        <v>6181968000</v>
      </c>
      <c r="Z547" s="204">
        <f t="shared" si="288"/>
        <v>0</v>
      </c>
    </row>
    <row r="548" spans="1:26" s="113" customFormat="1" hidden="1">
      <c r="A548" s="114" t="s">
        <v>455</v>
      </c>
      <c r="B548" s="115" t="s">
        <v>1368</v>
      </c>
      <c r="C548" s="116" t="s">
        <v>457</v>
      </c>
      <c r="D548" s="116" t="s">
        <v>1369</v>
      </c>
      <c r="E548" s="117">
        <v>5204000000</v>
      </c>
      <c r="F548" s="117">
        <v>2398902000</v>
      </c>
      <c r="G548" s="117">
        <v>83135000</v>
      </c>
      <c r="H548" s="117">
        <v>0</v>
      </c>
      <c r="I548" s="117">
        <v>83135000</v>
      </c>
      <c r="J548" s="118">
        <f>G548-H548-I548+N548</f>
        <v>0</v>
      </c>
      <c r="K548" s="117"/>
      <c r="L548" s="117">
        <f t="shared" si="283"/>
        <v>0</v>
      </c>
      <c r="M548" s="117"/>
      <c r="N548" s="117"/>
      <c r="O548" s="117"/>
      <c r="P548" s="117"/>
      <c r="Q548" s="117"/>
      <c r="R548" s="117"/>
      <c r="S548" s="117"/>
      <c r="T548" s="117"/>
      <c r="U548" s="117"/>
      <c r="V548" s="117">
        <f t="shared" si="284"/>
        <v>0</v>
      </c>
      <c r="W548" s="117">
        <f>SUM(I548,M548,S548)</f>
        <v>83135000</v>
      </c>
      <c r="X548" s="117">
        <f>G548-H548-I548+N548+T548</f>
        <v>0</v>
      </c>
      <c r="Y548" s="117">
        <f>F548+L548+R548</f>
        <v>2398902000</v>
      </c>
      <c r="Z548" s="204">
        <f t="shared" si="288"/>
        <v>0</v>
      </c>
    </row>
    <row r="549" spans="1:26" s="113" customFormat="1" hidden="1">
      <c r="A549" s="114" t="s">
        <v>459</v>
      </c>
      <c r="B549" s="115" t="s">
        <v>1225</v>
      </c>
      <c r="C549" s="116" t="s">
        <v>457</v>
      </c>
      <c r="D549" s="116" t="s">
        <v>1226</v>
      </c>
      <c r="E549" s="117">
        <v>9871000000</v>
      </c>
      <c r="F549" s="117">
        <v>3325978000</v>
      </c>
      <c r="G549" s="117">
        <v>2074071000</v>
      </c>
      <c r="H549" s="117">
        <v>0</v>
      </c>
      <c r="I549" s="117">
        <v>2074071000</v>
      </c>
      <c r="J549" s="118">
        <f>G549-H549-I549+N549</f>
        <v>0</v>
      </c>
      <c r="K549" s="117"/>
      <c r="L549" s="117">
        <f t="shared" si="283"/>
        <v>0</v>
      </c>
      <c r="M549" s="117"/>
      <c r="N549" s="117"/>
      <c r="O549" s="117"/>
      <c r="P549" s="117"/>
      <c r="Q549" s="117"/>
      <c r="R549" s="117"/>
      <c r="S549" s="117"/>
      <c r="T549" s="117"/>
      <c r="U549" s="117"/>
      <c r="V549" s="117">
        <f t="shared" si="284"/>
        <v>0</v>
      </c>
      <c r="W549" s="117">
        <f>SUM(I549,M549,S549)</f>
        <v>2074071000</v>
      </c>
      <c r="X549" s="117">
        <f>G549-H549-I549+N549+T549</f>
        <v>0</v>
      </c>
      <c r="Y549" s="117">
        <f>F549+L549+R549</f>
        <v>3325978000</v>
      </c>
      <c r="Z549" s="204">
        <f t="shared" si="288"/>
        <v>0</v>
      </c>
    </row>
    <row r="550" spans="1:26" s="113" customFormat="1" hidden="1">
      <c r="A550" s="114" t="s">
        <v>462</v>
      </c>
      <c r="B550" s="115" t="s">
        <v>1239</v>
      </c>
      <c r="C550" s="116" t="s">
        <v>457</v>
      </c>
      <c r="D550" s="116" t="s">
        <v>1240</v>
      </c>
      <c r="E550" s="117">
        <v>1570000000</v>
      </c>
      <c r="F550" s="117">
        <v>457088000</v>
      </c>
      <c r="G550" s="117">
        <v>235511000</v>
      </c>
      <c r="H550" s="117">
        <v>0</v>
      </c>
      <c r="I550" s="117">
        <v>235511000</v>
      </c>
      <c r="J550" s="118">
        <f>G550-H550-I550+N550</f>
        <v>0</v>
      </c>
      <c r="K550" s="117"/>
      <c r="L550" s="117">
        <f t="shared" si="283"/>
        <v>0</v>
      </c>
      <c r="M550" s="117"/>
      <c r="N550" s="117"/>
      <c r="O550" s="117"/>
      <c r="P550" s="117"/>
      <c r="Q550" s="117"/>
      <c r="R550" s="117"/>
      <c r="S550" s="117"/>
      <c r="T550" s="117"/>
      <c r="U550" s="117"/>
      <c r="V550" s="117">
        <f t="shared" si="284"/>
        <v>0</v>
      </c>
      <c r="W550" s="117">
        <f>SUM(I550,M550,S550)</f>
        <v>235511000</v>
      </c>
      <c r="X550" s="117">
        <f>G550-H550-I550+N550+T550</f>
        <v>0</v>
      </c>
      <c r="Y550" s="117">
        <f>F550+L550+R550</f>
        <v>457088000</v>
      </c>
      <c r="Z550" s="204">
        <f t="shared" si="288"/>
        <v>0</v>
      </c>
    </row>
    <row r="551" spans="1:26" s="182" customFormat="1" hidden="1">
      <c r="A551" s="164" t="s">
        <v>20</v>
      </c>
      <c r="B551" s="165" t="s">
        <v>1370</v>
      </c>
      <c r="C551" s="166"/>
      <c r="D551" s="164"/>
      <c r="E551" s="167"/>
      <c r="F551" s="167">
        <f t="shared" ref="F551:Y551" si="290">SUM(F552,F557)</f>
        <v>43059963300</v>
      </c>
      <c r="G551" s="167">
        <f t="shared" si="290"/>
        <v>18803327120</v>
      </c>
      <c r="H551" s="167">
        <f t="shared" si="290"/>
        <v>9533390000</v>
      </c>
      <c r="I551" s="167">
        <f t="shared" si="290"/>
        <v>6472443600</v>
      </c>
      <c r="J551" s="167">
        <f t="shared" si="290"/>
        <v>2797493520</v>
      </c>
      <c r="K551" s="167">
        <f t="shared" si="290"/>
        <v>0</v>
      </c>
      <c r="L551" s="167">
        <f t="shared" si="290"/>
        <v>0</v>
      </c>
      <c r="M551" s="167">
        <f t="shared" si="290"/>
        <v>0</v>
      </c>
      <c r="N551" s="167">
        <f t="shared" si="290"/>
        <v>0</v>
      </c>
      <c r="O551" s="167">
        <f t="shared" si="290"/>
        <v>0</v>
      </c>
      <c r="P551" s="167">
        <f t="shared" si="290"/>
        <v>0</v>
      </c>
      <c r="Q551" s="167">
        <f t="shared" si="290"/>
        <v>0</v>
      </c>
      <c r="R551" s="167">
        <f t="shared" si="290"/>
        <v>0</v>
      </c>
      <c r="S551" s="167">
        <f t="shared" si="290"/>
        <v>0</v>
      </c>
      <c r="T551" s="167">
        <f t="shared" si="290"/>
        <v>0</v>
      </c>
      <c r="U551" s="167">
        <f t="shared" si="290"/>
        <v>0</v>
      </c>
      <c r="V551" s="167">
        <f t="shared" si="290"/>
        <v>0</v>
      </c>
      <c r="W551" s="167">
        <f t="shared" si="290"/>
        <v>6472443600</v>
      </c>
      <c r="X551" s="167">
        <f t="shared" si="290"/>
        <v>2797493520</v>
      </c>
      <c r="Y551" s="167">
        <f t="shared" si="290"/>
        <v>43059963300</v>
      </c>
      <c r="Z551" s="204">
        <f t="shared" si="288"/>
        <v>0</v>
      </c>
    </row>
    <row r="552" spans="1:26" s="187" customFormat="1" hidden="1">
      <c r="A552" s="183" t="s">
        <v>1371</v>
      </c>
      <c r="B552" s="184" t="s">
        <v>246</v>
      </c>
      <c r="C552" s="185"/>
      <c r="D552" s="183"/>
      <c r="E552" s="186"/>
      <c r="F552" s="186">
        <f>SUM(F553:F556)</f>
        <v>41220699100</v>
      </c>
      <c r="G552" s="186">
        <f>SUM(G553:G556)</f>
        <v>18392427120</v>
      </c>
      <c r="H552" s="186">
        <f t="shared" ref="H552:Y552" si="291">SUM(H553:H556)</f>
        <v>9533390000</v>
      </c>
      <c r="I552" s="186">
        <f t="shared" si="291"/>
        <v>6061543600</v>
      </c>
      <c r="J552" s="186">
        <f t="shared" si="291"/>
        <v>2797493520</v>
      </c>
      <c r="K552" s="186">
        <f t="shared" si="291"/>
        <v>0</v>
      </c>
      <c r="L552" s="186">
        <f t="shared" si="291"/>
        <v>0</v>
      </c>
      <c r="M552" s="186">
        <f t="shared" si="291"/>
        <v>0</v>
      </c>
      <c r="N552" s="186">
        <f t="shared" si="291"/>
        <v>0</v>
      </c>
      <c r="O552" s="186">
        <f t="shared" si="291"/>
        <v>0</v>
      </c>
      <c r="P552" s="186">
        <f t="shared" si="291"/>
        <v>0</v>
      </c>
      <c r="Q552" s="186">
        <f t="shared" si="291"/>
        <v>0</v>
      </c>
      <c r="R552" s="186">
        <f t="shared" si="291"/>
        <v>0</v>
      </c>
      <c r="S552" s="186">
        <f t="shared" si="291"/>
        <v>0</v>
      </c>
      <c r="T552" s="186">
        <f t="shared" si="291"/>
        <v>0</v>
      </c>
      <c r="U552" s="186">
        <f t="shared" si="291"/>
        <v>0</v>
      </c>
      <c r="V552" s="186">
        <f t="shared" si="291"/>
        <v>0</v>
      </c>
      <c r="W552" s="186">
        <f t="shared" si="291"/>
        <v>6061543600</v>
      </c>
      <c r="X552" s="186">
        <f t="shared" si="291"/>
        <v>2797493520</v>
      </c>
      <c r="Y552" s="186">
        <f t="shared" si="291"/>
        <v>41220699100</v>
      </c>
      <c r="Z552" s="204">
        <f t="shared" si="288"/>
        <v>0</v>
      </c>
    </row>
    <row r="553" spans="1:26" s="113" customFormat="1" hidden="1">
      <c r="A553" s="114" t="s">
        <v>455</v>
      </c>
      <c r="B553" s="115" t="s">
        <v>628</v>
      </c>
      <c r="C553" s="116"/>
      <c r="D553" s="116"/>
      <c r="E553" s="117"/>
      <c r="F553" s="117">
        <v>28000000000</v>
      </c>
      <c r="G553" s="149">
        <v>2797493520</v>
      </c>
      <c r="H553" s="117"/>
      <c r="I553" s="117">
        <v>0</v>
      </c>
      <c r="J553" s="118">
        <f>G553-H553-I553+N553</f>
        <v>2797493520</v>
      </c>
      <c r="K553" s="117"/>
      <c r="L553" s="117">
        <f>SUM(M553:N553)</f>
        <v>0</v>
      </c>
      <c r="M553" s="117"/>
      <c r="N553" s="117"/>
      <c r="O553" s="117"/>
      <c r="P553" s="117"/>
      <c r="Q553" s="117"/>
      <c r="R553" s="117"/>
      <c r="S553" s="117"/>
      <c r="T553" s="117"/>
      <c r="U553" s="117"/>
      <c r="V553" s="117">
        <f>Q553-R553-U553</f>
        <v>0</v>
      </c>
      <c r="W553" s="117">
        <f>SUM(I553,M553,S553)</f>
        <v>0</v>
      </c>
      <c r="X553" s="117">
        <f>G553-H553-I553+N553+T553</f>
        <v>2797493520</v>
      </c>
      <c r="Y553" s="117">
        <f>F553+L553+R553</f>
        <v>28000000000</v>
      </c>
      <c r="Z553" s="204">
        <f t="shared" si="288"/>
        <v>0</v>
      </c>
    </row>
    <row r="554" spans="1:26" s="153" customFormat="1" hidden="1">
      <c r="A554" s="188" t="s">
        <v>459</v>
      </c>
      <c r="B554" s="189" t="s">
        <v>711</v>
      </c>
      <c r="C554" s="190" t="s">
        <v>457</v>
      </c>
      <c r="D554" s="190" t="s">
        <v>712</v>
      </c>
      <c r="E554" s="180">
        <v>83431000000</v>
      </c>
      <c r="F554" s="180">
        <v>9583723100</v>
      </c>
      <c r="G554" s="180">
        <v>6023170600</v>
      </c>
      <c r="H554" s="180">
        <v>0</v>
      </c>
      <c r="I554" s="180">
        <v>6023170600</v>
      </c>
      <c r="J554" s="191">
        <f>G554-H554-I554+N554</f>
        <v>0</v>
      </c>
      <c r="K554" s="180"/>
      <c r="L554" s="180">
        <f>SUM(M554:N554)</f>
        <v>0</v>
      </c>
      <c r="M554" s="180"/>
      <c r="N554" s="180"/>
      <c r="O554" s="180"/>
      <c r="P554" s="180"/>
      <c r="Q554" s="180"/>
      <c r="R554" s="180"/>
      <c r="S554" s="180"/>
      <c r="T554" s="180"/>
      <c r="U554" s="180"/>
      <c r="V554" s="180">
        <f>Q554-R554-U554</f>
        <v>0</v>
      </c>
      <c r="W554" s="180">
        <f>SUM(I554,M554,S554)</f>
        <v>6023170600</v>
      </c>
      <c r="X554" s="180">
        <f>G554-H554-I554+N554+T554</f>
        <v>0</v>
      </c>
      <c r="Y554" s="180">
        <f>F554+L554+R554</f>
        <v>9583723100</v>
      </c>
      <c r="Z554" s="204">
        <f t="shared" si="288"/>
        <v>0</v>
      </c>
    </row>
    <row r="555" spans="1:26" s="113" customFormat="1" ht="24" hidden="1">
      <c r="A555" s="114" t="s">
        <v>462</v>
      </c>
      <c r="B555" s="115" t="s">
        <v>1372</v>
      </c>
      <c r="C555" s="116" t="s">
        <v>457</v>
      </c>
      <c r="D555" s="116" t="s">
        <v>1373</v>
      </c>
      <c r="E555" s="117">
        <v>56936000000</v>
      </c>
      <c r="F555" s="117">
        <v>3636976000</v>
      </c>
      <c r="G555" s="117">
        <v>9533390000</v>
      </c>
      <c r="H555" s="117">
        <v>9533390000</v>
      </c>
      <c r="I555" s="117"/>
      <c r="J555" s="118">
        <f>G555-H555-I555+N555</f>
        <v>0</v>
      </c>
      <c r="K555" s="117"/>
      <c r="L555" s="117">
        <f>SUM(M555:N555)</f>
        <v>0</v>
      </c>
      <c r="M555" s="117"/>
      <c r="N555" s="117"/>
      <c r="O555" s="117"/>
      <c r="P555" s="117"/>
      <c r="Q555" s="117"/>
      <c r="R555" s="117"/>
      <c r="S555" s="117"/>
      <c r="T555" s="117"/>
      <c r="U555" s="117"/>
      <c r="V555" s="117">
        <f>Q555-R555-U555</f>
        <v>0</v>
      </c>
      <c r="W555" s="117">
        <f>SUM(I555,M555,S555)</f>
        <v>0</v>
      </c>
      <c r="X555" s="117">
        <f>G555-H555-I555+N555+T555</f>
        <v>0</v>
      </c>
      <c r="Y555" s="117">
        <f>F555+L555+R555</f>
        <v>3636976000</v>
      </c>
      <c r="Z555" s="204">
        <f t="shared" si="288"/>
        <v>0</v>
      </c>
    </row>
    <row r="556" spans="1:26" s="113" customFormat="1" hidden="1">
      <c r="A556" s="114" t="s">
        <v>465</v>
      </c>
      <c r="B556" s="179" t="s">
        <v>1374</v>
      </c>
      <c r="C556" s="116"/>
      <c r="D556" s="116"/>
      <c r="E556" s="117"/>
      <c r="F556" s="117"/>
      <c r="G556" s="117">
        <v>38373000</v>
      </c>
      <c r="H556" s="117">
        <v>0</v>
      </c>
      <c r="I556" s="117">
        <v>38373000</v>
      </c>
      <c r="J556" s="118">
        <f>G556-H556-I556+N556</f>
        <v>0</v>
      </c>
      <c r="K556" s="117"/>
      <c r="L556" s="117">
        <f>SUM(M556:N556)</f>
        <v>0</v>
      </c>
      <c r="M556" s="117"/>
      <c r="N556" s="117"/>
      <c r="O556" s="117"/>
      <c r="P556" s="117"/>
      <c r="Q556" s="117"/>
      <c r="R556" s="117"/>
      <c r="S556" s="117"/>
      <c r="T556" s="117"/>
      <c r="U556" s="117"/>
      <c r="V556" s="117">
        <f>Q556-R556-U556</f>
        <v>0</v>
      </c>
      <c r="W556" s="117">
        <f>SUM(I556,M556,S556)</f>
        <v>38373000</v>
      </c>
      <c r="X556" s="117">
        <f>G556-H556-I556+N556+T556</f>
        <v>0</v>
      </c>
      <c r="Y556" s="117">
        <f>F556+L556+R556</f>
        <v>0</v>
      </c>
      <c r="Z556" s="204">
        <f t="shared" si="288"/>
        <v>0</v>
      </c>
    </row>
    <row r="557" spans="1:26" s="187" customFormat="1" hidden="1">
      <c r="A557" s="183" t="s">
        <v>1375</v>
      </c>
      <c r="B557" s="184" t="s">
        <v>1376</v>
      </c>
      <c r="C557" s="185"/>
      <c r="D557" s="183"/>
      <c r="E557" s="186"/>
      <c r="F557" s="186">
        <f>SUM(F558)</f>
        <v>1839264200</v>
      </c>
      <c r="G557" s="186">
        <f t="shared" ref="G557:Y557" si="292">SUM(G558)</f>
        <v>410900000</v>
      </c>
      <c r="H557" s="186">
        <f t="shared" si="292"/>
        <v>0</v>
      </c>
      <c r="I557" s="186">
        <f t="shared" si="292"/>
        <v>410900000</v>
      </c>
      <c r="J557" s="186">
        <f t="shared" si="292"/>
        <v>0</v>
      </c>
      <c r="K557" s="186">
        <f t="shared" si="292"/>
        <v>0</v>
      </c>
      <c r="L557" s="186">
        <f t="shared" si="292"/>
        <v>0</v>
      </c>
      <c r="M557" s="186">
        <f t="shared" si="292"/>
        <v>0</v>
      </c>
      <c r="N557" s="186">
        <f t="shared" si="292"/>
        <v>0</v>
      </c>
      <c r="O557" s="186">
        <f t="shared" si="292"/>
        <v>0</v>
      </c>
      <c r="P557" s="186">
        <f t="shared" si="292"/>
        <v>0</v>
      </c>
      <c r="Q557" s="186">
        <f t="shared" si="292"/>
        <v>0</v>
      </c>
      <c r="R557" s="186">
        <f t="shared" si="292"/>
        <v>0</v>
      </c>
      <c r="S557" s="186">
        <f t="shared" si="292"/>
        <v>0</v>
      </c>
      <c r="T557" s="186">
        <f t="shared" si="292"/>
        <v>0</v>
      </c>
      <c r="U557" s="186">
        <f t="shared" si="292"/>
        <v>0</v>
      </c>
      <c r="V557" s="186">
        <f t="shared" si="292"/>
        <v>0</v>
      </c>
      <c r="W557" s="186">
        <f t="shared" si="292"/>
        <v>410900000</v>
      </c>
      <c r="X557" s="186">
        <f t="shared" si="292"/>
        <v>0</v>
      </c>
      <c r="Y557" s="186">
        <f t="shared" si="292"/>
        <v>1839264200</v>
      </c>
      <c r="Z557" s="204">
        <f t="shared" si="288"/>
        <v>0</v>
      </c>
    </row>
    <row r="558" spans="1:26" ht="24" hidden="1">
      <c r="A558" s="114" t="s">
        <v>455</v>
      </c>
      <c r="B558" s="115" t="s">
        <v>620</v>
      </c>
      <c r="C558" s="116" t="s">
        <v>457</v>
      </c>
      <c r="D558" s="116" t="s">
        <v>621</v>
      </c>
      <c r="E558" s="117">
        <v>56219000000</v>
      </c>
      <c r="F558" s="117">
        <v>1839264200</v>
      </c>
      <c r="G558" s="154">
        <v>410900000</v>
      </c>
      <c r="H558" s="154">
        <v>0</v>
      </c>
      <c r="I558" s="154">
        <v>410900000</v>
      </c>
      <c r="J558" s="151">
        <f>G558-H558-I558+N558</f>
        <v>0</v>
      </c>
      <c r="K558" s="117"/>
      <c r="L558" s="117">
        <f t="shared" si="283"/>
        <v>0</v>
      </c>
      <c r="M558" s="117"/>
      <c r="N558" s="117"/>
      <c r="O558" s="117"/>
      <c r="P558" s="117"/>
      <c r="Q558" s="117"/>
      <c r="R558" s="117"/>
      <c r="S558" s="117"/>
      <c r="T558" s="117"/>
      <c r="U558" s="117"/>
      <c r="V558" s="117">
        <f t="shared" si="284"/>
        <v>0</v>
      </c>
      <c r="W558" s="117">
        <f>SUM(I558,M558,S558)</f>
        <v>410900000</v>
      </c>
      <c r="X558" s="117">
        <f>G558-H558-I558+N558+T558</f>
        <v>0</v>
      </c>
      <c r="Y558" s="117">
        <f>F558+L558+R558</f>
        <v>1839264200</v>
      </c>
      <c r="Z558" s="204">
        <f t="shared" si="288"/>
        <v>0</v>
      </c>
    </row>
    <row r="559" spans="1:26" s="182" customFormat="1" hidden="1">
      <c r="A559" s="192" t="s">
        <v>22</v>
      </c>
      <c r="B559" s="193" t="s">
        <v>1377</v>
      </c>
      <c r="C559" s="166"/>
      <c r="D559" s="166"/>
      <c r="E559" s="194"/>
      <c r="F559" s="194">
        <f>SUM(F560:F567)</f>
        <v>12825846407</v>
      </c>
      <c r="G559" s="194">
        <f t="shared" ref="G559:Y559" si="293">SUM(G560:G567)</f>
        <v>5882407005</v>
      </c>
      <c r="H559" s="194">
        <f t="shared" si="293"/>
        <v>0</v>
      </c>
      <c r="I559" s="194">
        <f t="shared" si="293"/>
        <v>3560685948</v>
      </c>
      <c r="J559" s="195">
        <f t="shared" si="293"/>
        <v>2321721057</v>
      </c>
      <c r="K559" s="194">
        <f t="shared" si="293"/>
        <v>0</v>
      </c>
      <c r="L559" s="194">
        <f t="shared" si="293"/>
        <v>0</v>
      </c>
      <c r="M559" s="194">
        <f t="shared" si="293"/>
        <v>0</v>
      </c>
      <c r="N559" s="194">
        <f t="shared" si="293"/>
        <v>0</v>
      </c>
      <c r="O559" s="194">
        <f t="shared" si="293"/>
        <v>0</v>
      </c>
      <c r="P559" s="194">
        <f t="shared" si="293"/>
        <v>0</v>
      </c>
      <c r="Q559" s="194">
        <f t="shared" si="293"/>
        <v>0</v>
      </c>
      <c r="R559" s="194">
        <f t="shared" si="293"/>
        <v>0</v>
      </c>
      <c r="S559" s="194">
        <f t="shared" si="293"/>
        <v>0</v>
      </c>
      <c r="T559" s="194">
        <f t="shared" si="293"/>
        <v>0</v>
      </c>
      <c r="U559" s="194">
        <f t="shared" si="293"/>
        <v>0</v>
      </c>
      <c r="V559" s="194">
        <f t="shared" si="293"/>
        <v>0</v>
      </c>
      <c r="W559" s="194">
        <f t="shared" si="293"/>
        <v>3560685948</v>
      </c>
      <c r="X559" s="194">
        <f t="shared" si="293"/>
        <v>2321721057</v>
      </c>
      <c r="Y559" s="194">
        <f t="shared" si="293"/>
        <v>12825846407</v>
      </c>
      <c r="Z559" s="204">
        <f t="shared" si="288"/>
        <v>0</v>
      </c>
    </row>
    <row r="560" spans="1:26" ht="24" hidden="1">
      <c r="A560" s="114" t="s">
        <v>455</v>
      </c>
      <c r="B560" s="115" t="s">
        <v>616</v>
      </c>
      <c r="C560" s="116" t="s">
        <v>457</v>
      </c>
      <c r="D560" s="116" t="s">
        <v>617</v>
      </c>
      <c r="E560" s="117">
        <v>157876000000</v>
      </c>
      <c r="F560" s="117">
        <f>360000000+1180033798</f>
        <v>1540033798</v>
      </c>
      <c r="G560" s="154">
        <v>1572061500</v>
      </c>
      <c r="H560" s="117"/>
      <c r="I560" s="117">
        <v>1038425660</v>
      </c>
      <c r="J560" s="151">
        <f t="shared" ref="J560:J567" si="294">G560-H560-I560+N560</f>
        <v>533635840</v>
      </c>
      <c r="K560" s="117"/>
      <c r="L560" s="117">
        <f t="shared" si="283"/>
        <v>0</v>
      </c>
      <c r="M560" s="117"/>
      <c r="N560" s="117"/>
      <c r="O560" s="117"/>
      <c r="P560" s="117"/>
      <c r="Q560" s="117"/>
      <c r="R560" s="117"/>
      <c r="S560" s="117"/>
      <c r="T560" s="117"/>
      <c r="U560" s="117"/>
      <c r="V560" s="117">
        <f t="shared" si="284"/>
        <v>0</v>
      </c>
      <c r="W560" s="117">
        <f t="shared" ref="W560:W567" si="295">SUM(I560,M560,S560)</f>
        <v>1038425660</v>
      </c>
      <c r="X560" s="117">
        <f t="shared" ref="X560:X567" si="296">G560-H560-I560+N560+T560</f>
        <v>533635840</v>
      </c>
      <c r="Y560" s="117">
        <f t="shared" ref="Y560:Y567" si="297">F560+L560+R560</f>
        <v>1540033798</v>
      </c>
      <c r="Z560" s="204">
        <f t="shared" si="288"/>
        <v>0</v>
      </c>
    </row>
    <row r="561" spans="1:26" ht="24" hidden="1">
      <c r="A561" s="114" t="s">
        <v>459</v>
      </c>
      <c r="B561" s="115" t="s">
        <v>624</v>
      </c>
      <c r="C561" s="116" t="s">
        <v>457</v>
      </c>
      <c r="D561" s="116" t="s">
        <v>625</v>
      </c>
      <c r="E561" s="117">
        <v>1343808699235</v>
      </c>
      <c r="F561" s="117">
        <v>8273058581</v>
      </c>
      <c r="G561" s="154">
        <v>2044323664</v>
      </c>
      <c r="H561" s="117"/>
      <c r="I561" s="117">
        <v>1523401793</v>
      </c>
      <c r="J561" s="151">
        <f t="shared" si="294"/>
        <v>520921871</v>
      </c>
      <c r="K561" s="117"/>
      <c r="L561" s="117">
        <f t="shared" si="283"/>
        <v>0</v>
      </c>
      <c r="M561" s="117"/>
      <c r="N561" s="117"/>
      <c r="O561" s="117"/>
      <c r="P561" s="117"/>
      <c r="Q561" s="117"/>
      <c r="R561" s="117"/>
      <c r="S561" s="117"/>
      <c r="T561" s="117"/>
      <c r="U561" s="117"/>
      <c r="V561" s="117">
        <f t="shared" si="284"/>
        <v>0</v>
      </c>
      <c r="W561" s="117">
        <f t="shared" si="295"/>
        <v>1523401793</v>
      </c>
      <c r="X561" s="117">
        <f t="shared" si="296"/>
        <v>520921871</v>
      </c>
      <c r="Y561" s="117">
        <f t="shared" si="297"/>
        <v>8273058581</v>
      </c>
      <c r="Z561" s="204">
        <f t="shared" si="288"/>
        <v>0</v>
      </c>
    </row>
    <row r="562" spans="1:26" hidden="1">
      <c r="A562" s="114" t="s">
        <v>462</v>
      </c>
      <c r="B562" s="179" t="s">
        <v>1378</v>
      </c>
      <c r="C562" s="116"/>
      <c r="D562" s="116"/>
      <c r="E562" s="117"/>
      <c r="F562" s="117"/>
      <c r="G562" s="154">
        <v>471841097</v>
      </c>
      <c r="H562" s="154">
        <v>0</v>
      </c>
      <c r="I562" s="154">
        <v>471841097</v>
      </c>
      <c r="J562" s="151">
        <f t="shared" si="294"/>
        <v>0</v>
      </c>
      <c r="K562" s="117"/>
      <c r="L562" s="117">
        <f t="shared" si="283"/>
        <v>0</v>
      </c>
      <c r="M562" s="117"/>
      <c r="N562" s="117"/>
      <c r="O562" s="117"/>
      <c r="P562" s="117"/>
      <c r="Q562" s="117"/>
      <c r="R562" s="117"/>
      <c r="S562" s="117"/>
      <c r="T562" s="117"/>
      <c r="U562" s="117"/>
      <c r="V562" s="117">
        <f t="shared" si="284"/>
        <v>0</v>
      </c>
      <c r="W562" s="117">
        <f t="shared" si="295"/>
        <v>471841097</v>
      </c>
      <c r="X562" s="117">
        <f t="shared" si="296"/>
        <v>0</v>
      </c>
      <c r="Y562" s="117">
        <f t="shared" si="297"/>
        <v>0</v>
      </c>
      <c r="Z562" s="204">
        <f t="shared" si="288"/>
        <v>0</v>
      </c>
    </row>
    <row r="563" spans="1:26" hidden="1">
      <c r="A563" s="114" t="s">
        <v>465</v>
      </c>
      <c r="B563" s="179" t="s">
        <v>1379</v>
      </c>
      <c r="C563" s="116"/>
      <c r="D563" s="116"/>
      <c r="E563" s="117"/>
      <c r="F563" s="117"/>
      <c r="G563" s="154">
        <v>238790398</v>
      </c>
      <c r="H563" s="154">
        <v>0</v>
      </c>
      <c r="I563" s="154">
        <v>238790398</v>
      </c>
      <c r="J563" s="151">
        <f t="shared" si="294"/>
        <v>0</v>
      </c>
      <c r="K563" s="117"/>
      <c r="L563" s="117">
        <f t="shared" si="283"/>
        <v>0</v>
      </c>
      <c r="M563" s="117"/>
      <c r="N563" s="117"/>
      <c r="O563" s="117"/>
      <c r="P563" s="117"/>
      <c r="Q563" s="117"/>
      <c r="R563" s="117"/>
      <c r="S563" s="117"/>
      <c r="T563" s="117"/>
      <c r="U563" s="117"/>
      <c r="V563" s="117">
        <f t="shared" si="284"/>
        <v>0</v>
      </c>
      <c r="W563" s="117">
        <f t="shared" si="295"/>
        <v>238790398</v>
      </c>
      <c r="X563" s="117">
        <f t="shared" si="296"/>
        <v>0</v>
      </c>
      <c r="Y563" s="117">
        <f t="shared" si="297"/>
        <v>0</v>
      </c>
      <c r="Z563" s="204">
        <f t="shared" si="288"/>
        <v>0</v>
      </c>
    </row>
    <row r="564" spans="1:26" hidden="1">
      <c r="A564" s="114" t="s">
        <v>468</v>
      </c>
      <c r="B564" s="179" t="s">
        <v>1380</v>
      </c>
      <c r="C564" s="116"/>
      <c r="D564" s="116"/>
      <c r="E564" s="117"/>
      <c r="F564" s="117"/>
      <c r="G564" s="154">
        <v>38816000</v>
      </c>
      <c r="H564" s="154">
        <v>0</v>
      </c>
      <c r="I564" s="154">
        <v>38816000</v>
      </c>
      <c r="J564" s="151">
        <f t="shared" si="294"/>
        <v>0</v>
      </c>
      <c r="K564" s="117"/>
      <c r="L564" s="117">
        <f t="shared" si="283"/>
        <v>0</v>
      </c>
      <c r="M564" s="117"/>
      <c r="N564" s="117"/>
      <c r="O564" s="117"/>
      <c r="P564" s="117"/>
      <c r="Q564" s="117"/>
      <c r="R564" s="117"/>
      <c r="S564" s="117"/>
      <c r="T564" s="117"/>
      <c r="U564" s="117"/>
      <c r="V564" s="117">
        <f t="shared" si="284"/>
        <v>0</v>
      </c>
      <c r="W564" s="117">
        <f t="shared" si="295"/>
        <v>38816000</v>
      </c>
      <c r="X564" s="117">
        <f t="shared" si="296"/>
        <v>0</v>
      </c>
      <c r="Y564" s="117">
        <f t="shared" si="297"/>
        <v>0</v>
      </c>
      <c r="Z564" s="204">
        <f t="shared" si="288"/>
        <v>0</v>
      </c>
    </row>
    <row r="565" spans="1:26" hidden="1">
      <c r="A565" s="114" t="s">
        <v>471</v>
      </c>
      <c r="B565" s="179" t="s">
        <v>1381</v>
      </c>
      <c r="C565" s="116"/>
      <c r="D565" s="116"/>
      <c r="E565" s="117"/>
      <c r="F565" s="117"/>
      <c r="G565" s="154">
        <v>85930000</v>
      </c>
      <c r="H565" s="154">
        <v>0</v>
      </c>
      <c r="I565" s="154">
        <v>85930000</v>
      </c>
      <c r="J565" s="151">
        <f t="shared" si="294"/>
        <v>0</v>
      </c>
      <c r="K565" s="117"/>
      <c r="L565" s="117">
        <f t="shared" si="283"/>
        <v>0</v>
      </c>
      <c r="M565" s="117"/>
      <c r="N565" s="117"/>
      <c r="O565" s="117"/>
      <c r="P565" s="117"/>
      <c r="Q565" s="117"/>
      <c r="R565" s="117"/>
      <c r="S565" s="117"/>
      <c r="T565" s="117"/>
      <c r="U565" s="117"/>
      <c r="V565" s="117">
        <f t="shared" si="284"/>
        <v>0</v>
      </c>
      <c r="W565" s="117">
        <f t="shared" si="295"/>
        <v>85930000</v>
      </c>
      <c r="X565" s="117">
        <f t="shared" si="296"/>
        <v>0</v>
      </c>
      <c r="Y565" s="117">
        <f t="shared" si="297"/>
        <v>0</v>
      </c>
      <c r="Z565" s="204">
        <f t="shared" si="288"/>
        <v>0</v>
      </c>
    </row>
    <row r="566" spans="1:26" hidden="1">
      <c r="A566" s="114" t="s">
        <v>474</v>
      </c>
      <c r="B566" s="115" t="s">
        <v>1382</v>
      </c>
      <c r="C566" s="116" t="s">
        <v>457</v>
      </c>
      <c r="D566" s="116" t="s">
        <v>1383</v>
      </c>
      <c r="E566" s="117">
        <v>389967000000</v>
      </c>
      <c r="F566" s="117">
        <v>1351024346</v>
      </c>
      <c r="G566" s="154">
        <v>1351024346</v>
      </c>
      <c r="H566" s="117"/>
      <c r="I566" s="117">
        <v>83861000</v>
      </c>
      <c r="J566" s="151">
        <f t="shared" si="294"/>
        <v>1267163346</v>
      </c>
      <c r="K566" s="117"/>
      <c r="L566" s="117">
        <f t="shared" si="283"/>
        <v>0</v>
      </c>
      <c r="M566" s="117"/>
      <c r="N566" s="117"/>
      <c r="O566" s="117"/>
      <c r="P566" s="117"/>
      <c r="Q566" s="117"/>
      <c r="R566" s="117"/>
      <c r="S566" s="117"/>
      <c r="T566" s="117"/>
      <c r="U566" s="117"/>
      <c r="V566" s="117">
        <f t="shared" si="284"/>
        <v>0</v>
      </c>
      <c r="W566" s="117">
        <f t="shared" si="295"/>
        <v>83861000</v>
      </c>
      <c r="X566" s="117">
        <f t="shared" si="296"/>
        <v>1267163346</v>
      </c>
      <c r="Y566" s="117">
        <f t="shared" si="297"/>
        <v>1351024346</v>
      </c>
      <c r="Z566" s="204">
        <f t="shared" si="288"/>
        <v>0</v>
      </c>
    </row>
    <row r="567" spans="1:26" hidden="1">
      <c r="A567" s="114" t="s">
        <v>477</v>
      </c>
      <c r="B567" s="115" t="s">
        <v>868</v>
      </c>
      <c r="C567" s="116" t="s">
        <v>457</v>
      </c>
      <c r="D567" s="116" t="s">
        <v>869</v>
      </c>
      <c r="E567" s="117">
        <v>32236000000</v>
      </c>
      <c r="F567" s="117">
        <v>1661729682</v>
      </c>
      <c r="G567" s="154">
        <v>79620000</v>
      </c>
      <c r="H567" s="154">
        <v>0</v>
      </c>
      <c r="I567" s="154">
        <v>79620000</v>
      </c>
      <c r="J567" s="151">
        <f t="shared" si="294"/>
        <v>0</v>
      </c>
      <c r="K567" s="117"/>
      <c r="L567" s="117">
        <f t="shared" si="283"/>
        <v>0</v>
      </c>
      <c r="M567" s="117"/>
      <c r="N567" s="117"/>
      <c r="O567" s="117"/>
      <c r="P567" s="117"/>
      <c r="Q567" s="117"/>
      <c r="R567" s="117"/>
      <c r="S567" s="117"/>
      <c r="T567" s="117"/>
      <c r="U567" s="117"/>
      <c r="V567" s="117">
        <f t="shared" si="284"/>
        <v>0</v>
      </c>
      <c r="W567" s="117">
        <f t="shared" si="295"/>
        <v>79620000</v>
      </c>
      <c r="X567" s="117">
        <f t="shared" si="296"/>
        <v>0</v>
      </c>
      <c r="Y567" s="117">
        <f t="shared" si="297"/>
        <v>1661729682</v>
      </c>
      <c r="Z567" s="204">
        <f t="shared" si="288"/>
        <v>0</v>
      </c>
    </row>
    <row r="568" spans="1:26" s="182" customFormat="1" hidden="1">
      <c r="A568" s="164" t="s">
        <v>24</v>
      </c>
      <c r="B568" s="165" t="s">
        <v>1384</v>
      </c>
      <c r="C568" s="166"/>
      <c r="D568" s="164"/>
      <c r="E568" s="167"/>
      <c r="F568" s="167">
        <f t="shared" ref="F568:Y568" si="298">SUM(F569:F584)</f>
        <v>231338269839</v>
      </c>
      <c r="G568" s="167">
        <f t="shared" si="298"/>
        <v>28698066383</v>
      </c>
      <c r="H568" s="167">
        <f t="shared" si="298"/>
        <v>0</v>
      </c>
      <c r="I568" s="167">
        <f t="shared" si="298"/>
        <v>16622112097</v>
      </c>
      <c r="J568" s="181">
        <f t="shared" si="298"/>
        <v>12075954286</v>
      </c>
      <c r="K568" s="167">
        <f t="shared" si="298"/>
        <v>0</v>
      </c>
      <c r="L568" s="167">
        <f t="shared" si="298"/>
        <v>0</v>
      </c>
      <c r="M568" s="167">
        <f t="shared" si="298"/>
        <v>0</v>
      </c>
      <c r="N568" s="167">
        <f t="shared" si="298"/>
        <v>0</v>
      </c>
      <c r="O568" s="167">
        <f t="shared" si="298"/>
        <v>0</v>
      </c>
      <c r="P568" s="167">
        <f t="shared" si="298"/>
        <v>0</v>
      </c>
      <c r="Q568" s="167">
        <f t="shared" si="298"/>
        <v>0</v>
      </c>
      <c r="R568" s="167">
        <f t="shared" si="298"/>
        <v>0</v>
      </c>
      <c r="S568" s="167">
        <f t="shared" si="298"/>
        <v>0</v>
      </c>
      <c r="T568" s="167">
        <f t="shared" si="298"/>
        <v>0</v>
      </c>
      <c r="U568" s="167">
        <f t="shared" si="298"/>
        <v>0</v>
      </c>
      <c r="V568" s="167">
        <f t="shared" si="298"/>
        <v>0</v>
      </c>
      <c r="W568" s="167">
        <f t="shared" si="298"/>
        <v>16622112097</v>
      </c>
      <c r="X568" s="167">
        <f t="shared" si="298"/>
        <v>12075954286</v>
      </c>
      <c r="Y568" s="167">
        <f t="shared" si="298"/>
        <v>229420779839</v>
      </c>
      <c r="Z568" s="204">
        <f t="shared" si="288"/>
        <v>0</v>
      </c>
    </row>
    <row r="569" spans="1:26" s="113" customFormat="1" hidden="1">
      <c r="A569" s="114" t="s">
        <v>455</v>
      </c>
      <c r="B569" s="179" t="s">
        <v>1385</v>
      </c>
      <c r="C569" s="116"/>
      <c r="D569" s="116"/>
      <c r="E569" s="117"/>
      <c r="F569" s="117"/>
      <c r="G569" s="117">
        <v>15371000</v>
      </c>
      <c r="H569" s="117"/>
      <c r="I569" s="117">
        <v>0</v>
      </c>
      <c r="J569" s="118">
        <f t="shared" ref="J569:J584" si="299">G569-H569-I569+N569</f>
        <v>15371000</v>
      </c>
      <c r="K569" s="117"/>
      <c r="L569" s="117">
        <f t="shared" si="283"/>
        <v>0</v>
      </c>
      <c r="M569" s="117"/>
      <c r="N569" s="117"/>
      <c r="O569" s="117"/>
      <c r="P569" s="117"/>
      <c r="Q569" s="117"/>
      <c r="R569" s="117"/>
      <c r="S569" s="117"/>
      <c r="T569" s="117"/>
      <c r="U569" s="117"/>
      <c r="V569" s="117">
        <f t="shared" si="284"/>
        <v>0</v>
      </c>
      <c r="W569" s="117">
        <f t="shared" ref="W569:W584" si="300">SUM(I569,M569,S569)</f>
        <v>0</v>
      </c>
      <c r="X569" s="117">
        <f t="shared" ref="X569:X584" si="301">G569-H569-I569+N569+T569</f>
        <v>15371000</v>
      </c>
      <c r="Y569" s="117">
        <f t="shared" ref="Y569:Y584" si="302">F569+L569+R569</f>
        <v>0</v>
      </c>
      <c r="Z569" s="204">
        <f t="shared" si="288"/>
        <v>0</v>
      </c>
    </row>
    <row r="570" spans="1:26" s="113" customFormat="1" ht="24" hidden="1">
      <c r="A570" s="114" t="s">
        <v>459</v>
      </c>
      <c r="B570" s="115" t="s">
        <v>1113</v>
      </c>
      <c r="C570" s="116" t="s">
        <v>457</v>
      </c>
      <c r="D570" s="116" t="s">
        <v>1114</v>
      </c>
      <c r="E570" s="117">
        <v>12974000000</v>
      </c>
      <c r="F570" s="117">
        <v>2000000000</v>
      </c>
      <c r="G570" s="117">
        <v>82510000</v>
      </c>
      <c r="H570" s="117">
        <v>0</v>
      </c>
      <c r="I570" s="117">
        <v>82510000</v>
      </c>
      <c r="J570" s="118">
        <f t="shared" si="299"/>
        <v>0</v>
      </c>
      <c r="K570" s="117"/>
      <c r="L570" s="117">
        <f t="shared" si="283"/>
        <v>0</v>
      </c>
      <c r="M570" s="117"/>
      <c r="N570" s="117"/>
      <c r="O570" s="117"/>
      <c r="P570" s="117">
        <f>K570-L570-O570</f>
        <v>0</v>
      </c>
      <c r="Q570" s="117"/>
      <c r="R570" s="117">
        <f>SUM(S570:T570)</f>
        <v>0</v>
      </c>
      <c r="S570" s="117"/>
      <c r="T570" s="119"/>
      <c r="U570" s="117"/>
      <c r="V570" s="117">
        <f t="shared" si="284"/>
        <v>0</v>
      </c>
      <c r="W570" s="117">
        <f t="shared" si="300"/>
        <v>82510000</v>
      </c>
      <c r="X570" s="117">
        <f t="shared" si="301"/>
        <v>0</v>
      </c>
      <c r="Y570" s="117">
        <v>82510000</v>
      </c>
      <c r="Z570" s="204">
        <f t="shared" si="288"/>
        <v>0</v>
      </c>
    </row>
    <row r="571" spans="1:26" s="124" customFormat="1" hidden="1">
      <c r="A571" s="114" t="s">
        <v>462</v>
      </c>
      <c r="B571" s="196" t="s">
        <v>1386</v>
      </c>
      <c r="C571" s="122"/>
      <c r="D571" s="122"/>
      <c r="E571" s="123"/>
      <c r="F571" s="123"/>
      <c r="G571" s="123">
        <v>532030000</v>
      </c>
      <c r="H571" s="123">
        <v>0</v>
      </c>
      <c r="I571" s="123">
        <v>532030000</v>
      </c>
      <c r="J571" s="133">
        <f t="shared" si="299"/>
        <v>0</v>
      </c>
      <c r="K571" s="123"/>
      <c r="L571" s="123">
        <f t="shared" si="283"/>
        <v>0</v>
      </c>
      <c r="M571" s="123"/>
      <c r="N571" s="123"/>
      <c r="O571" s="123"/>
      <c r="P571" s="123"/>
      <c r="Q571" s="123"/>
      <c r="R571" s="123"/>
      <c r="S571" s="123"/>
      <c r="T571" s="123"/>
      <c r="U571" s="123"/>
      <c r="V571" s="123">
        <f t="shared" si="284"/>
        <v>0</v>
      </c>
      <c r="W571" s="117">
        <f t="shared" si="300"/>
        <v>532030000</v>
      </c>
      <c r="X571" s="117">
        <f t="shared" si="301"/>
        <v>0</v>
      </c>
      <c r="Y571" s="117">
        <f t="shared" si="302"/>
        <v>0</v>
      </c>
      <c r="Z571" s="204">
        <f t="shared" si="288"/>
        <v>0</v>
      </c>
    </row>
    <row r="572" spans="1:26" s="113" customFormat="1" hidden="1">
      <c r="A572" s="114" t="s">
        <v>465</v>
      </c>
      <c r="B572" s="179" t="s">
        <v>1387</v>
      </c>
      <c r="C572" s="116"/>
      <c r="D572" s="116"/>
      <c r="E572" s="117"/>
      <c r="F572" s="117"/>
      <c r="G572" s="117">
        <v>199563000</v>
      </c>
      <c r="H572" s="117"/>
      <c r="I572" s="117">
        <v>0</v>
      </c>
      <c r="J572" s="118">
        <f t="shared" si="299"/>
        <v>199563000</v>
      </c>
      <c r="K572" s="117"/>
      <c r="L572" s="117">
        <f t="shared" si="283"/>
        <v>0</v>
      </c>
      <c r="M572" s="117"/>
      <c r="N572" s="117"/>
      <c r="O572" s="117"/>
      <c r="P572" s="117"/>
      <c r="Q572" s="117"/>
      <c r="R572" s="117"/>
      <c r="S572" s="117"/>
      <c r="T572" s="117"/>
      <c r="U572" s="117"/>
      <c r="V572" s="117">
        <f t="shared" si="284"/>
        <v>0</v>
      </c>
      <c r="W572" s="117">
        <f t="shared" si="300"/>
        <v>0</v>
      </c>
      <c r="X572" s="117">
        <f t="shared" si="301"/>
        <v>199563000</v>
      </c>
      <c r="Y572" s="117">
        <f t="shared" si="302"/>
        <v>0</v>
      </c>
      <c r="Z572" s="204">
        <f t="shared" si="288"/>
        <v>0</v>
      </c>
    </row>
    <row r="573" spans="1:26" s="113" customFormat="1" hidden="1">
      <c r="A573" s="114" t="s">
        <v>468</v>
      </c>
      <c r="B573" s="179" t="s">
        <v>1388</v>
      </c>
      <c r="C573" s="116"/>
      <c r="D573" s="116"/>
      <c r="E573" s="117"/>
      <c r="F573" s="117"/>
      <c r="G573" s="117">
        <v>53271014</v>
      </c>
      <c r="H573" s="117">
        <v>0</v>
      </c>
      <c r="I573" s="117">
        <v>53271014</v>
      </c>
      <c r="J573" s="118">
        <f t="shared" si="299"/>
        <v>0</v>
      </c>
      <c r="K573" s="117"/>
      <c r="L573" s="117">
        <f t="shared" si="283"/>
        <v>0</v>
      </c>
      <c r="M573" s="117"/>
      <c r="N573" s="117"/>
      <c r="O573" s="117"/>
      <c r="P573" s="117"/>
      <c r="Q573" s="117"/>
      <c r="R573" s="117"/>
      <c r="S573" s="117"/>
      <c r="T573" s="117"/>
      <c r="U573" s="117"/>
      <c r="V573" s="117">
        <f t="shared" si="284"/>
        <v>0</v>
      </c>
      <c r="W573" s="117">
        <f t="shared" si="300"/>
        <v>53271014</v>
      </c>
      <c r="X573" s="117">
        <f t="shared" si="301"/>
        <v>0</v>
      </c>
      <c r="Y573" s="117">
        <f t="shared" si="302"/>
        <v>0</v>
      </c>
      <c r="Z573" s="204">
        <f t="shared" si="288"/>
        <v>0</v>
      </c>
    </row>
    <row r="574" spans="1:26" s="132" customFormat="1" ht="24" hidden="1">
      <c r="A574" s="114" t="s">
        <v>471</v>
      </c>
      <c r="B574" s="126" t="s">
        <v>969</v>
      </c>
      <c r="C574" s="127" t="s">
        <v>457</v>
      </c>
      <c r="D574" s="127" t="s">
        <v>970</v>
      </c>
      <c r="E574" s="128">
        <v>26529000000</v>
      </c>
      <c r="F574" s="128">
        <v>7063747822</v>
      </c>
      <c r="G574" s="128">
        <v>226585532</v>
      </c>
      <c r="H574" s="128">
        <v>0</v>
      </c>
      <c r="I574" s="128">
        <v>226585532</v>
      </c>
      <c r="J574" s="118">
        <f t="shared" si="299"/>
        <v>0</v>
      </c>
      <c r="K574" s="128"/>
      <c r="L574" s="128">
        <f t="shared" si="283"/>
        <v>0</v>
      </c>
      <c r="M574" s="128"/>
      <c r="N574" s="128"/>
      <c r="O574" s="128"/>
      <c r="P574" s="128"/>
      <c r="Q574" s="128"/>
      <c r="R574" s="128"/>
      <c r="S574" s="128"/>
      <c r="T574" s="128"/>
      <c r="U574" s="128"/>
      <c r="V574" s="128">
        <f t="shared" si="284"/>
        <v>0</v>
      </c>
      <c r="W574" s="128">
        <f t="shared" si="300"/>
        <v>226585532</v>
      </c>
      <c r="X574" s="128">
        <f t="shared" si="301"/>
        <v>0</v>
      </c>
      <c r="Y574" s="128">
        <f t="shared" si="302"/>
        <v>7063747822</v>
      </c>
      <c r="Z574" s="204">
        <f t="shared" si="288"/>
        <v>0</v>
      </c>
    </row>
    <row r="575" spans="1:26" s="113" customFormat="1" hidden="1">
      <c r="A575" s="114" t="s">
        <v>474</v>
      </c>
      <c r="B575" s="115" t="s">
        <v>967</v>
      </c>
      <c r="C575" s="116" t="s">
        <v>457</v>
      </c>
      <c r="D575" s="116" t="s">
        <v>968</v>
      </c>
      <c r="E575" s="117">
        <v>59611000000</v>
      </c>
      <c r="F575" s="117">
        <v>18833627405</v>
      </c>
      <c r="G575" s="117">
        <v>1192060701</v>
      </c>
      <c r="H575" s="117">
        <v>0</v>
      </c>
      <c r="I575" s="117">
        <v>1192060701</v>
      </c>
      <c r="J575" s="118">
        <f t="shared" si="299"/>
        <v>0</v>
      </c>
      <c r="K575" s="117"/>
      <c r="L575" s="117">
        <f t="shared" si="283"/>
        <v>0</v>
      </c>
      <c r="M575" s="117"/>
      <c r="N575" s="117"/>
      <c r="O575" s="117"/>
      <c r="P575" s="117"/>
      <c r="Q575" s="117"/>
      <c r="R575" s="117"/>
      <c r="S575" s="117"/>
      <c r="T575" s="117"/>
      <c r="U575" s="117"/>
      <c r="V575" s="117">
        <f t="shared" si="284"/>
        <v>0</v>
      </c>
      <c r="W575" s="117">
        <f t="shared" si="300"/>
        <v>1192060701</v>
      </c>
      <c r="X575" s="117">
        <f t="shared" si="301"/>
        <v>0</v>
      </c>
      <c r="Y575" s="117">
        <f t="shared" si="302"/>
        <v>18833627405</v>
      </c>
      <c r="Z575" s="204">
        <f t="shared" si="288"/>
        <v>0</v>
      </c>
    </row>
    <row r="576" spans="1:26" s="113" customFormat="1" ht="24" hidden="1">
      <c r="A576" s="114" t="s">
        <v>477</v>
      </c>
      <c r="B576" s="115" t="s">
        <v>989</v>
      </c>
      <c r="C576" s="116" t="s">
        <v>457</v>
      </c>
      <c r="D576" s="116" t="s">
        <v>990</v>
      </c>
      <c r="E576" s="117">
        <v>9680000000</v>
      </c>
      <c r="F576" s="117">
        <v>3922010790</v>
      </c>
      <c r="G576" s="117">
        <v>3360199400</v>
      </c>
      <c r="H576" s="117">
        <v>0</v>
      </c>
      <c r="I576" s="117">
        <v>3360199400</v>
      </c>
      <c r="J576" s="118">
        <f t="shared" si="299"/>
        <v>0</v>
      </c>
      <c r="K576" s="117"/>
      <c r="L576" s="117">
        <f t="shared" si="283"/>
        <v>0</v>
      </c>
      <c r="M576" s="117"/>
      <c r="N576" s="117"/>
      <c r="O576" s="117"/>
      <c r="P576" s="117"/>
      <c r="Q576" s="117"/>
      <c r="R576" s="117"/>
      <c r="S576" s="117"/>
      <c r="T576" s="117"/>
      <c r="U576" s="117"/>
      <c r="V576" s="117">
        <f t="shared" si="284"/>
        <v>0</v>
      </c>
      <c r="W576" s="117">
        <f t="shared" si="300"/>
        <v>3360199400</v>
      </c>
      <c r="X576" s="117">
        <f t="shared" si="301"/>
        <v>0</v>
      </c>
      <c r="Y576" s="117">
        <f t="shared" si="302"/>
        <v>3922010790</v>
      </c>
      <c r="Z576" s="204">
        <f t="shared" si="288"/>
        <v>0</v>
      </c>
    </row>
    <row r="577" spans="1:26" s="113" customFormat="1" hidden="1">
      <c r="A577" s="114" t="s">
        <v>480</v>
      </c>
      <c r="B577" s="115" t="s">
        <v>977</v>
      </c>
      <c r="C577" s="116" t="s">
        <v>457</v>
      </c>
      <c r="D577" s="116" t="s">
        <v>978</v>
      </c>
      <c r="E577" s="117">
        <v>29362000000</v>
      </c>
      <c r="F577" s="117">
        <v>6141594888</v>
      </c>
      <c r="G577" s="117">
        <v>1526203630</v>
      </c>
      <c r="H577" s="117">
        <v>0</v>
      </c>
      <c r="I577" s="117">
        <v>1526203630</v>
      </c>
      <c r="J577" s="118">
        <f t="shared" si="299"/>
        <v>0</v>
      </c>
      <c r="K577" s="117"/>
      <c r="L577" s="117">
        <f t="shared" si="283"/>
        <v>0</v>
      </c>
      <c r="M577" s="117"/>
      <c r="N577" s="117"/>
      <c r="O577" s="117"/>
      <c r="P577" s="117"/>
      <c r="Q577" s="117"/>
      <c r="R577" s="117"/>
      <c r="S577" s="117"/>
      <c r="T577" s="117"/>
      <c r="U577" s="117"/>
      <c r="V577" s="117">
        <f t="shared" si="284"/>
        <v>0</v>
      </c>
      <c r="W577" s="117">
        <f t="shared" si="300"/>
        <v>1526203630</v>
      </c>
      <c r="X577" s="117">
        <f t="shared" si="301"/>
        <v>0</v>
      </c>
      <c r="Y577" s="117">
        <f t="shared" si="302"/>
        <v>6141594888</v>
      </c>
      <c r="Z577" s="204">
        <f t="shared" si="288"/>
        <v>0</v>
      </c>
    </row>
    <row r="578" spans="1:26" s="132" customFormat="1" hidden="1">
      <c r="A578" s="114" t="s">
        <v>483</v>
      </c>
      <c r="B578" s="126" t="s">
        <v>981</v>
      </c>
      <c r="C578" s="127" t="s">
        <v>457</v>
      </c>
      <c r="D578" s="127" t="s">
        <v>982</v>
      </c>
      <c r="E578" s="128">
        <v>7331000000</v>
      </c>
      <c r="F578" s="128">
        <v>2423642606</v>
      </c>
      <c r="G578" s="128">
        <v>2018912100</v>
      </c>
      <c r="H578" s="128">
        <v>0</v>
      </c>
      <c r="I578" s="128">
        <v>2018912100</v>
      </c>
      <c r="J578" s="130">
        <f t="shared" si="299"/>
        <v>0</v>
      </c>
      <c r="K578" s="128"/>
      <c r="L578" s="128">
        <f t="shared" si="283"/>
        <v>0</v>
      </c>
      <c r="M578" s="128"/>
      <c r="N578" s="128"/>
      <c r="O578" s="128"/>
      <c r="P578" s="128"/>
      <c r="Q578" s="128"/>
      <c r="R578" s="128"/>
      <c r="S578" s="128"/>
      <c r="T578" s="128"/>
      <c r="U578" s="128"/>
      <c r="V578" s="128">
        <f t="shared" si="284"/>
        <v>0</v>
      </c>
      <c r="W578" s="117">
        <f t="shared" si="300"/>
        <v>2018912100</v>
      </c>
      <c r="X578" s="117">
        <f t="shared" si="301"/>
        <v>0</v>
      </c>
      <c r="Y578" s="117">
        <f t="shared" si="302"/>
        <v>2423642606</v>
      </c>
      <c r="Z578" s="204">
        <f t="shared" si="288"/>
        <v>0</v>
      </c>
    </row>
    <row r="579" spans="1:26" s="124" customFormat="1" ht="24" hidden="1">
      <c r="A579" s="114" t="s">
        <v>486</v>
      </c>
      <c r="B579" s="121" t="s">
        <v>987</v>
      </c>
      <c r="C579" s="122" t="s">
        <v>457</v>
      </c>
      <c r="D579" s="122" t="s">
        <v>988</v>
      </c>
      <c r="E579" s="123">
        <v>6945812062</v>
      </c>
      <c r="F579" s="123">
        <v>1225000000</v>
      </c>
      <c r="G579" s="123">
        <v>774050000</v>
      </c>
      <c r="H579" s="123"/>
      <c r="I579" s="123">
        <v>460280000</v>
      </c>
      <c r="J579" s="133">
        <f>G579-H579-I579+N579</f>
        <v>313770000</v>
      </c>
      <c r="K579" s="123"/>
      <c r="L579" s="123">
        <f>SUM(M579:N579)</f>
        <v>0</v>
      </c>
      <c r="M579" s="123"/>
      <c r="N579" s="123"/>
      <c r="O579" s="123"/>
      <c r="P579" s="123"/>
      <c r="Q579" s="123"/>
      <c r="R579" s="123"/>
      <c r="S579" s="123"/>
      <c r="T579" s="123"/>
      <c r="U579" s="123"/>
      <c r="V579" s="123">
        <f>Q579-R579-U579</f>
        <v>0</v>
      </c>
      <c r="W579" s="117">
        <f t="shared" si="300"/>
        <v>460280000</v>
      </c>
      <c r="X579" s="117">
        <f t="shared" si="301"/>
        <v>313770000</v>
      </c>
      <c r="Y579" s="117">
        <f t="shared" si="302"/>
        <v>1225000000</v>
      </c>
      <c r="Z579" s="204">
        <f t="shared" si="288"/>
        <v>0</v>
      </c>
    </row>
    <row r="580" spans="1:26" s="124" customFormat="1" ht="24" hidden="1">
      <c r="A580" s="114" t="s">
        <v>489</v>
      </c>
      <c r="B580" s="121" t="s">
        <v>1151</v>
      </c>
      <c r="C580" s="122" t="s">
        <v>457</v>
      </c>
      <c r="D580" s="122" t="s">
        <v>1152</v>
      </c>
      <c r="E580" s="123">
        <v>9202000000</v>
      </c>
      <c r="F580" s="123">
        <v>3980000000</v>
      </c>
      <c r="G580" s="197">
        <v>989432720</v>
      </c>
      <c r="H580" s="197">
        <v>0</v>
      </c>
      <c r="I580" s="197">
        <v>989432720</v>
      </c>
      <c r="J580" s="118">
        <f t="shared" si="299"/>
        <v>0</v>
      </c>
      <c r="K580" s="123"/>
      <c r="L580" s="123">
        <f t="shared" si="283"/>
        <v>0</v>
      </c>
      <c r="M580" s="123"/>
      <c r="N580" s="123"/>
      <c r="O580" s="123"/>
      <c r="P580" s="123"/>
      <c r="Q580" s="123"/>
      <c r="R580" s="123"/>
      <c r="S580" s="123"/>
      <c r="T580" s="123"/>
      <c r="U580" s="123"/>
      <c r="V580" s="123">
        <f t="shared" si="284"/>
        <v>0</v>
      </c>
      <c r="W580" s="117">
        <f t="shared" si="300"/>
        <v>989432720</v>
      </c>
      <c r="X580" s="117">
        <f t="shared" si="301"/>
        <v>0</v>
      </c>
      <c r="Y580" s="117">
        <f t="shared" si="302"/>
        <v>3980000000</v>
      </c>
      <c r="Z580" s="204">
        <f t="shared" si="288"/>
        <v>0</v>
      </c>
    </row>
    <row r="581" spans="1:26" s="113" customFormat="1" hidden="1">
      <c r="A581" s="114" t="s">
        <v>553</v>
      </c>
      <c r="B581" s="115" t="s">
        <v>1252</v>
      </c>
      <c r="C581" s="116" t="s">
        <v>457</v>
      </c>
      <c r="D581" s="116" t="s">
        <v>1253</v>
      </c>
      <c r="E581" s="117">
        <v>14698000000</v>
      </c>
      <c r="F581" s="117">
        <v>10225387000</v>
      </c>
      <c r="G581" s="117">
        <v>208000000</v>
      </c>
      <c r="H581" s="117">
        <v>0</v>
      </c>
      <c r="I581" s="117">
        <v>208000000</v>
      </c>
      <c r="J581" s="118">
        <f t="shared" si="299"/>
        <v>0</v>
      </c>
      <c r="K581" s="117"/>
      <c r="L581" s="117">
        <f t="shared" si="283"/>
        <v>0</v>
      </c>
      <c r="M581" s="117"/>
      <c r="N581" s="117"/>
      <c r="O581" s="117"/>
      <c r="P581" s="117"/>
      <c r="Q581" s="117"/>
      <c r="R581" s="117"/>
      <c r="S581" s="117"/>
      <c r="T581" s="117"/>
      <c r="U581" s="117"/>
      <c r="V581" s="117">
        <f t="shared" si="284"/>
        <v>0</v>
      </c>
      <c r="W581" s="117">
        <f t="shared" si="300"/>
        <v>208000000</v>
      </c>
      <c r="X581" s="117">
        <f t="shared" si="301"/>
        <v>0</v>
      </c>
      <c r="Y581" s="117">
        <f t="shared" si="302"/>
        <v>10225387000</v>
      </c>
      <c r="Z581" s="204">
        <f t="shared" si="288"/>
        <v>0</v>
      </c>
    </row>
    <row r="582" spans="1:26" s="113" customFormat="1" hidden="1">
      <c r="A582" s="114" t="s">
        <v>556</v>
      </c>
      <c r="B582" s="115" t="s">
        <v>626</v>
      </c>
      <c r="C582" s="116" t="s">
        <v>457</v>
      </c>
      <c r="D582" s="116" t="s">
        <v>627</v>
      </c>
      <c r="E582" s="117">
        <v>984319000000</v>
      </c>
      <c r="F582" s="117">
        <v>72207032592</v>
      </c>
      <c r="G582" s="117">
        <v>16568195000</v>
      </c>
      <c r="H582" s="117"/>
      <c r="I582" s="117">
        <v>5302871000</v>
      </c>
      <c r="J582" s="118">
        <f t="shared" si="299"/>
        <v>11265324000</v>
      </c>
      <c r="K582" s="117"/>
      <c r="L582" s="117">
        <f t="shared" si="283"/>
        <v>0</v>
      </c>
      <c r="M582" s="117"/>
      <c r="N582" s="117"/>
      <c r="O582" s="117"/>
      <c r="P582" s="117"/>
      <c r="Q582" s="117"/>
      <c r="R582" s="117"/>
      <c r="S582" s="117"/>
      <c r="T582" s="117"/>
      <c r="U582" s="117"/>
      <c r="V582" s="117">
        <f t="shared" si="284"/>
        <v>0</v>
      </c>
      <c r="W582" s="117">
        <f t="shared" si="300"/>
        <v>5302871000</v>
      </c>
      <c r="X582" s="117">
        <f t="shared" si="301"/>
        <v>11265324000</v>
      </c>
      <c r="Y582" s="117">
        <f t="shared" si="302"/>
        <v>72207032592</v>
      </c>
      <c r="Z582" s="204">
        <f t="shared" si="288"/>
        <v>0</v>
      </c>
    </row>
    <row r="583" spans="1:26" s="132" customFormat="1" hidden="1">
      <c r="A583" s="114" t="s">
        <v>559</v>
      </c>
      <c r="B583" s="126" t="s">
        <v>628</v>
      </c>
      <c r="C583" s="127" t="s">
        <v>457</v>
      </c>
      <c r="D583" s="127" t="s">
        <v>629</v>
      </c>
      <c r="E583" s="128">
        <v>272426000000</v>
      </c>
      <c r="F583" s="128">
        <v>68972411631</v>
      </c>
      <c r="G583" s="129">
        <v>161488000</v>
      </c>
      <c r="H583" s="128"/>
      <c r="I583" s="128">
        <v>0</v>
      </c>
      <c r="J583" s="130">
        <f t="shared" si="299"/>
        <v>161488000</v>
      </c>
      <c r="K583" s="128"/>
      <c r="L583" s="128">
        <f t="shared" si="283"/>
        <v>0</v>
      </c>
      <c r="M583" s="128"/>
      <c r="N583" s="128"/>
      <c r="O583" s="128"/>
      <c r="P583" s="128"/>
      <c r="Q583" s="128"/>
      <c r="R583" s="128"/>
      <c r="S583" s="128"/>
      <c r="T583" s="128"/>
      <c r="U583" s="128"/>
      <c r="V583" s="128">
        <f t="shared" si="284"/>
        <v>0</v>
      </c>
      <c r="W583" s="117">
        <f t="shared" si="300"/>
        <v>0</v>
      </c>
      <c r="X583" s="117">
        <f t="shared" si="301"/>
        <v>161488000</v>
      </c>
      <c r="Y583" s="117">
        <f t="shared" si="302"/>
        <v>68972411631</v>
      </c>
      <c r="Z583" s="204">
        <f t="shared" si="288"/>
        <v>0</v>
      </c>
    </row>
    <row r="584" spans="1:26" s="132" customFormat="1" hidden="1">
      <c r="A584" s="114" t="s">
        <v>562</v>
      </c>
      <c r="B584" s="126" t="s">
        <v>463</v>
      </c>
      <c r="C584" s="127" t="s">
        <v>457</v>
      </c>
      <c r="D584" s="127" t="s">
        <v>464</v>
      </c>
      <c r="E584" s="128">
        <v>248326000000</v>
      </c>
      <c r="F584" s="128">
        <v>34343815105</v>
      </c>
      <c r="G584" s="128">
        <v>790194286</v>
      </c>
      <c r="H584" s="128"/>
      <c r="I584" s="128">
        <v>669756000</v>
      </c>
      <c r="J584" s="130">
        <f t="shared" si="299"/>
        <v>120438286</v>
      </c>
      <c r="K584" s="128"/>
      <c r="L584" s="128">
        <f t="shared" si="283"/>
        <v>0</v>
      </c>
      <c r="M584" s="128"/>
      <c r="N584" s="128"/>
      <c r="O584" s="128"/>
      <c r="P584" s="128"/>
      <c r="Q584" s="128"/>
      <c r="R584" s="128"/>
      <c r="S584" s="128"/>
      <c r="T584" s="128"/>
      <c r="U584" s="128"/>
      <c r="V584" s="128">
        <f t="shared" si="284"/>
        <v>0</v>
      </c>
      <c r="W584" s="117">
        <f t="shared" si="300"/>
        <v>669756000</v>
      </c>
      <c r="X584" s="117">
        <f t="shared" si="301"/>
        <v>120438286</v>
      </c>
      <c r="Y584" s="117">
        <f t="shared" si="302"/>
        <v>34343815105</v>
      </c>
      <c r="Z584" s="204">
        <f t="shared" si="288"/>
        <v>0</v>
      </c>
    </row>
    <row r="585" spans="1:26" s="187" customFormat="1" ht="24" hidden="1">
      <c r="A585" s="198"/>
      <c r="B585" s="199" t="s">
        <v>1389</v>
      </c>
      <c r="C585" s="200"/>
      <c r="D585" s="200"/>
      <c r="E585" s="201"/>
      <c r="F585" s="201">
        <f>SUM(F586:F588)</f>
        <v>0</v>
      </c>
      <c r="G585" s="201">
        <f t="shared" ref="G585:Y585" si="303">SUM(G586:G588)</f>
        <v>27598090995</v>
      </c>
      <c r="H585" s="201">
        <f t="shared" si="303"/>
        <v>0</v>
      </c>
      <c r="I585" s="201">
        <f t="shared" si="303"/>
        <v>27556996795</v>
      </c>
      <c r="J585" s="201">
        <f t="shared" si="303"/>
        <v>41094200</v>
      </c>
      <c r="K585" s="201">
        <f t="shared" si="303"/>
        <v>0</v>
      </c>
      <c r="L585" s="201">
        <f t="shared" si="303"/>
        <v>0</v>
      </c>
      <c r="M585" s="201">
        <f t="shared" si="303"/>
        <v>0</v>
      </c>
      <c r="N585" s="201">
        <f t="shared" si="303"/>
        <v>0</v>
      </c>
      <c r="O585" s="201">
        <f t="shared" si="303"/>
        <v>0</v>
      </c>
      <c r="P585" s="201">
        <f t="shared" si="303"/>
        <v>0</v>
      </c>
      <c r="Q585" s="201">
        <f t="shared" si="303"/>
        <v>0</v>
      </c>
      <c r="R585" s="201">
        <f t="shared" si="303"/>
        <v>0</v>
      </c>
      <c r="S585" s="201">
        <f t="shared" si="303"/>
        <v>0</v>
      </c>
      <c r="T585" s="201">
        <f t="shared" si="303"/>
        <v>0</v>
      </c>
      <c r="U585" s="201">
        <f t="shared" si="303"/>
        <v>0</v>
      </c>
      <c r="V585" s="201">
        <f t="shared" si="303"/>
        <v>0</v>
      </c>
      <c r="W585" s="201">
        <f t="shared" si="303"/>
        <v>27556996795</v>
      </c>
      <c r="X585" s="201">
        <f t="shared" si="303"/>
        <v>41094200</v>
      </c>
      <c r="Y585" s="201">
        <f t="shared" si="303"/>
        <v>0</v>
      </c>
      <c r="Z585" s="204">
        <f t="shared" si="288"/>
        <v>0</v>
      </c>
    </row>
    <row r="586" spans="1:26" s="113" customFormat="1" ht="24" hidden="1">
      <c r="A586" s="114" t="s">
        <v>1390</v>
      </c>
      <c r="B586" s="115" t="s">
        <v>618</v>
      </c>
      <c r="C586" s="116" t="s">
        <v>457</v>
      </c>
      <c r="D586" s="116" t="s">
        <v>619</v>
      </c>
      <c r="E586" s="117">
        <v>365520000000</v>
      </c>
      <c r="F586" s="117">
        <v>0</v>
      </c>
      <c r="G586" s="117">
        <v>27556996795</v>
      </c>
      <c r="H586" s="117">
        <v>0</v>
      </c>
      <c r="I586" s="117">
        <v>27556996795</v>
      </c>
      <c r="J586" s="118">
        <f>G586-H586-I586+N586</f>
        <v>0</v>
      </c>
      <c r="K586" s="117">
        <v>0</v>
      </c>
      <c r="L586" s="117">
        <f>SUM(M586:N586)</f>
        <v>0</v>
      </c>
      <c r="M586" s="117"/>
      <c r="N586" s="117">
        <v>0</v>
      </c>
      <c r="O586" s="117"/>
      <c r="P586" s="117">
        <f>K586-L586-O586</f>
        <v>0</v>
      </c>
      <c r="Q586" s="117">
        <v>0</v>
      </c>
      <c r="R586" s="117">
        <f>SUM(S586:T586)</f>
        <v>0</v>
      </c>
      <c r="S586" s="117">
        <v>0</v>
      </c>
      <c r="T586" s="119">
        <v>0</v>
      </c>
      <c r="U586" s="117"/>
      <c r="V586" s="117">
        <f>Q586-R586-U586</f>
        <v>0</v>
      </c>
      <c r="W586" s="117">
        <f>SUM(I586,M586,S586)</f>
        <v>27556996795</v>
      </c>
      <c r="X586" s="117">
        <f>G586-H586-I586+N586+T586</f>
        <v>0</v>
      </c>
      <c r="Y586" s="117">
        <f>F586+L586+R586</f>
        <v>0</v>
      </c>
      <c r="Z586" s="204">
        <f t="shared" si="288"/>
        <v>0</v>
      </c>
    </row>
    <row r="587" spans="1:26" s="113" customFormat="1" hidden="1">
      <c r="A587" s="114"/>
      <c r="B587" s="179" t="s">
        <v>1391</v>
      </c>
      <c r="C587" s="116"/>
      <c r="D587" s="116"/>
      <c r="E587" s="117"/>
      <c r="F587" s="117"/>
      <c r="G587" s="117">
        <v>16600000</v>
      </c>
      <c r="H587" s="117">
        <v>0</v>
      </c>
      <c r="I587" s="117">
        <v>0</v>
      </c>
      <c r="J587" s="118">
        <f>G587-H587-I587+N587</f>
        <v>16600000</v>
      </c>
      <c r="K587" s="117"/>
      <c r="L587" s="117">
        <f>SUM(M587:N587)</f>
        <v>0</v>
      </c>
      <c r="M587" s="117"/>
      <c r="N587" s="117"/>
      <c r="O587" s="117"/>
      <c r="P587" s="117"/>
      <c r="Q587" s="117"/>
      <c r="R587" s="117"/>
      <c r="S587" s="117"/>
      <c r="T587" s="117"/>
      <c r="U587" s="117"/>
      <c r="V587" s="117">
        <f>Q587-R587-U587</f>
        <v>0</v>
      </c>
      <c r="W587" s="117">
        <f>SUM(I587,M587,S587)</f>
        <v>0</v>
      </c>
      <c r="X587" s="117">
        <f>G587-H587-I587+N587+T587</f>
        <v>16600000</v>
      </c>
      <c r="Y587" s="117">
        <f>F587+L587+R587</f>
        <v>0</v>
      </c>
      <c r="Z587" s="204">
        <f t="shared" si="288"/>
        <v>0</v>
      </c>
    </row>
    <row r="588" spans="1:26" s="113" customFormat="1" hidden="1">
      <c r="A588" s="114"/>
      <c r="B588" s="179" t="s">
        <v>1392</v>
      </c>
      <c r="C588" s="116"/>
      <c r="D588" s="116"/>
      <c r="E588" s="117"/>
      <c r="F588" s="117"/>
      <c r="G588" s="117">
        <v>24494200</v>
      </c>
      <c r="H588" s="117">
        <v>0</v>
      </c>
      <c r="I588" s="117">
        <v>0</v>
      </c>
      <c r="J588" s="118">
        <f>G588-H588-I588+N588</f>
        <v>24494200</v>
      </c>
      <c r="K588" s="117"/>
      <c r="L588" s="117">
        <f>SUM(M588:N588)</f>
        <v>0</v>
      </c>
      <c r="M588" s="117"/>
      <c r="N588" s="117"/>
      <c r="O588" s="117"/>
      <c r="P588" s="117"/>
      <c r="Q588" s="117"/>
      <c r="R588" s="117"/>
      <c r="S588" s="117"/>
      <c r="T588" s="117"/>
      <c r="U588" s="117"/>
      <c r="V588" s="117">
        <f>Q588-R588-U588</f>
        <v>0</v>
      </c>
      <c r="W588" s="117">
        <f>SUM(I588,M588,S588)</f>
        <v>0</v>
      </c>
      <c r="X588" s="117">
        <f>G588-H588-I588+N588+T588</f>
        <v>24494200</v>
      </c>
      <c r="Y588" s="117">
        <f>F588+L588+R588</f>
        <v>0</v>
      </c>
      <c r="Z588" s="204">
        <f t="shared" si="288"/>
        <v>0</v>
      </c>
    </row>
    <row r="589" spans="1:26">
      <c r="A589" s="114"/>
      <c r="B589" s="115"/>
      <c r="C589" s="116"/>
      <c r="D589" s="116"/>
      <c r="E589" s="117"/>
      <c r="F589" s="117"/>
      <c r="G589" s="117"/>
      <c r="H589" s="117"/>
      <c r="I589" s="117"/>
      <c r="J589" s="151"/>
      <c r="K589" s="117"/>
      <c r="L589" s="117"/>
      <c r="M589" s="117"/>
      <c r="N589" s="117"/>
      <c r="O589" s="117"/>
      <c r="P589" s="117"/>
      <c r="Q589" s="117"/>
      <c r="R589" s="117"/>
      <c r="S589" s="117"/>
      <c r="T589" s="117"/>
      <c r="U589" s="117"/>
      <c r="V589" s="117"/>
      <c r="W589" s="117"/>
      <c r="X589" s="117"/>
      <c r="Y589" s="117"/>
      <c r="Z589" s="204">
        <f t="shared" ref="Z589" si="304">S589+M589+I589-W589</f>
        <v>0</v>
      </c>
    </row>
  </sheetData>
  <mergeCells count="34">
    <mergeCell ref="Y6:Y10"/>
    <mergeCell ref="K8:K10"/>
    <mergeCell ref="L8:N8"/>
    <mergeCell ref="O8:O10"/>
    <mergeCell ref="P8:P10"/>
    <mergeCell ref="Q8:Q10"/>
    <mergeCell ref="R8:T8"/>
    <mergeCell ref="U8:U10"/>
    <mergeCell ref="V8:V10"/>
    <mergeCell ref="W6:W10"/>
    <mergeCell ref="N9:N10"/>
    <mergeCell ref="R9:R10"/>
    <mergeCell ref="S9:S10"/>
    <mergeCell ref="T9:T10"/>
    <mergeCell ref="X6:X10"/>
    <mergeCell ref="F6:G8"/>
    <mergeCell ref="H6:H10"/>
    <mergeCell ref="I6:I10"/>
    <mergeCell ref="K6:P7"/>
    <mergeCell ref="Q6:V7"/>
    <mergeCell ref="F9:F10"/>
    <mergeCell ref="G9:G10"/>
    <mergeCell ref="L9:L10"/>
    <mergeCell ref="M9:M10"/>
    <mergeCell ref="X1:Y1"/>
    <mergeCell ref="A2:Y2"/>
    <mergeCell ref="A3:Y3"/>
    <mergeCell ref="A4:Y4"/>
    <mergeCell ref="X5:Y5"/>
    <mergeCell ref="A6:A10"/>
    <mergeCell ref="B6:B10"/>
    <mergeCell ref="C6:C10"/>
    <mergeCell ref="D6:D10"/>
    <mergeCell ref="E6:E10"/>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J87"/>
  <sheetViews>
    <sheetView workbookViewId="0">
      <selection activeCell="K6" sqref="K6:K8"/>
    </sheetView>
  </sheetViews>
  <sheetFormatPr defaultRowHeight="15.75"/>
  <cols>
    <col min="1" max="1" width="5.140625" style="256" bestFit="1" customWidth="1"/>
    <col min="2" max="2" width="41.85546875" style="256" customWidth="1"/>
    <col min="3" max="4" width="10.140625" style="303" bestFit="1" customWidth="1"/>
    <col min="5" max="5" width="13.140625" style="303" customWidth="1"/>
    <col min="6" max="6" width="11.7109375" style="303" customWidth="1"/>
    <col min="7" max="8" width="9.140625" style="303"/>
    <col min="9" max="9" width="9.28515625" style="256" hidden="1" customWidth="1"/>
    <col min="10" max="10" width="0" style="256" hidden="1" customWidth="1"/>
    <col min="11" max="11" width="11.28515625" style="256" bestFit="1" customWidth="1"/>
    <col min="12" max="16384" width="9.140625" style="256"/>
  </cols>
  <sheetData>
    <row r="1" spans="1:10" ht="22.5" customHeight="1">
      <c r="A1" s="331" t="str">
        <f>'62'!chuong_phuluc_48</f>
        <v>ỦY BAN NHÂN DÂN TỈNH TIỀN GIANG</v>
      </c>
      <c r="B1" s="331"/>
      <c r="F1" s="333" t="s">
        <v>1408</v>
      </c>
      <c r="G1" s="333"/>
      <c r="H1" s="333"/>
    </row>
    <row r="2" spans="1:10" ht="24.75" customHeight="1">
      <c r="A2" s="333" t="s">
        <v>1419</v>
      </c>
      <c r="B2" s="333"/>
      <c r="C2" s="333"/>
      <c r="D2" s="333"/>
      <c r="E2" s="333"/>
      <c r="F2" s="333"/>
      <c r="G2" s="333"/>
      <c r="H2" s="333"/>
    </row>
    <row r="3" spans="1:10" ht="15.75" customHeight="1">
      <c r="A3" s="338" t="str">
        <f>'62'!A3:F3</f>
        <v>(Kèm theo Quyết định số ………../QĐ-UBND ngày    /01/2020 của Ủy ban nhân dân tỉnh Tiền Giang)</v>
      </c>
      <c r="B3" s="338"/>
      <c r="C3" s="338"/>
      <c r="D3" s="338"/>
      <c r="E3" s="338"/>
      <c r="F3" s="338"/>
      <c r="G3" s="338"/>
      <c r="H3" s="338"/>
    </row>
    <row r="4" spans="1:10">
      <c r="A4" s="289"/>
      <c r="F4" s="339" t="s">
        <v>74</v>
      </c>
      <c r="G4" s="339"/>
      <c r="H4" s="339"/>
    </row>
    <row r="5" spans="1:10" ht="15.75" customHeight="1">
      <c r="A5" s="330" t="s">
        <v>2</v>
      </c>
      <c r="B5" s="330" t="s">
        <v>52</v>
      </c>
      <c r="C5" s="330" t="s">
        <v>3</v>
      </c>
      <c r="D5" s="330"/>
      <c r="E5" s="330" t="s">
        <v>4</v>
      </c>
      <c r="F5" s="330"/>
      <c r="G5" s="330" t="s">
        <v>53</v>
      </c>
      <c r="H5" s="330"/>
    </row>
    <row r="6" spans="1:10" ht="47.25">
      <c r="A6" s="330"/>
      <c r="B6" s="330"/>
      <c r="C6" s="312" t="s">
        <v>75</v>
      </c>
      <c r="D6" s="312" t="s">
        <v>76</v>
      </c>
      <c r="E6" s="312" t="s">
        <v>75</v>
      </c>
      <c r="F6" s="312" t="s">
        <v>76</v>
      </c>
      <c r="G6" s="312" t="s">
        <v>75</v>
      </c>
      <c r="H6" s="312" t="s">
        <v>76</v>
      </c>
    </row>
    <row r="7" spans="1:10" s="304" customFormat="1">
      <c r="A7" s="302" t="s">
        <v>7</v>
      </c>
      <c r="B7" s="302" t="s">
        <v>8</v>
      </c>
      <c r="C7" s="302">
        <v>1</v>
      </c>
      <c r="D7" s="302">
        <v>2</v>
      </c>
      <c r="E7" s="302">
        <v>3</v>
      </c>
      <c r="F7" s="302">
        <v>4</v>
      </c>
      <c r="G7" s="302" t="s">
        <v>77</v>
      </c>
      <c r="H7" s="302" t="s">
        <v>78</v>
      </c>
    </row>
    <row r="8" spans="1:10" ht="31.5">
      <c r="A8" s="299"/>
      <c r="B8" s="300" t="s">
        <v>79</v>
      </c>
      <c r="C8" s="317">
        <f>C9+C78+C79+C80</f>
        <v>7980000</v>
      </c>
      <c r="D8" s="317">
        <f>D9+D78+D79+D80</f>
        <v>7089400</v>
      </c>
      <c r="E8" s="317">
        <f>E9+E78+E79+E80</f>
        <v>11601095</v>
      </c>
      <c r="F8" s="317">
        <f t="shared" ref="F8" si="0">F9+F78+F79+F80</f>
        <v>10654614</v>
      </c>
      <c r="G8" s="301">
        <f>E8/C8*100</f>
        <v>145.37713032581453</v>
      </c>
      <c r="H8" s="301">
        <f>F8/D8*100</f>
        <v>150.28936158208029</v>
      </c>
      <c r="I8" s="256">
        <f>F10-'62'!D9</f>
        <v>0</v>
      </c>
      <c r="J8" s="256">
        <f>F8+'62'!D12-'62'!D8</f>
        <v>0</v>
      </c>
    </row>
    <row r="9" spans="1:10">
      <c r="A9" s="290" t="s">
        <v>7</v>
      </c>
      <c r="B9" s="291" t="s">
        <v>80</v>
      </c>
      <c r="C9" s="292">
        <f>C10+C68+C69+C76+C77</f>
        <v>7980000</v>
      </c>
      <c r="D9" s="292">
        <f>D10+D68+D69+D76+D77</f>
        <v>7089400</v>
      </c>
      <c r="E9" s="292">
        <f>E10+E68+E69+E76+E77</f>
        <v>8849104</v>
      </c>
      <c r="F9" s="292">
        <f t="shared" ref="F9" si="1">F10+F68+F69+F76+F77</f>
        <v>7902623</v>
      </c>
      <c r="G9" s="293">
        <f t="shared" ref="G9:H73" si="2">E9/C9*100</f>
        <v>110.89102756892231</v>
      </c>
      <c r="H9" s="293">
        <f t="shared" si="2"/>
        <v>111.47097074505601</v>
      </c>
    </row>
    <row r="10" spans="1:10">
      <c r="A10" s="290" t="s">
        <v>11</v>
      </c>
      <c r="B10" s="291" t="s">
        <v>81</v>
      </c>
      <c r="C10" s="292">
        <f>C11+C19+C26+C34+C41+C42+C45+C46+C51+C52+C53+C54+C55+C56+C62+C63+C64+C65+C66+C67</f>
        <v>7610000</v>
      </c>
      <c r="D10" s="292">
        <f>D11+D19+D26+D34+D41+D42+D45+D46+D51+D52+D53+D54+D55+D56+D62+D63+D64+D65+D66+D67</f>
        <v>7089400</v>
      </c>
      <c r="E10" s="292">
        <f>E11+E19+E26+E34+E41+E42+E45+E46+E51+E52+E53+E54+E55+E56+E62+E63+E64+E65+E66+E67</f>
        <v>8464678</v>
      </c>
      <c r="F10" s="292">
        <f t="shared" ref="F10" si="3">F11+F19+F26+F34+F41+F42+F45+F46+F51+F52+F53+F54+F55+F56+F62+F63+F64+F65+F66+F67</f>
        <v>7878999</v>
      </c>
      <c r="G10" s="293">
        <f t="shared" si="2"/>
        <v>111.23098554533509</v>
      </c>
      <c r="H10" s="293">
        <f t="shared" si="2"/>
        <v>111.13774085254042</v>
      </c>
    </row>
    <row r="11" spans="1:10" ht="31.5">
      <c r="A11" s="295">
        <v>1</v>
      </c>
      <c r="B11" s="295" t="s">
        <v>82</v>
      </c>
      <c r="C11" s="313">
        <f>SUM(C12:C18)</f>
        <v>110000</v>
      </c>
      <c r="D11" s="313">
        <f>SUM(D12:D18)</f>
        <v>110000</v>
      </c>
      <c r="E11" s="313">
        <f>SUM(E12:E18)</f>
        <v>136907</v>
      </c>
      <c r="F11" s="313">
        <f t="shared" ref="F11" si="4">SUM(F12:F18)</f>
        <v>136907</v>
      </c>
      <c r="G11" s="314">
        <f t="shared" si="2"/>
        <v>124.4609090909091</v>
      </c>
      <c r="H11" s="314">
        <f t="shared" si="2"/>
        <v>124.4609090909091</v>
      </c>
    </row>
    <row r="12" spans="1:10">
      <c r="A12" s="295"/>
      <c r="B12" s="305" t="s">
        <v>340</v>
      </c>
      <c r="C12" s="313">
        <v>108400</v>
      </c>
      <c r="D12" s="313">
        <f>C12</f>
        <v>108400</v>
      </c>
      <c r="E12" s="313">
        <v>133923</v>
      </c>
      <c r="F12" s="313">
        <f>E12</f>
        <v>133923</v>
      </c>
      <c r="G12" s="314">
        <f t="shared" si="2"/>
        <v>123.54520295202951</v>
      </c>
      <c r="H12" s="314">
        <f t="shared" si="2"/>
        <v>123.54520295202951</v>
      </c>
    </row>
    <row r="13" spans="1:10">
      <c r="A13" s="295"/>
      <c r="B13" s="305" t="s">
        <v>341</v>
      </c>
      <c r="C13" s="313">
        <v>1600</v>
      </c>
      <c r="D13" s="313">
        <f t="shared" ref="D13:F18" si="5">C13</f>
        <v>1600</v>
      </c>
      <c r="E13" s="313">
        <v>2768</v>
      </c>
      <c r="F13" s="313">
        <f t="shared" si="5"/>
        <v>2768</v>
      </c>
      <c r="G13" s="314">
        <f t="shared" si="2"/>
        <v>173</v>
      </c>
      <c r="H13" s="314">
        <f t="shared" si="2"/>
        <v>173</v>
      </c>
    </row>
    <row r="14" spans="1:10">
      <c r="A14" s="295"/>
      <c r="B14" s="305" t="s">
        <v>342</v>
      </c>
      <c r="C14" s="313"/>
      <c r="D14" s="313">
        <f t="shared" si="5"/>
        <v>0</v>
      </c>
      <c r="E14" s="313"/>
      <c r="F14" s="313">
        <f t="shared" si="5"/>
        <v>0</v>
      </c>
      <c r="G14" s="293"/>
      <c r="H14" s="293"/>
    </row>
    <row r="15" spans="1:10">
      <c r="A15" s="295"/>
      <c r="B15" s="305" t="s">
        <v>343</v>
      </c>
      <c r="C15" s="313"/>
      <c r="D15" s="313">
        <f t="shared" si="5"/>
        <v>0</v>
      </c>
      <c r="E15" s="313">
        <v>216</v>
      </c>
      <c r="F15" s="313">
        <f t="shared" si="5"/>
        <v>216</v>
      </c>
      <c r="G15" s="293"/>
      <c r="H15" s="293"/>
    </row>
    <row r="16" spans="1:10">
      <c r="A16" s="295"/>
      <c r="B16" s="306" t="s">
        <v>351</v>
      </c>
      <c r="C16" s="313"/>
      <c r="D16" s="313"/>
      <c r="E16" s="313"/>
      <c r="F16" s="313">
        <f t="shared" si="5"/>
        <v>0</v>
      </c>
      <c r="G16" s="293"/>
      <c r="H16" s="293"/>
    </row>
    <row r="17" spans="1:8">
      <c r="A17" s="295"/>
      <c r="B17" s="305" t="s">
        <v>344</v>
      </c>
      <c r="C17" s="313"/>
      <c r="D17" s="313">
        <f t="shared" si="5"/>
        <v>0</v>
      </c>
      <c r="E17" s="313"/>
      <c r="F17" s="313">
        <f t="shared" si="5"/>
        <v>0</v>
      </c>
      <c r="G17" s="293"/>
      <c r="H17" s="293"/>
    </row>
    <row r="18" spans="1:8">
      <c r="A18" s="295"/>
      <c r="B18" s="305" t="s">
        <v>345</v>
      </c>
      <c r="C18" s="313"/>
      <c r="D18" s="313">
        <f t="shared" si="5"/>
        <v>0</v>
      </c>
      <c r="E18" s="313"/>
      <c r="F18" s="313"/>
      <c r="G18" s="293"/>
      <c r="H18" s="293"/>
    </row>
    <row r="19" spans="1:8" ht="31.5">
      <c r="A19" s="295">
        <v>2</v>
      </c>
      <c r="B19" s="295" t="s">
        <v>83</v>
      </c>
      <c r="C19" s="313">
        <f>SUM(C20:C25)</f>
        <v>120000</v>
      </c>
      <c r="D19" s="313">
        <f t="shared" ref="D19" si="6">SUM(D20:D25)</f>
        <v>120000</v>
      </c>
      <c r="E19" s="313">
        <f>SUM(E20:E25)</f>
        <v>113239</v>
      </c>
      <c r="F19" s="313">
        <f t="shared" ref="F19" si="7">SUM(F20:F25)</f>
        <v>113239</v>
      </c>
      <c r="G19" s="293"/>
      <c r="H19" s="293"/>
    </row>
    <row r="20" spans="1:8">
      <c r="A20" s="295"/>
      <c r="B20" s="305" t="s">
        <v>340</v>
      </c>
      <c r="C20" s="313">
        <v>68000</v>
      </c>
      <c r="D20" s="313">
        <f>C20</f>
        <v>68000</v>
      </c>
      <c r="E20" s="313">
        <v>77278</v>
      </c>
      <c r="F20" s="313">
        <f>E20</f>
        <v>77278</v>
      </c>
      <c r="G20" s="293"/>
      <c r="H20" s="293"/>
    </row>
    <row r="21" spans="1:8">
      <c r="A21" s="295"/>
      <c r="B21" s="305" t="s">
        <v>341</v>
      </c>
      <c r="C21" s="313">
        <v>48000</v>
      </c>
      <c r="D21" s="313">
        <f t="shared" ref="D21:F25" si="8">C21</f>
        <v>48000</v>
      </c>
      <c r="E21" s="313">
        <v>31512</v>
      </c>
      <c r="F21" s="313">
        <f t="shared" si="8"/>
        <v>31512</v>
      </c>
      <c r="G21" s="293"/>
      <c r="H21" s="293"/>
    </row>
    <row r="22" spans="1:8">
      <c r="A22" s="295"/>
      <c r="B22" s="305" t="s">
        <v>342</v>
      </c>
      <c r="C22" s="313">
        <v>0</v>
      </c>
      <c r="D22" s="313">
        <f t="shared" si="8"/>
        <v>0</v>
      </c>
      <c r="E22" s="313">
        <v>385</v>
      </c>
      <c r="F22" s="313">
        <f t="shared" si="8"/>
        <v>385</v>
      </c>
      <c r="G22" s="293"/>
      <c r="H22" s="293"/>
    </row>
    <row r="23" spans="1:8">
      <c r="A23" s="295"/>
      <c r="B23" s="305" t="s">
        <v>343</v>
      </c>
      <c r="C23" s="313">
        <v>4000</v>
      </c>
      <c r="D23" s="313">
        <f t="shared" si="8"/>
        <v>4000</v>
      </c>
      <c r="E23" s="313">
        <v>4064</v>
      </c>
      <c r="F23" s="313">
        <f t="shared" si="8"/>
        <v>4064</v>
      </c>
      <c r="G23" s="293"/>
      <c r="H23" s="293"/>
    </row>
    <row r="24" spans="1:8">
      <c r="A24" s="295"/>
      <c r="B24" s="305" t="s">
        <v>344</v>
      </c>
      <c r="C24" s="313"/>
      <c r="D24" s="313">
        <f t="shared" si="8"/>
        <v>0</v>
      </c>
      <c r="E24" s="313"/>
      <c r="F24" s="313">
        <f t="shared" si="8"/>
        <v>0</v>
      </c>
      <c r="G24" s="293"/>
      <c r="H24" s="293"/>
    </row>
    <row r="25" spans="1:8">
      <c r="A25" s="295"/>
      <c r="B25" s="305" t="s">
        <v>345</v>
      </c>
      <c r="C25" s="313"/>
      <c r="D25" s="313">
        <f t="shared" si="8"/>
        <v>0</v>
      </c>
      <c r="E25" s="313"/>
      <c r="F25" s="313">
        <f t="shared" si="8"/>
        <v>0</v>
      </c>
      <c r="G25" s="293"/>
      <c r="H25" s="293"/>
    </row>
    <row r="26" spans="1:8" ht="31.5">
      <c r="A26" s="295">
        <v>3</v>
      </c>
      <c r="B26" s="295" t="s">
        <v>84</v>
      </c>
      <c r="C26" s="313">
        <f>SUM(C27:C33)</f>
        <v>2308000</v>
      </c>
      <c r="D26" s="313">
        <f t="shared" ref="D26" si="9">SUM(D27:D33)</f>
        <v>2308000</v>
      </c>
      <c r="E26" s="313">
        <f>SUM(E27:E33)</f>
        <v>3036709</v>
      </c>
      <c r="F26" s="313">
        <f t="shared" ref="F26" si="10">SUM(F27:F33)</f>
        <v>3036709</v>
      </c>
      <c r="G26" s="314">
        <f t="shared" si="2"/>
        <v>131.57318024263432</v>
      </c>
      <c r="H26" s="314">
        <f t="shared" si="2"/>
        <v>131.57318024263432</v>
      </c>
    </row>
    <row r="27" spans="1:8">
      <c r="A27" s="295"/>
      <c r="B27" s="305" t="s">
        <v>340</v>
      </c>
      <c r="C27" s="313">
        <v>160000</v>
      </c>
      <c r="D27" s="313">
        <f>C27</f>
        <v>160000</v>
      </c>
      <c r="E27" s="313">
        <v>97813</v>
      </c>
      <c r="F27" s="313">
        <f>E27</f>
        <v>97813</v>
      </c>
      <c r="G27" s="314">
        <f t="shared" si="2"/>
        <v>61.133125</v>
      </c>
      <c r="H27" s="314">
        <f t="shared" si="2"/>
        <v>61.133125</v>
      </c>
    </row>
    <row r="28" spans="1:8">
      <c r="A28" s="295"/>
      <c r="B28" s="305" t="s">
        <v>341</v>
      </c>
      <c r="C28" s="313">
        <v>270000</v>
      </c>
      <c r="D28" s="313">
        <f t="shared" ref="D28:F33" si="11">C28</f>
        <v>270000</v>
      </c>
      <c r="E28" s="313">
        <v>328122</v>
      </c>
      <c r="F28" s="313">
        <f t="shared" si="11"/>
        <v>328122</v>
      </c>
      <c r="G28" s="314">
        <f t="shared" si="2"/>
        <v>121.52666666666667</v>
      </c>
      <c r="H28" s="314">
        <f t="shared" si="2"/>
        <v>121.52666666666667</v>
      </c>
    </row>
    <row r="29" spans="1:8">
      <c r="A29" s="295"/>
      <c r="B29" s="305" t="s">
        <v>342</v>
      </c>
      <c r="C29" s="313">
        <v>1878000</v>
      </c>
      <c r="D29" s="313">
        <f t="shared" si="11"/>
        <v>1878000</v>
      </c>
      <c r="E29" s="313">
        <v>2610482</v>
      </c>
      <c r="F29" s="313">
        <f t="shared" si="11"/>
        <v>2610482</v>
      </c>
      <c r="G29" s="314">
        <f t="shared" si="2"/>
        <v>139.00330138445153</v>
      </c>
      <c r="H29" s="314">
        <f t="shared" si="2"/>
        <v>139.00330138445153</v>
      </c>
    </row>
    <row r="30" spans="1:8">
      <c r="A30" s="295"/>
      <c r="B30" s="305" t="s">
        <v>343</v>
      </c>
      <c r="C30" s="313"/>
      <c r="D30" s="313">
        <f t="shared" si="11"/>
        <v>0</v>
      </c>
      <c r="E30" s="313">
        <v>292</v>
      </c>
      <c r="F30" s="313">
        <f t="shared" si="11"/>
        <v>292</v>
      </c>
      <c r="G30" s="314"/>
      <c r="H30" s="314"/>
    </row>
    <row r="31" spans="1:8">
      <c r="A31" s="295"/>
      <c r="B31" s="305" t="s">
        <v>346</v>
      </c>
      <c r="C31" s="313"/>
      <c r="D31" s="313">
        <f t="shared" si="11"/>
        <v>0</v>
      </c>
      <c r="E31" s="313"/>
      <c r="F31" s="313">
        <f t="shared" si="11"/>
        <v>0</v>
      </c>
      <c r="G31" s="314"/>
      <c r="H31" s="314"/>
    </row>
    <row r="32" spans="1:8">
      <c r="A32" s="295"/>
      <c r="B32" s="305" t="s">
        <v>344</v>
      </c>
      <c r="C32" s="313"/>
      <c r="D32" s="313">
        <f t="shared" si="11"/>
        <v>0</v>
      </c>
      <c r="E32" s="313"/>
      <c r="F32" s="313">
        <f t="shared" si="11"/>
        <v>0</v>
      </c>
      <c r="G32" s="314"/>
      <c r="H32" s="314"/>
    </row>
    <row r="33" spans="1:8">
      <c r="A33" s="295"/>
      <c r="B33" s="305" t="s">
        <v>345</v>
      </c>
      <c r="C33" s="313"/>
      <c r="D33" s="313">
        <f t="shared" si="11"/>
        <v>0</v>
      </c>
      <c r="E33" s="313"/>
      <c r="F33" s="313"/>
      <c r="G33" s="314"/>
      <c r="H33" s="314"/>
    </row>
    <row r="34" spans="1:8">
      <c r="A34" s="295">
        <v>4</v>
      </c>
      <c r="B34" s="295" t="s">
        <v>85</v>
      </c>
      <c r="C34" s="313">
        <f>SUM(C35:C40)</f>
        <v>1310000</v>
      </c>
      <c r="D34" s="313">
        <f t="shared" ref="D34" si="12">SUM(D35:D40)</f>
        <v>1310000</v>
      </c>
      <c r="E34" s="313">
        <f>SUM(E35:E40)</f>
        <v>1009764</v>
      </c>
      <c r="F34" s="313">
        <f t="shared" ref="F34" si="13">SUM(F35:F40)</f>
        <v>1009220</v>
      </c>
      <c r="G34" s="314">
        <f t="shared" si="2"/>
        <v>77.081221374045811</v>
      </c>
      <c r="H34" s="314">
        <f t="shared" si="2"/>
        <v>77.03969465648855</v>
      </c>
    </row>
    <row r="35" spans="1:8">
      <c r="A35" s="295"/>
      <c r="B35" s="305" t="s">
        <v>340</v>
      </c>
      <c r="C35" s="313">
        <v>978000</v>
      </c>
      <c r="D35" s="313">
        <f>C35</f>
        <v>978000</v>
      </c>
      <c r="E35" s="313">
        <v>687414</v>
      </c>
      <c r="F35" s="313">
        <f>E35</f>
        <v>687414</v>
      </c>
      <c r="G35" s="314">
        <f t="shared" si="2"/>
        <v>70.287730061349691</v>
      </c>
      <c r="H35" s="314">
        <f t="shared" si="2"/>
        <v>70.287730061349691</v>
      </c>
    </row>
    <row r="36" spans="1:8">
      <c r="A36" s="295"/>
      <c r="B36" s="305" t="s">
        <v>341</v>
      </c>
      <c r="C36" s="313">
        <v>318000</v>
      </c>
      <c r="D36" s="313">
        <f t="shared" ref="D36:F40" si="14">C36</f>
        <v>318000</v>
      </c>
      <c r="E36" s="313">
        <v>308597</v>
      </c>
      <c r="F36" s="313">
        <f t="shared" si="14"/>
        <v>308597</v>
      </c>
      <c r="G36" s="314">
        <f t="shared" si="2"/>
        <v>97.043081761006292</v>
      </c>
      <c r="H36" s="314">
        <f t="shared" si="2"/>
        <v>97.043081761006292</v>
      </c>
    </row>
    <row r="37" spans="1:8">
      <c r="A37" s="295"/>
      <c r="B37" s="305" t="s">
        <v>342</v>
      </c>
      <c r="C37" s="313">
        <v>7000</v>
      </c>
      <c r="D37" s="313">
        <f t="shared" si="14"/>
        <v>7000</v>
      </c>
      <c r="E37" s="313">
        <v>4301</v>
      </c>
      <c r="F37" s="313">
        <f>E37-544</f>
        <v>3757</v>
      </c>
      <c r="G37" s="314">
        <f t="shared" si="2"/>
        <v>61.442857142857143</v>
      </c>
      <c r="H37" s="314">
        <f t="shared" si="2"/>
        <v>53.671428571428571</v>
      </c>
    </row>
    <row r="38" spans="1:8">
      <c r="A38" s="295"/>
      <c r="B38" s="305" t="s">
        <v>343</v>
      </c>
      <c r="C38" s="313">
        <v>7000</v>
      </c>
      <c r="D38" s="313">
        <f t="shared" si="14"/>
        <v>7000</v>
      </c>
      <c r="E38" s="313">
        <v>9452</v>
      </c>
      <c r="F38" s="313">
        <f t="shared" si="14"/>
        <v>9452</v>
      </c>
      <c r="G38" s="314">
        <f t="shared" si="2"/>
        <v>135.02857142857144</v>
      </c>
      <c r="H38" s="314">
        <f t="shared" si="2"/>
        <v>135.02857142857144</v>
      </c>
    </row>
    <row r="39" spans="1:8">
      <c r="A39" s="295"/>
      <c r="B39" s="305" t="s">
        <v>344</v>
      </c>
      <c r="C39" s="313"/>
      <c r="D39" s="313">
        <f t="shared" si="14"/>
        <v>0</v>
      </c>
      <c r="E39" s="313">
        <v>0</v>
      </c>
      <c r="F39" s="313">
        <f t="shared" si="14"/>
        <v>0</v>
      </c>
      <c r="G39" s="314"/>
      <c r="H39" s="314"/>
    </row>
    <row r="40" spans="1:8">
      <c r="A40" s="295"/>
      <c r="B40" s="305" t="s">
        <v>345</v>
      </c>
      <c r="C40" s="313"/>
      <c r="D40" s="313">
        <f t="shared" si="14"/>
        <v>0</v>
      </c>
      <c r="E40" s="313">
        <v>0</v>
      </c>
      <c r="F40" s="313"/>
      <c r="G40" s="314"/>
      <c r="H40" s="314"/>
    </row>
    <row r="41" spans="1:8">
      <c r="A41" s="294">
        <v>5</v>
      </c>
      <c r="B41" s="295" t="s">
        <v>86</v>
      </c>
      <c r="C41" s="313">
        <v>630000</v>
      </c>
      <c r="D41" s="313">
        <f>C41</f>
        <v>630000</v>
      </c>
      <c r="E41" s="313">
        <v>588444</v>
      </c>
      <c r="F41" s="313">
        <f>E41</f>
        <v>588444</v>
      </c>
      <c r="G41" s="314">
        <f t="shared" si="2"/>
        <v>93.403809523809528</v>
      </c>
      <c r="H41" s="314">
        <f t="shared" si="2"/>
        <v>93.403809523809528</v>
      </c>
    </row>
    <row r="42" spans="1:8">
      <c r="A42" s="294">
        <v>6</v>
      </c>
      <c r="B42" s="295" t="s">
        <v>87</v>
      </c>
      <c r="C42" s="313">
        <f>SUM(C43:C44)</f>
        <v>690000</v>
      </c>
      <c r="D42" s="313">
        <f>SUM(D43:D44)</f>
        <v>256700</v>
      </c>
      <c r="E42" s="313">
        <f>SUM(E43:E44)</f>
        <v>737399</v>
      </c>
      <c r="F42" s="313">
        <f>SUM(F43:F44)</f>
        <v>274313</v>
      </c>
      <c r="G42" s="314">
        <f t="shared" si="2"/>
        <v>106.86942028985507</v>
      </c>
      <c r="H42" s="314">
        <f t="shared" si="2"/>
        <v>106.86131671211531</v>
      </c>
    </row>
    <row r="43" spans="1:8" ht="31.5">
      <c r="A43" s="294" t="s">
        <v>13</v>
      </c>
      <c r="B43" s="307" t="s">
        <v>88</v>
      </c>
      <c r="C43" s="313">
        <v>256700</v>
      </c>
      <c r="D43" s="313">
        <f t="shared" ref="D43:F45" si="15">C43</f>
        <v>256700</v>
      </c>
      <c r="E43" s="313">
        <v>274313</v>
      </c>
      <c r="F43" s="313">
        <f t="shared" si="15"/>
        <v>274313</v>
      </c>
      <c r="G43" s="314">
        <f t="shared" si="2"/>
        <v>106.86131671211531</v>
      </c>
      <c r="H43" s="314">
        <f t="shared" si="2"/>
        <v>106.86131671211531</v>
      </c>
    </row>
    <row r="44" spans="1:8">
      <c r="A44" s="294" t="s">
        <v>13</v>
      </c>
      <c r="B44" s="307" t="s">
        <v>89</v>
      </c>
      <c r="C44" s="313">
        <v>433300</v>
      </c>
      <c r="D44" s="313"/>
      <c r="E44" s="313">
        <v>463086</v>
      </c>
      <c r="F44" s="313"/>
      <c r="G44" s="314">
        <f t="shared" si="2"/>
        <v>106.8742210939303</v>
      </c>
      <c r="H44" s="314"/>
    </row>
    <row r="45" spans="1:8">
      <c r="A45" s="294">
        <v>7</v>
      </c>
      <c r="B45" s="295" t="s">
        <v>90</v>
      </c>
      <c r="C45" s="313">
        <v>290000</v>
      </c>
      <c r="D45" s="313">
        <f t="shared" si="15"/>
        <v>290000</v>
      </c>
      <c r="E45" s="313">
        <v>270649</v>
      </c>
      <c r="F45" s="313">
        <f t="shared" si="15"/>
        <v>270649</v>
      </c>
      <c r="G45" s="314">
        <f t="shared" si="2"/>
        <v>93.327241379310351</v>
      </c>
      <c r="H45" s="314">
        <f t="shared" si="2"/>
        <v>93.327241379310351</v>
      </c>
    </row>
    <row r="46" spans="1:8">
      <c r="A46" s="294">
        <v>8</v>
      </c>
      <c r="B46" s="295" t="s">
        <v>91</v>
      </c>
      <c r="C46" s="313">
        <f>SUM(C47:C50)</f>
        <v>120000</v>
      </c>
      <c r="D46" s="313">
        <f>SUM(D47:D50)</f>
        <v>98000</v>
      </c>
      <c r="E46" s="313">
        <f>SUM(E47:E50)</f>
        <v>114655</v>
      </c>
      <c r="F46" s="313">
        <f>SUM(F47:F50)</f>
        <v>75173</v>
      </c>
      <c r="G46" s="314">
        <f t="shared" si="2"/>
        <v>95.545833333333334</v>
      </c>
      <c r="H46" s="314">
        <f t="shared" si="2"/>
        <v>76.707142857142856</v>
      </c>
    </row>
    <row r="47" spans="1:8">
      <c r="A47" s="294" t="s">
        <v>13</v>
      </c>
      <c r="B47" s="307" t="s">
        <v>92</v>
      </c>
      <c r="C47" s="313">
        <v>22000</v>
      </c>
      <c r="D47" s="313"/>
      <c r="E47" s="313">
        <f>38654+1161</f>
        <v>39815</v>
      </c>
      <c r="F47" s="313">
        <f>329+4</f>
        <v>333</v>
      </c>
      <c r="G47" s="314">
        <f t="shared" si="2"/>
        <v>180.97727272727272</v>
      </c>
      <c r="H47" s="314"/>
    </row>
    <row r="48" spans="1:8">
      <c r="A48" s="294" t="s">
        <v>13</v>
      </c>
      <c r="B48" s="307" t="s">
        <v>93</v>
      </c>
      <c r="C48" s="336">
        <v>98000</v>
      </c>
      <c r="D48" s="336">
        <f t="shared" ref="D48:F52" si="16">C48</f>
        <v>98000</v>
      </c>
      <c r="E48" s="313">
        <v>34248</v>
      </c>
      <c r="F48" s="313">
        <f t="shared" si="16"/>
        <v>34248</v>
      </c>
      <c r="G48" s="337">
        <f>(E48+E49+E50)/C48*100</f>
        <v>76.367346938775512</v>
      </c>
      <c r="H48" s="337">
        <f>(F48+F49+F50)/D48*100</f>
        <v>76.367346938775512</v>
      </c>
    </row>
    <row r="49" spans="1:8">
      <c r="A49" s="294" t="s">
        <v>13</v>
      </c>
      <c r="B49" s="307" t="s">
        <v>94</v>
      </c>
      <c r="C49" s="336"/>
      <c r="D49" s="336"/>
      <c r="E49" s="313">
        <v>14273</v>
      </c>
      <c r="F49" s="313">
        <f t="shared" si="16"/>
        <v>14273</v>
      </c>
      <c r="G49" s="337"/>
      <c r="H49" s="337"/>
    </row>
    <row r="50" spans="1:8">
      <c r="A50" s="294" t="s">
        <v>13</v>
      </c>
      <c r="B50" s="307" t="s">
        <v>95</v>
      </c>
      <c r="C50" s="336"/>
      <c r="D50" s="336"/>
      <c r="E50" s="313">
        <v>26319</v>
      </c>
      <c r="F50" s="313">
        <f t="shared" si="16"/>
        <v>26319</v>
      </c>
      <c r="G50" s="337"/>
      <c r="H50" s="337"/>
    </row>
    <row r="51" spans="1:8">
      <c r="A51" s="294">
        <v>9</v>
      </c>
      <c r="B51" s="295" t="s">
        <v>96</v>
      </c>
      <c r="C51" s="313"/>
      <c r="D51" s="313">
        <f t="shared" si="16"/>
        <v>0</v>
      </c>
      <c r="E51" s="313">
        <v>442</v>
      </c>
      <c r="F51" s="313">
        <f t="shared" si="16"/>
        <v>442</v>
      </c>
      <c r="G51" s="314"/>
      <c r="H51" s="314"/>
    </row>
    <row r="52" spans="1:8">
      <c r="A52" s="294">
        <v>10</v>
      </c>
      <c r="B52" s="295" t="s">
        <v>97</v>
      </c>
      <c r="C52" s="313">
        <v>15000</v>
      </c>
      <c r="D52" s="313">
        <f t="shared" si="16"/>
        <v>15000</v>
      </c>
      <c r="E52" s="313">
        <v>16412</v>
      </c>
      <c r="F52" s="313">
        <f t="shared" si="16"/>
        <v>16412</v>
      </c>
      <c r="G52" s="314">
        <f t="shared" si="2"/>
        <v>109.41333333333334</v>
      </c>
      <c r="H52" s="314">
        <f t="shared" si="2"/>
        <v>109.41333333333334</v>
      </c>
    </row>
    <row r="53" spans="1:8">
      <c r="A53" s="294">
        <v>11</v>
      </c>
      <c r="B53" s="295" t="s">
        <v>98</v>
      </c>
      <c r="C53" s="313">
        <v>80000</v>
      </c>
      <c r="D53" s="313">
        <f>C53</f>
        <v>80000</v>
      </c>
      <c r="E53" s="313">
        <v>180705</v>
      </c>
      <c r="F53" s="313">
        <f>E53</f>
        <v>180705</v>
      </c>
      <c r="G53" s="314">
        <f t="shared" si="2"/>
        <v>225.88124999999999</v>
      </c>
      <c r="H53" s="314">
        <f t="shared" si="2"/>
        <v>225.88124999999999</v>
      </c>
    </row>
    <row r="54" spans="1:8">
      <c r="A54" s="294">
        <v>12</v>
      </c>
      <c r="B54" s="295" t="s">
        <v>99</v>
      </c>
      <c r="C54" s="313">
        <v>250000</v>
      </c>
      <c r="D54" s="313">
        <f t="shared" ref="D54:F80" si="17">C54</f>
        <v>250000</v>
      </c>
      <c r="E54" s="313">
        <v>387833</v>
      </c>
      <c r="F54" s="313">
        <f t="shared" si="17"/>
        <v>387833</v>
      </c>
      <c r="G54" s="314">
        <f t="shared" si="2"/>
        <v>155.13319999999999</v>
      </c>
      <c r="H54" s="314">
        <f t="shared" si="2"/>
        <v>155.13319999999999</v>
      </c>
    </row>
    <row r="55" spans="1:8" ht="31.5">
      <c r="A55" s="294">
        <v>13</v>
      </c>
      <c r="B55" s="295" t="s">
        <v>100</v>
      </c>
      <c r="C55" s="313">
        <v>2000</v>
      </c>
      <c r="D55" s="313">
        <f t="shared" si="17"/>
        <v>2000</v>
      </c>
      <c r="E55" s="313">
        <v>4129</v>
      </c>
      <c r="F55" s="313">
        <f t="shared" si="17"/>
        <v>4129</v>
      </c>
      <c r="G55" s="314">
        <f t="shared" si="2"/>
        <v>206.45</v>
      </c>
      <c r="H55" s="314">
        <f t="shared" si="2"/>
        <v>206.45</v>
      </c>
    </row>
    <row r="56" spans="1:8">
      <c r="A56" s="295">
        <v>14</v>
      </c>
      <c r="B56" s="295" t="s">
        <v>101</v>
      </c>
      <c r="C56" s="313">
        <f>SUM(C57:C61)</f>
        <v>1440000</v>
      </c>
      <c r="D56" s="313">
        <f t="shared" si="17"/>
        <v>1440000</v>
      </c>
      <c r="E56" s="313">
        <v>1602566</v>
      </c>
      <c r="F56" s="313">
        <f t="shared" si="17"/>
        <v>1602566</v>
      </c>
      <c r="G56" s="314">
        <f t="shared" si="2"/>
        <v>111.28930555555556</v>
      </c>
      <c r="H56" s="314">
        <f t="shared" si="2"/>
        <v>111.28930555555556</v>
      </c>
    </row>
    <row r="57" spans="1:8">
      <c r="A57" s="295"/>
      <c r="B57" s="305" t="s">
        <v>340</v>
      </c>
      <c r="C57" s="336">
        <v>1440000</v>
      </c>
      <c r="D57" s="336">
        <f t="shared" si="17"/>
        <v>1440000</v>
      </c>
      <c r="E57" s="313"/>
      <c r="F57" s="313">
        <f t="shared" si="17"/>
        <v>0</v>
      </c>
      <c r="G57" s="314"/>
      <c r="H57" s="314"/>
    </row>
    <row r="58" spans="1:8">
      <c r="A58" s="295"/>
      <c r="B58" s="305" t="s">
        <v>341</v>
      </c>
      <c r="C58" s="336"/>
      <c r="D58" s="336"/>
      <c r="E58" s="313"/>
      <c r="F58" s="313">
        <f t="shared" si="17"/>
        <v>0</v>
      </c>
      <c r="G58" s="314"/>
      <c r="H58" s="314"/>
    </row>
    <row r="59" spans="1:8">
      <c r="A59" s="295"/>
      <c r="B59" s="305" t="s">
        <v>342</v>
      </c>
      <c r="C59" s="336"/>
      <c r="D59" s="336"/>
      <c r="E59" s="313"/>
      <c r="F59" s="313">
        <f t="shared" si="17"/>
        <v>0</v>
      </c>
      <c r="G59" s="314"/>
      <c r="H59" s="314"/>
    </row>
    <row r="60" spans="1:8">
      <c r="A60" s="295"/>
      <c r="B60" s="306" t="s">
        <v>351</v>
      </c>
      <c r="C60" s="336"/>
      <c r="D60" s="336"/>
      <c r="E60" s="313"/>
      <c r="F60" s="313">
        <f t="shared" si="17"/>
        <v>0</v>
      </c>
      <c r="G60" s="314"/>
      <c r="H60" s="314"/>
    </row>
    <row r="61" spans="1:8">
      <c r="A61" s="295"/>
      <c r="B61" s="306" t="s">
        <v>352</v>
      </c>
      <c r="C61" s="336"/>
      <c r="D61" s="336"/>
      <c r="E61" s="313"/>
      <c r="F61" s="313">
        <f t="shared" si="17"/>
        <v>0</v>
      </c>
      <c r="G61" s="314"/>
      <c r="H61" s="314"/>
    </row>
    <row r="62" spans="1:8">
      <c r="A62" s="294">
        <v>15</v>
      </c>
      <c r="B62" s="295" t="s">
        <v>102</v>
      </c>
      <c r="C62" s="313">
        <v>1000</v>
      </c>
      <c r="D62" s="313">
        <f t="shared" si="17"/>
        <v>1000</v>
      </c>
      <c r="E62" s="313">
        <v>4091</v>
      </c>
      <c r="F62" s="313">
        <f>E62-721</f>
        <v>3370</v>
      </c>
      <c r="G62" s="314">
        <f t="shared" si="2"/>
        <v>409.1</v>
      </c>
      <c r="H62" s="314">
        <f t="shared" si="2"/>
        <v>337</v>
      </c>
    </row>
    <row r="63" spans="1:8">
      <c r="A63" s="294">
        <v>16</v>
      </c>
      <c r="B63" s="295" t="s">
        <v>103</v>
      </c>
      <c r="C63" s="313">
        <f>210000</f>
        <v>210000</v>
      </c>
      <c r="D63" s="313">
        <f>210000-65300</f>
        <v>144700</v>
      </c>
      <c r="E63" s="313">
        <f>257662+329</f>
        <v>257991</v>
      </c>
      <c r="F63" s="313">
        <f>E63-81846</f>
        <v>176145</v>
      </c>
      <c r="G63" s="314">
        <f t="shared" si="2"/>
        <v>122.85285714285715</v>
      </c>
      <c r="H63" s="314">
        <f t="shared" si="2"/>
        <v>121.73116793365584</v>
      </c>
    </row>
    <row r="64" spans="1:8" ht="31.5">
      <c r="A64" s="294">
        <v>17</v>
      </c>
      <c r="B64" s="295" t="s">
        <v>104</v>
      </c>
      <c r="C64" s="313">
        <v>34000</v>
      </c>
      <c r="D64" s="313">
        <f t="shared" si="17"/>
        <v>34000</v>
      </c>
      <c r="E64" s="313">
        <v>2743</v>
      </c>
      <c r="F64" s="313">
        <f t="shared" si="17"/>
        <v>2743</v>
      </c>
      <c r="G64" s="314">
        <f t="shared" si="2"/>
        <v>8.0676470588235301</v>
      </c>
      <c r="H64" s="314">
        <f t="shared" si="2"/>
        <v>8.0676470588235301</v>
      </c>
    </row>
    <row r="65" spans="1:8">
      <c r="A65" s="294">
        <v>18</v>
      </c>
      <c r="B65" s="295" t="s">
        <v>105</v>
      </c>
      <c r="C65" s="313"/>
      <c r="D65" s="313">
        <f t="shared" si="17"/>
        <v>0</v>
      </c>
      <c r="E65" s="313"/>
      <c r="F65" s="313">
        <f t="shared" si="17"/>
        <v>0</v>
      </c>
      <c r="G65" s="314"/>
      <c r="H65" s="314"/>
    </row>
    <row r="66" spans="1:8" ht="47.25">
      <c r="A66" s="294">
        <v>19</v>
      </c>
      <c r="B66" s="295" t="s">
        <v>106</v>
      </c>
      <c r="C66" s="313"/>
      <c r="D66" s="313">
        <f t="shared" si="17"/>
        <v>0</v>
      </c>
      <c r="E66" s="313"/>
      <c r="F66" s="313">
        <f t="shared" si="17"/>
        <v>0</v>
      </c>
      <c r="G66" s="314"/>
      <c r="H66" s="314"/>
    </row>
    <row r="67" spans="1:8">
      <c r="A67" s="294">
        <v>20</v>
      </c>
      <c r="B67" s="295" t="s">
        <v>107</v>
      </c>
      <c r="C67" s="313"/>
      <c r="D67" s="313">
        <f t="shared" si="17"/>
        <v>0</v>
      </c>
      <c r="E67" s="313"/>
      <c r="F67" s="313">
        <f t="shared" si="17"/>
        <v>0</v>
      </c>
      <c r="G67" s="314"/>
      <c r="H67" s="314"/>
    </row>
    <row r="68" spans="1:8">
      <c r="A68" s="290" t="s">
        <v>16</v>
      </c>
      <c r="B68" s="291" t="s">
        <v>108</v>
      </c>
      <c r="C68" s="313"/>
      <c r="D68" s="313">
        <f t="shared" si="17"/>
        <v>0</v>
      </c>
      <c r="E68" s="313"/>
      <c r="F68" s="313">
        <f t="shared" si="17"/>
        <v>0</v>
      </c>
      <c r="G68" s="293"/>
      <c r="H68" s="293"/>
    </row>
    <row r="69" spans="1:8" s="260" customFormat="1">
      <c r="A69" s="290" t="s">
        <v>20</v>
      </c>
      <c r="B69" s="291" t="s">
        <v>109</v>
      </c>
      <c r="C69" s="292">
        <f>SUM(C70:C75)</f>
        <v>370000</v>
      </c>
      <c r="D69" s="292">
        <f t="shared" ref="D69" si="18">SUM(D70:D75)</f>
        <v>0</v>
      </c>
      <c r="E69" s="292">
        <f>SUM(E70:E75)</f>
        <v>360802</v>
      </c>
      <c r="F69" s="292">
        <f t="shared" ref="F69" si="19">SUM(F70:F75)</f>
        <v>0</v>
      </c>
      <c r="G69" s="293">
        <f t="shared" si="2"/>
        <v>97.514054054054057</v>
      </c>
      <c r="H69" s="293"/>
    </row>
    <row r="70" spans="1:8">
      <c r="A70" s="294">
        <v>1</v>
      </c>
      <c r="B70" s="295" t="s">
        <v>110</v>
      </c>
      <c r="C70" s="313">
        <v>1000</v>
      </c>
      <c r="D70" s="313"/>
      <c r="E70" s="313">
        <v>1658</v>
      </c>
      <c r="F70" s="313"/>
      <c r="G70" s="314"/>
      <c r="H70" s="293"/>
    </row>
    <row r="71" spans="1:8">
      <c r="A71" s="294">
        <v>2</v>
      </c>
      <c r="B71" s="295" t="s">
        <v>111</v>
      </c>
      <c r="C71" s="313">
        <v>80000</v>
      </c>
      <c r="D71" s="313"/>
      <c r="E71" s="313">
        <v>42041</v>
      </c>
      <c r="F71" s="313"/>
      <c r="G71" s="314">
        <f t="shared" si="2"/>
        <v>52.551250000000003</v>
      </c>
      <c r="H71" s="293"/>
    </row>
    <row r="72" spans="1:8" ht="31.5">
      <c r="A72" s="294">
        <v>3</v>
      </c>
      <c r="B72" s="295" t="s">
        <v>112</v>
      </c>
      <c r="C72" s="313">
        <v>38000</v>
      </c>
      <c r="D72" s="313"/>
      <c r="E72" s="313">
        <v>18</v>
      </c>
      <c r="F72" s="313"/>
      <c r="G72" s="314">
        <f t="shared" si="2"/>
        <v>4.7368421052631574E-2</v>
      </c>
      <c r="H72" s="293"/>
    </row>
    <row r="73" spans="1:8" ht="31.5">
      <c r="A73" s="294">
        <v>4</v>
      </c>
      <c r="B73" s="295" t="s">
        <v>113</v>
      </c>
      <c r="C73" s="313">
        <v>1000</v>
      </c>
      <c r="D73" s="313"/>
      <c r="E73" s="313">
        <v>848</v>
      </c>
      <c r="F73" s="313"/>
      <c r="G73" s="314">
        <f t="shared" si="2"/>
        <v>84.8</v>
      </c>
      <c r="H73" s="293"/>
    </row>
    <row r="74" spans="1:8" ht="31.5">
      <c r="A74" s="294">
        <v>5</v>
      </c>
      <c r="B74" s="295" t="s">
        <v>114</v>
      </c>
      <c r="C74" s="313">
        <v>250000</v>
      </c>
      <c r="D74" s="313"/>
      <c r="E74" s="313">
        <v>313306</v>
      </c>
      <c r="F74" s="313"/>
      <c r="G74" s="314">
        <f t="shared" ref="G74" si="20">E74/C74*100</f>
        <v>125.32239999999999</v>
      </c>
      <c r="H74" s="293"/>
    </row>
    <row r="75" spans="1:8">
      <c r="A75" s="294">
        <v>6</v>
      </c>
      <c r="B75" s="295" t="s">
        <v>115</v>
      </c>
      <c r="C75" s="313"/>
      <c r="D75" s="313"/>
      <c r="E75" s="313">
        <v>2931</v>
      </c>
      <c r="F75" s="313"/>
      <c r="G75" s="293"/>
      <c r="H75" s="293"/>
    </row>
    <row r="76" spans="1:8">
      <c r="A76" s="290" t="s">
        <v>22</v>
      </c>
      <c r="B76" s="291" t="s">
        <v>116</v>
      </c>
      <c r="C76" s="313"/>
      <c r="D76" s="292">
        <f t="shared" si="17"/>
        <v>0</v>
      </c>
      <c r="E76" s="292">
        <v>3309</v>
      </c>
      <c r="F76" s="292">
        <f t="shared" si="17"/>
        <v>3309</v>
      </c>
      <c r="G76" s="293"/>
      <c r="H76" s="293"/>
    </row>
    <row r="77" spans="1:8">
      <c r="A77" s="308" t="s">
        <v>24</v>
      </c>
      <c r="B77" s="309" t="s">
        <v>347</v>
      </c>
      <c r="C77" s="313"/>
      <c r="D77" s="292">
        <f t="shared" si="17"/>
        <v>0</v>
      </c>
      <c r="E77" s="292">
        <v>20315</v>
      </c>
      <c r="F77" s="292">
        <f t="shared" si="17"/>
        <v>20315</v>
      </c>
      <c r="G77" s="293"/>
      <c r="H77" s="293"/>
    </row>
    <row r="78" spans="1:8">
      <c r="A78" s="290" t="s">
        <v>8</v>
      </c>
      <c r="B78" s="291" t="s">
        <v>117</v>
      </c>
      <c r="C78" s="313"/>
      <c r="D78" s="292">
        <f t="shared" si="17"/>
        <v>0</v>
      </c>
      <c r="E78" s="292"/>
      <c r="F78" s="292">
        <f t="shared" si="17"/>
        <v>0</v>
      </c>
      <c r="G78" s="293"/>
      <c r="H78" s="293"/>
    </row>
    <row r="79" spans="1:8">
      <c r="A79" s="290" t="s">
        <v>38</v>
      </c>
      <c r="B79" s="291" t="s">
        <v>118</v>
      </c>
      <c r="C79" s="313"/>
      <c r="D79" s="292">
        <f t="shared" si="17"/>
        <v>0</v>
      </c>
      <c r="E79" s="292">
        <v>1044369</v>
      </c>
      <c r="F79" s="292">
        <f t="shared" si="17"/>
        <v>1044369</v>
      </c>
      <c r="G79" s="293"/>
      <c r="H79" s="293"/>
    </row>
    <row r="80" spans="1:8" ht="31.5">
      <c r="A80" s="251" t="s">
        <v>39</v>
      </c>
      <c r="B80" s="252" t="s">
        <v>119</v>
      </c>
      <c r="C80" s="310"/>
      <c r="D80" s="254">
        <f t="shared" si="17"/>
        <v>0</v>
      </c>
      <c r="E80" s="254">
        <v>1707622</v>
      </c>
      <c r="F80" s="254">
        <f t="shared" si="17"/>
        <v>1707622</v>
      </c>
      <c r="G80" s="255"/>
      <c r="H80" s="255"/>
    </row>
    <row r="81" spans="1:8" hidden="1">
      <c r="A81" s="329" t="s">
        <v>120</v>
      </c>
      <c r="B81" s="329"/>
      <c r="C81" s="329"/>
      <c r="D81" s="329"/>
      <c r="E81" s="329"/>
      <c r="F81" s="329"/>
      <c r="G81" s="329"/>
      <c r="H81" s="329"/>
    </row>
    <row r="82" spans="1:8" ht="32.25" hidden="1" customHeight="1">
      <c r="A82" s="335" t="s">
        <v>121</v>
      </c>
      <c r="B82" s="335"/>
      <c r="C82" s="335"/>
      <c r="D82" s="335"/>
      <c r="E82" s="335"/>
      <c r="F82" s="335"/>
      <c r="G82" s="335"/>
      <c r="H82" s="335"/>
    </row>
    <row r="83" spans="1:8" ht="33" hidden="1" customHeight="1">
      <c r="A83" s="335" t="s">
        <v>122</v>
      </c>
      <c r="B83" s="335"/>
      <c r="C83" s="335"/>
      <c r="D83" s="335"/>
      <c r="E83" s="335"/>
      <c r="F83" s="335"/>
      <c r="G83" s="335"/>
      <c r="H83" s="335"/>
    </row>
    <row r="84" spans="1:8" ht="34.5" hidden="1" customHeight="1">
      <c r="A84" s="335" t="s">
        <v>123</v>
      </c>
      <c r="B84" s="335"/>
      <c r="C84" s="335"/>
      <c r="D84" s="335"/>
      <c r="E84" s="335"/>
      <c r="F84" s="335"/>
      <c r="G84" s="335"/>
      <c r="H84" s="335"/>
    </row>
    <row r="85" spans="1:8" ht="33.75" hidden="1" customHeight="1">
      <c r="A85" s="335" t="s">
        <v>124</v>
      </c>
      <c r="B85" s="335"/>
      <c r="C85" s="335"/>
      <c r="D85" s="335"/>
      <c r="E85" s="335"/>
      <c r="F85" s="335"/>
      <c r="G85" s="335"/>
      <c r="H85" s="335"/>
    </row>
    <row r="86" spans="1:8" ht="76.5" hidden="1" customHeight="1">
      <c r="A86" s="335" t="s">
        <v>125</v>
      </c>
      <c r="B86" s="335"/>
      <c r="C86" s="335"/>
      <c r="D86" s="335"/>
      <c r="E86" s="335"/>
      <c r="F86" s="335"/>
      <c r="G86" s="335"/>
      <c r="H86" s="335"/>
    </row>
    <row r="87" spans="1:8">
      <c r="A87" s="296"/>
    </row>
  </sheetData>
  <mergeCells count="22">
    <mergeCell ref="A1:B1"/>
    <mergeCell ref="F1:H1"/>
    <mergeCell ref="A83:H83"/>
    <mergeCell ref="A84:H84"/>
    <mergeCell ref="A85:H85"/>
    <mergeCell ref="A2:H2"/>
    <mergeCell ref="A3:H3"/>
    <mergeCell ref="F4:H4"/>
    <mergeCell ref="C5:D5"/>
    <mergeCell ref="E5:F5"/>
    <mergeCell ref="G5:H5"/>
    <mergeCell ref="A5:A6"/>
    <mergeCell ref="B5:B6"/>
    <mergeCell ref="A86:H86"/>
    <mergeCell ref="A82:H82"/>
    <mergeCell ref="A81:H81"/>
    <mergeCell ref="C48:C50"/>
    <mergeCell ref="D48:D50"/>
    <mergeCell ref="C57:C61"/>
    <mergeCell ref="D57:D61"/>
    <mergeCell ref="G48:G50"/>
    <mergeCell ref="H48:H50"/>
  </mergeCells>
  <pageMargins left="0" right="0" top="0.75" bottom="0.75" header="0.3" footer="0.3"/>
  <pageSetup paperSize="9" scale="90" orientation="portrait" r:id="rId1"/>
</worksheet>
</file>

<file path=xl/worksheets/sheet3.xml><?xml version="1.0" encoding="utf-8"?>
<worksheet xmlns="http://schemas.openxmlformats.org/spreadsheetml/2006/main" xmlns:r="http://schemas.openxmlformats.org/officeDocument/2006/relationships">
  <dimension ref="A1:E37"/>
  <sheetViews>
    <sheetView workbookViewId="0">
      <selection activeCell="D50" sqref="D50"/>
    </sheetView>
  </sheetViews>
  <sheetFormatPr defaultRowHeight="15.75"/>
  <cols>
    <col min="1" max="1" width="7.28515625" style="43" customWidth="1"/>
    <col min="2" max="2" width="34.140625" style="43" customWidth="1"/>
    <col min="3" max="3" width="14.42578125" style="43" customWidth="1"/>
    <col min="4" max="4" width="13.7109375" style="43" customWidth="1"/>
    <col min="5" max="5" width="13.42578125" style="43" customWidth="1"/>
    <col min="6" max="16384" width="9.140625" style="43"/>
  </cols>
  <sheetData>
    <row r="1" spans="1:5">
      <c r="A1" s="211"/>
      <c r="D1" s="340" t="s">
        <v>126</v>
      </c>
      <c r="E1" s="340"/>
    </row>
    <row r="2" spans="1:5">
      <c r="A2" s="340" t="s">
        <v>337</v>
      </c>
      <c r="B2" s="340"/>
      <c r="C2" s="340"/>
      <c r="D2" s="340"/>
      <c r="E2" s="340"/>
    </row>
    <row r="3" spans="1:5">
      <c r="A3" s="340"/>
      <c r="B3" s="340"/>
      <c r="C3" s="340"/>
      <c r="D3" s="340"/>
      <c r="E3" s="340"/>
    </row>
    <row r="4" spans="1:5">
      <c r="A4" s="44"/>
      <c r="D4" s="341" t="s">
        <v>1</v>
      </c>
      <c r="E4" s="341"/>
    </row>
    <row r="5" spans="1:5">
      <c r="A5" s="213" t="s">
        <v>2</v>
      </c>
      <c r="B5" s="213" t="s">
        <v>1393</v>
      </c>
      <c r="C5" s="213" t="s">
        <v>3</v>
      </c>
      <c r="D5" s="213" t="s">
        <v>4</v>
      </c>
      <c r="E5" s="213" t="s">
        <v>127</v>
      </c>
    </row>
    <row r="6" spans="1:5">
      <c r="A6" s="224" t="s">
        <v>7</v>
      </c>
      <c r="B6" s="224" t="s">
        <v>8</v>
      </c>
      <c r="C6" s="224">
        <v>1</v>
      </c>
      <c r="D6" s="224">
        <v>2</v>
      </c>
      <c r="E6" s="224" t="s">
        <v>128</v>
      </c>
    </row>
    <row r="7" spans="1:5" ht="31.5">
      <c r="A7" s="222"/>
      <c r="B7" s="223" t="s">
        <v>129</v>
      </c>
      <c r="C7" s="223">
        <f>C8+C27+C34+C35</f>
        <v>8661671</v>
      </c>
      <c r="D7" s="223">
        <f>D8+D27+D34+D35</f>
        <v>11210361</v>
      </c>
      <c r="E7" s="282">
        <f>D7/C7*100</f>
        <v>129.42492274296725</v>
      </c>
    </row>
    <row r="8" spans="1:5" ht="31.5">
      <c r="A8" s="214" t="s">
        <v>7</v>
      </c>
      <c r="B8" s="215" t="s">
        <v>130</v>
      </c>
      <c r="C8" s="215">
        <f>C9+C19+C23+C24+C25+C26</f>
        <v>8197637</v>
      </c>
      <c r="D8" s="215">
        <f>D9+D19+D23+D24+D25+D26</f>
        <v>9455694</v>
      </c>
      <c r="E8" s="283">
        <f t="shared" ref="E8:E33" si="0">D8/C8*100</f>
        <v>115.34658097205327</v>
      </c>
    </row>
    <row r="9" spans="1:5">
      <c r="A9" s="214" t="s">
        <v>11</v>
      </c>
      <c r="B9" s="215" t="s">
        <v>28</v>
      </c>
      <c r="C9" s="215">
        <f>C10+C17+C18</f>
        <v>2202310</v>
      </c>
      <c r="D9" s="215">
        <f>D10+D17+D18</f>
        <v>3055955</v>
      </c>
      <c r="E9" s="283">
        <f t="shared" si="0"/>
        <v>138.76134604120219</v>
      </c>
    </row>
    <row r="10" spans="1:5">
      <c r="A10" s="216">
        <v>1</v>
      </c>
      <c r="B10" s="217" t="s">
        <v>131</v>
      </c>
      <c r="C10" s="217">
        <f>2620168-250000*0.15-417858</f>
        <v>2164810</v>
      </c>
      <c r="D10" s="217">
        <v>3009115</v>
      </c>
      <c r="E10" s="284">
        <f t="shared" si="0"/>
        <v>139.00134422882377</v>
      </c>
    </row>
    <row r="11" spans="1:5" hidden="1">
      <c r="A11" s="216"/>
      <c r="B11" s="218" t="s">
        <v>132</v>
      </c>
      <c r="C11" s="217"/>
      <c r="D11" s="217"/>
      <c r="E11" s="284"/>
    </row>
    <row r="12" spans="1:5" ht="31.5" hidden="1">
      <c r="A12" s="216" t="s">
        <v>13</v>
      </c>
      <c r="B12" s="218" t="s">
        <v>133</v>
      </c>
      <c r="C12" s="217"/>
      <c r="D12" s="217"/>
      <c r="E12" s="284"/>
    </row>
    <row r="13" spans="1:5" hidden="1">
      <c r="A13" s="216" t="s">
        <v>13</v>
      </c>
      <c r="B13" s="218" t="s">
        <v>134</v>
      </c>
      <c r="C13" s="217"/>
      <c r="D13" s="217"/>
      <c r="E13" s="284"/>
    </row>
    <row r="14" spans="1:5" hidden="1">
      <c r="A14" s="216"/>
      <c r="B14" s="218" t="s">
        <v>135</v>
      </c>
      <c r="C14" s="217"/>
      <c r="D14" s="217"/>
      <c r="E14" s="284"/>
    </row>
    <row r="15" spans="1:5" ht="31.5" hidden="1">
      <c r="A15" s="216" t="s">
        <v>13</v>
      </c>
      <c r="B15" s="218" t="s">
        <v>136</v>
      </c>
      <c r="C15" s="217"/>
      <c r="D15" s="217"/>
      <c r="E15" s="284"/>
    </row>
    <row r="16" spans="1:5" ht="31.5" hidden="1">
      <c r="A16" s="216" t="s">
        <v>13</v>
      </c>
      <c r="B16" s="218" t="s">
        <v>137</v>
      </c>
      <c r="C16" s="217"/>
      <c r="D16" s="217"/>
      <c r="E16" s="284"/>
    </row>
    <row r="17" spans="1:5" ht="94.5">
      <c r="A17" s="216">
        <v>2</v>
      </c>
      <c r="B17" s="217" t="s">
        <v>138</v>
      </c>
      <c r="C17" s="217"/>
      <c r="D17" s="217"/>
      <c r="E17" s="284"/>
    </row>
    <row r="18" spans="1:5">
      <c r="A18" s="216">
        <v>3</v>
      </c>
      <c r="B18" s="217" t="s">
        <v>139</v>
      </c>
      <c r="C18" s="217">
        <f>250000*0.15</f>
        <v>37500</v>
      </c>
      <c r="D18" s="217">
        <v>46840</v>
      </c>
      <c r="E18" s="284">
        <f t="shared" si="0"/>
        <v>124.90666666666668</v>
      </c>
    </row>
    <row r="19" spans="1:5">
      <c r="A19" s="214" t="s">
        <v>16</v>
      </c>
      <c r="B19" s="215" t="s">
        <v>29</v>
      </c>
      <c r="C19" s="215">
        <v>5832217</v>
      </c>
      <c r="D19" s="215">
        <v>6398479</v>
      </c>
      <c r="E19" s="283">
        <f t="shared" si="0"/>
        <v>109.70920663617282</v>
      </c>
    </row>
    <row r="20" spans="1:5">
      <c r="A20" s="216"/>
      <c r="B20" s="218" t="s">
        <v>140</v>
      </c>
      <c r="C20" s="217"/>
      <c r="D20" s="217"/>
      <c r="E20" s="284"/>
    </row>
    <row r="21" spans="1:5" ht="31.5">
      <c r="A21" s="225">
        <v>1</v>
      </c>
      <c r="B21" s="218" t="s">
        <v>133</v>
      </c>
      <c r="C21" s="218">
        <v>2511334</v>
      </c>
      <c r="D21" s="218">
        <v>2529568</v>
      </c>
      <c r="E21" s="285">
        <f t="shared" si="0"/>
        <v>100.72606829676975</v>
      </c>
    </row>
    <row r="22" spans="1:5">
      <c r="A22" s="225">
        <v>2</v>
      </c>
      <c r="B22" s="218" t="s">
        <v>134</v>
      </c>
      <c r="C22" s="218">
        <v>29130</v>
      </c>
      <c r="D22" s="218">
        <v>28560</v>
      </c>
      <c r="E22" s="285">
        <f t="shared" si="0"/>
        <v>98.043254376931003</v>
      </c>
    </row>
    <row r="23" spans="1:5" ht="31.5">
      <c r="A23" s="214" t="s">
        <v>20</v>
      </c>
      <c r="B23" s="215" t="s">
        <v>30</v>
      </c>
      <c r="C23" s="215">
        <v>0</v>
      </c>
      <c r="D23" s="215">
        <v>260</v>
      </c>
      <c r="E23" s="283"/>
    </row>
    <row r="24" spans="1:5">
      <c r="A24" s="214" t="s">
        <v>22</v>
      </c>
      <c r="B24" s="215" t="s">
        <v>31</v>
      </c>
      <c r="C24" s="215">
        <v>1000</v>
      </c>
      <c r="D24" s="215">
        <v>1000</v>
      </c>
      <c r="E24" s="283">
        <f t="shared" si="0"/>
        <v>100</v>
      </c>
    </row>
    <row r="25" spans="1:5">
      <c r="A25" s="214" t="s">
        <v>24</v>
      </c>
      <c r="B25" s="215" t="s">
        <v>32</v>
      </c>
      <c r="C25" s="215">
        <v>162110</v>
      </c>
      <c r="D25" s="215"/>
      <c r="E25" s="283">
        <f t="shared" si="0"/>
        <v>0</v>
      </c>
    </row>
    <row r="26" spans="1:5" ht="31.5">
      <c r="A26" s="214" t="s">
        <v>141</v>
      </c>
      <c r="B26" s="215" t="s">
        <v>142</v>
      </c>
      <c r="C26" s="215"/>
      <c r="D26" s="215"/>
      <c r="E26" s="283"/>
    </row>
    <row r="27" spans="1:5" ht="31.5">
      <c r="A27" s="214" t="s">
        <v>8</v>
      </c>
      <c r="B27" s="215" t="s">
        <v>143</v>
      </c>
      <c r="C27" s="215">
        <f>C28+C31</f>
        <v>464034</v>
      </c>
      <c r="D27" s="215"/>
      <c r="E27" s="283">
        <f t="shared" si="0"/>
        <v>0</v>
      </c>
    </row>
    <row r="28" spans="1:5" ht="31.5" hidden="1">
      <c r="A28" s="214" t="s">
        <v>11</v>
      </c>
      <c r="B28" s="215" t="s">
        <v>35</v>
      </c>
      <c r="C28" s="215">
        <f>C29+C30</f>
        <v>154098</v>
      </c>
      <c r="D28" s="215">
        <f>D29+D30</f>
        <v>0</v>
      </c>
      <c r="E28" s="283">
        <f t="shared" si="0"/>
        <v>0</v>
      </c>
    </row>
    <row r="29" spans="1:5" ht="31.5" hidden="1">
      <c r="A29" s="214"/>
      <c r="B29" s="215" t="s">
        <v>355</v>
      </c>
      <c r="C29" s="215">
        <v>119100</v>
      </c>
      <c r="D29" s="215"/>
      <c r="E29" s="283"/>
    </row>
    <row r="30" spans="1:5" hidden="1">
      <c r="A30" s="216"/>
      <c r="B30" s="217" t="s">
        <v>356</v>
      </c>
      <c r="C30" s="217">
        <v>34998</v>
      </c>
      <c r="D30" s="217"/>
      <c r="E30" s="284">
        <f t="shared" si="0"/>
        <v>0</v>
      </c>
    </row>
    <row r="31" spans="1:5" ht="31.5" hidden="1">
      <c r="A31" s="214" t="s">
        <v>16</v>
      </c>
      <c r="B31" s="215" t="s">
        <v>36</v>
      </c>
      <c r="C31" s="215">
        <f>C32+C33</f>
        <v>309936</v>
      </c>
      <c r="D31" s="215"/>
      <c r="E31" s="283">
        <f t="shared" si="0"/>
        <v>0</v>
      </c>
    </row>
    <row r="32" spans="1:5" ht="31.5" hidden="1">
      <c r="A32" s="214"/>
      <c r="B32" s="215" t="s">
        <v>357</v>
      </c>
      <c r="C32" s="215">
        <f>144469+157550</f>
        <v>302019</v>
      </c>
      <c r="D32" s="215"/>
      <c r="E32" s="283"/>
    </row>
    <row r="33" spans="1:5" ht="31.5" hidden="1">
      <c r="A33" s="216"/>
      <c r="B33" s="215" t="s">
        <v>358</v>
      </c>
      <c r="C33" s="215">
        <v>7917</v>
      </c>
      <c r="D33" s="215"/>
      <c r="E33" s="283">
        <f t="shared" si="0"/>
        <v>0</v>
      </c>
    </row>
    <row r="34" spans="1:5" ht="31.5">
      <c r="A34" s="214" t="s">
        <v>38</v>
      </c>
      <c r="B34" s="215" t="s">
        <v>146</v>
      </c>
      <c r="C34" s="217"/>
      <c r="D34" s="215">
        <v>1707622</v>
      </c>
      <c r="E34" s="284"/>
    </row>
    <row r="35" spans="1:5" ht="31.5">
      <c r="A35" s="219" t="s">
        <v>39</v>
      </c>
      <c r="B35" s="220" t="s">
        <v>359</v>
      </c>
      <c r="C35" s="221"/>
      <c r="D35" s="220">
        <v>47045</v>
      </c>
      <c r="E35" s="286"/>
    </row>
    <row r="36" spans="1:5" ht="42.75" hidden="1" customHeight="1">
      <c r="A36" s="342" t="s">
        <v>1394</v>
      </c>
      <c r="B36" s="342"/>
      <c r="C36" s="342"/>
      <c r="D36" s="342"/>
      <c r="E36" s="342"/>
    </row>
    <row r="37" spans="1:5">
      <c r="A37" s="211"/>
    </row>
  </sheetData>
  <mergeCells count="5">
    <mergeCell ref="A2:E2"/>
    <mergeCell ref="A3:E3"/>
    <mergeCell ref="D1:E1"/>
    <mergeCell ref="D4:E4"/>
    <mergeCell ref="A36:E3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K37"/>
  <sheetViews>
    <sheetView workbookViewId="0">
      <selection activeCell="K6" sqref="K6:K8"/>
    </sheetView>
  </sheetViews>
  <sheetFormatPr defaultRowHeight="15.75"/>
  <cols>
    <col min="1" max="1" width="5.28515625" style="43" bestFit="1" customWidth="1"/>
    <col min="2" max="2" width="32.42578125" style="43" customWidth="1"/>
    <col min="3" max="3" width="11.28515625" style="43" customWidth="1"/>
    <col min="4" max="4" width="10.28515625" style="43" bestFit="1" customWidth="1"/>
    <col min="5" max="5" width="11.28515625" style="43" customWidth="1"/>
    <col min="6" max="6" width="11.5703125" style="43" bestFit="1" customWidth="1"/>
    <col min="7" max="7" width="10.140625" style="43" bestFit="1" customWidth="1"/>
    <col min="8" max="8" width="11.28515625" style="43" customWidth="1"/>
    <col min="9" max="16384" width="9.140625" style="43"/>
  </cols>
  <sheetData>
    <row r="1" spans="1:11" ht="23.25" customHeight="1">
      <c r="A1" s="343" t="str">
        <f>'62'!chuong_phuluc_48</f>
        <v>ỦY BAN NHÂN DÂN TỈNH TIỀN GIANG</v>
      </c>
      <c r="B1" s="343"/>
      <c r="C1" s="343"/>
      <c r="I1" s="333" t="s">
        <v>1409</v>
      </c>
      <c r="J1" s="333"/>
      <c r="K1" s="333"/>
    </row>
    <row r="2" spans="1:11" ht="38.25" customHeight="1">
      <c r="A2" s="340" t="s">
        <v>1420</v>
      </c>
      <c r="B2" s="340"/>
      <c r="C2" s="340"/>
      <c r="D2" s="340"/>
      <c r="E2" s="340"/>
      <c r="F2" s="340"/>
      <c r="G2" s="340"/>
      <c r="H2" s="340"/>
      <c r="I2" s="340"/>
      <c r="J2" s="340"/>
      <c r="K2" s="340"/>
    </row>
    <row r="3" spans="1:11">
      <c r="A3" s="344" t="str">
        <f>'62'!A3:F3</f>
        <v>(Kèm theo Quyết định số ………../QĐ-UBND ngày    /01/2020 của Ủy ban nhân dân tỉnh Tiền Giang)</v>
      </c>
      <c r="B3" s="344"/>
      <c r="C3" s="344"/>
      <c r="D3" s="344"/>
      <c r="E3" s="344"/>
      <c r="F3" s="344"/>
      <c r="G3" s="344"/>
      <c r="H3" s="344"/>
      <c r="I3" s="344"/>
      <c r="J3" s="344"/>
      <c r="K3" s="344"/>
    </row>
    <row r="4" spans="1:11">
      <c r="A4" s="287"/>
      <c r="I4" s="341" t="s">
        <v>169</v>
      </c>
      <c r="J4" s="341"/>
      <c r="K4" s="341"/>
    </row>
    <row r="5" spans="1:11" ht="15.75" customHeight="1">
      <c r="A5" s="345" t="s">
        <v>2</v>
      </c>
      <c r="B5" s="345" t="s">
        <v>1395</v>
      </c>
      <c r="C5" s="345" t="s">
        <v>1417</v>
      </c>
      <c r="D5" s="345" t="s">
        <v>170</v>
      </c>
      <c r="E5" s="345"/>
      <c r="F5" s="345" t="s">
        <v>4</v>
      </c>
      <c r="G5" s="345" t="s">
        <v>170</v>
      </c>
      <c r="H5" s="345"/>
      <c r="I5" s="345" t="s">
        <v>53</v>
      </c>
      <c r="J5" s="345"/>
      <c r="K5" s="345"/>
    </row>
    <row r="6" spans="1:11" ht="47.25">
      <c r="A6" s="345"/>
      <c r="B6" s="345"/>
      <c r="C6" s="345"/>
      <c r="D6" s="315" t="s">
        <v>348</v>
      </c>
      <c r="E6" s="315" t="s">
        <v>349</v>
      </c>
      <c r="F6" s="345"/>
      <c r="G6" s="315" t="s">
        <v>348</v>
      </c>
      <c r="H6" s="315" t="s">
        <v>349</v>
      </c>
      <c r="I6" s="315" t="s">
        <v>171</v>
      </c>
      <c r="J6" s="315" t="s">
        <v>348</v>
      </c>
      <c r="K6" s="315" t="s">
        <v>349</v>
      </c>
    </row>
    <row r="7" spans="1:11">
      <c r="A7" s="224" t="s">
        <v>7</v>
      </c>
      <c r="B7" s="224" t="s">
        <v>8</v>
      </c>
      <c r="C7" s="224" t="s">
        <v>172</v>
      </c>
      <c r="D7" s="224">
        <v>2</v>
      </c>
      <c r="E7" s="224">
        <v>3</v>
      </c>
      <c r="F7" s="224" t="s">
        <v>173</v>
      </c>
      <c r="G7" s="224">
        <v>5</v>
      </c>
      <c r="H7" s="224">
        <v>6</v>
      </c>
      <c r="I7" s="224" t="s">
        <v>174</v>
      </c>
      <c r="J7" s="224" t="s">
        <v>175</v>
      </c>
      <c r="K7" s="224" t="s">
        <v>176</v>
      </c>
    </row>
    <row r="8" spans="1:11">
      <c r="A8" s="222"/>
      <c r="B8" s="223" t="s">
        <v>26</v>
      </c>
      <c r="C8" s="223">
        <f>C9+C33+C28+C34</f>
        <v>10203719</v>
      </c>
      <c r="D8" s="223">
        <f t="shared" ref="D8:G8" si="0">D9+D33+D28+D34</f>
        <v>5167380</v>
      </c>
      <c r="E8" s="223">
        <f t="shared" si="0"/>
        <v>5036339</v>
      </c>
      <c r="F8" s="223">
        <f t="shared" si="0"/>
        <v>12839509</v>
      </c>
      <c r="G8" s="223">
        <f t="shared" si="0"/>
        <v>6643613</v>
      </c>
      <c r="H8" s="223">
        <f>H9+H33+H28+H34</f>
        <v>6195896</v>
      </c>
      <c r="I8" s="228">
        <f>F8/C8*100</f>
        <v>125.83166000553328</v>
      </c>
      <c r="J8" s="228">
        <f t="shared" ref="J8:K23" si="1">G8/D8*100</f>
        <v>128.56830734337322</v>
      </c>
      <c r="K8" s="228">
        <f t="shared" si="1"/>
        <v>123.02380757133307</v>
      </c>
    </row>
    <row r="9" spans="1:11">
      <c r="A9" s="214" t="s">
        <v>7</v>
      </c>
      <c r="B9" s="215" t="s">
        <v>177</v>
      </c>
      <c r="C9" s="215">
        <f>C10+C20+C24+C25+C26+C27</f>
        <v>10035635</v>
      </c>
      <c r="D9" s="215">
        <f>D10+D20+D24+D25+D26+D27</f>
        <v>5076046</v>
      </c>
      <c r="E9" s="215">
        <f t="shared" ref="E9:H9" si="2">E10+E20+E24+E25+E26+E27</f>
        <v>4959589</v>
      </c>
      <c r="F9" s="215">
        <f t="shared" si="2"/>
        <v>10040491</v>
      </c>
      <c r="G9" s="215">
        <f t="shared" si="2"/>
        <v>4323510</v>
      </c>
      <c r="H9" s="215">
        <f t="shared" si="2"/>
        <v>5716981</v>
      </c>
      <c r="I9" s="226">
        <f t="shared" ref="I9:K26" si="3">F9/C9*100</f>
        <v>100.04838757089114</v>
      </c>
      <c r="J9" s="226">
        <f t="shared" si="1"/>
        <v>85.17476003960563</v>
      </c>
      <c r="K9" s="226">
        <f t="shared" si="1"/>
        <v>115.27126542138875</v>
      </c>
    </row>
    <row r="10" spans="1:11">
      <c r="A10" s="214" t="s">
        <v>11</v>
      </c>
      <c r="B10" s="215" t="s">
        <v>28</v>
      </c>
      <c r="C10" s="215">
        <f>C11+C18+C19</f>
        <v>3383958</v>
      </c>
      <c r="D10" s="215">
        <f t="shared" ref="D10:H10" si="4">D11+D18+D19</f>
        <v>2903665</v>
      </c>
      <c r="E10" s="215">
        <f t="shared" si="4"/>
        <v>480293</v>
      </c>
      <c r="F10" s="215">
        <f t="shared" si="4"/>
        <v>3228659</v>
      </c>
      <c r="G10" s="215">
        <f t="shared" si="4"/>
        <v>2246041</v>
      </c>
      <c r="H10" s="215">
        <f t="shared" si="4"/>
        <v>982618</v>
      </c>
      <c r="I10" s="226">
        <f t="shared" si="3"/>
        <v>95.410729092973384</v>
      </c>
      <c r="J10" s="226">
        <f t="shared" si="1"/>
        <v>77.35193281594124</v>
      </c>
      <c r="K10" s="226">
        <f t="shared" si="1"/>
        <v>204.58719989672969</v>
      </c>
    </row>
    <row r="11" spans="1:11">
      <c r="A11" s="216">
        <v>1</v>
      </c>
      <c r="B11" s="217" t="s">
        <v>131</v>
      </c>
      <c r="C11" s="217">
        <f>D11+E11</f>
        <v>3358958</v>
      </c>
      <c r="D11" s="217">
        <f>'[1]52'!C12</f>
        <v>2901405</v>
      </c>
      <c r="E11" s="217">
        <f>480293-22740</f>
        <v>457553</v>
      </c>
      <c r="F11" s="217">
        <f>G11+H11</f>
        <v>3194971</v>
      </c>
      <c r="G11" s="217">
        <f>'[1]52'!D12</f>
        <v>2245913</v>
      </c>
      <c r="H11" s="217">
        <f>719137+229921</f>
        <v>949058</v>
      </c>
      <c r="I11" s="227">
        <f t="shared" si="3"/>
        <v>95.117920497963951</v>
      </c>
      <c r="J11" s="227">
        <f t="shared" si="1"/>
        <v>77.407773130603957</v>
      </c>
      <c r="K11" s="227">
        <f t="shared" si="1"/>
        <v>207.42034256140821</v>
      </c>
    </row>
    <row r="12" spans="1:11" ht="15.75" hidden="1" customHeight="1">
      <c r="A12" s="216"/>
      <c r="B12" s="218" t="s">
        <v>132</v>
      </c>
      <c r="C12" s="217">
        <f t="shared" ref="C12:C33" si="5">D12+E12</f>
        <v>0</v>
      </c>
      <c r="D12" s="217"/>
      <c r="E12" s="217"/>
      <c r="F12" s="217">
        <f t="shared" ref="F12:F34" si="6">G12+H12</f>
        <v>0</v>
      </c>
      <c r="G12" s="217"/>
      <c r="H12" s="217"/>
      <c r="I12" s="227"/>
      <c r="J12" s="227"/>
      <c r="K12" s="227"/>
    </row>
    <row r="13" spans="1:11" ht="31.5" hidden="1" customHeight="1">
      <c r="A13" s="216" t="s">
        <v>13</v>
      </c>
      <c r="B13" s="218" t="s">
        <v>133</v>
      </c>
      <c r="C13" s="217">
        <f t="shared" si="5"/>
        <v>0</v>
      </c>
      <c r="D13" s="217"/>
      <c r="E13" s="217"/>
      <c r="F13" s="217">
        <f t="shared" si="6"/>
        <v>0</v>
      </c>
      <c r="G13" s="217"/>
      <c r="H13" s="217"/>
      <c r="I13" s="227"/>
      <c r="J13" s="227"/>
      <c r="K13" s="227"/>
    </row>
    <row r="14" spans="1:11" ht="15.75" hidden="1" customHeight="1">
      <c r="A14" s="216" t="s">
        <v>13</v>
      </c>
      <c r="B14" s="218" t="s">
        <v>134</v>
      </c>
      <c r="C14" s="217">
        <f t="shared" si="5"/>
        <v>0</v>
      </c>
      <c r="D14" s="217"/>
      <c r="E14" s="217"/>
      <c r="F14" s="217">
        <f t="shared" si="6"/>
        <v>0</v>
      </c>
      <c r="G14" s="217"/>
      <c r="H14" s="217"/>
      <c r="I14" s="227"/>
      <c r="J14" s="227"/>
      <c r="K14" s="227"/>
    </row>
    <row r="15" spans="1:11" ht="15.75" hidden="1" customHeight="1">
      <c r="A15" s="216"/>
      <c r="B15" s="218" t="s">
        <v>135</v>
      </c>
      <c r="C15" s="217">
        <f t="shared" si="5"/>
        <v>0</v>
      </c>
      <c r="D15" s="217"/>
      <c r="E15" s="217"/>
      <c r="F15" s="217">
        <f t="shared" si="6"/>
        <v>0</v>
      </c>
      <c r="G15" s="217"/>
      <c r="H15" s="217"/>
      <c r="I15" s="227"/>
      <c r="J15" s="227"/>
      <c r="K15" s="227"/>
    </row>
    <row r="16" spans="1:11" ht="31.5" hidden="1" customHeight="1">
      <c r="A16" s="216" t="s">
        <v>13</v>
      </c>
      <c r="B16" s="218" t="s">
        <v>136</v>
      </c>
      <c r="C16" s="217">
        <f t="shared" si="5"/>
        <v>0</v>
      </c>
      <c r="D16" s="217"/>
      <c r="E16" s="217"/>
      <c r="F16" s="217">
        <f t="shared" si="6"/>
        <v>0</v>
      </c>
      <c r="G16" s="217"/>
      <c r="H16" s="217"/>
      <c r="I16" s="227"/>
      <c r="J16" s="227"/>
      <c r="K16" s="227"/>
    </row>
    <row r="17" spans="1:11" ht="31.5" hidden="1" customHeight="1">
      <c r="A17" s="216" t="s">
        <v>13</v>
      </c>
      <c r="B17" s="218" t="s">
        <v>178</v>
      </c>
      <c r="C17" s="217">
        <f t="shared" si="5"/>
        <v>0</v>
      </c>
      <c r="D17" s="217"/>
      <c r="E17" s="217"/>
      <c r="F17" s="217">
        <f t="shared" si="6"/>
        <v>0</v>
      </c>
      <c r="G17" s="217"/>
      <c r="H17" s="217"/>
      <c r="I17" s="227"/>
      <c r="J17" s="227"/>
      <c r="K17" s="227"/>
    </row>
    <row r="18" spans="1:11" ht="94.5">
      <c r="A18" s="216">
        <v>2</v>
      </c>
      <c r="B18" s="217" t="s">
        <v>138</v>
      </c>
      <c r="C18" s="217">
        <f t="shared" si="5"/>
        <v>0</v>
      </c>
      <c r="D18" s="217">
        <f>'[1]52'!C26</f>
        <v>0</v>
      </c>
      <c r="E18" s="217"/>
      <c r="F18" s="217">
        <f t="shared" si="6"/>
        <v>0</v>
      </c>
      <c r="G18" s="217"/>
      <c r="H18" s="217"/>
      <c r="I18" s="227"/>
      <c r="J18" s="227"/>
      <c r="K18" s="227"/>
    </row>
    <row r="19" spans="1:11">
      <c r="A19" s="216">
        <v>3</v>
      </c>
      <c r="B19" s="217" t="s">
        <v>139</v>
      </c>
      <c r="C19" s="217">
        <f t="shared" si="5"/>
        <v>25000</v>
      </c>
      <c r="D19" s="217">
        <f>'[1]52'!C27</f>
        <v>2260</v>
      </c>
      <c r="E19" s="217">
        <f>(250000-22600)*0.1</f>
        <v>22740</v>
      </c>
      <c r="F19" s="217">
        <f t="shared" si="6"/>
        <v>33688</v>
      </c>
      <c r="G19" s="217">
        <f>'[1]52'!D27</f>
        <v>128</v>
      </c>
      <c r="H19" s="217">
        <f>33688-128</f>
        <v>33560</v>
      </c>
      <c r="I19" s="227">
        <f t="shared" si="3"/>
        <v>134.75200000000001</v>
      </c>
      <c r="J19" s="227">
        <f t="shared" si="1"/>
        <v>5.663716814159292</v>
      </c>
      <c r="K19" s="227">
        <f t="shared" si="1"/>
        <v>147.58135444151276</v>
      </c>
    </row>
    <row r="20" spans="1:11">
      <c r="A20" s="214" t="s">
        <v>16</v>
      </c>
      <c r="B20" s="215" t="s">
        <v>29</v>
      </c>
      <c r="C20" s="217">
        <f t="shared" si="5"/>
        <v>6229273</v>
      </c>
      <c r="D20" s="217">
        <f>'[1]52'!C28</f>
        <v>1873892</v>
      </c>
      <c r="E20" s="217">
        <v>4355381</v>
      </c>
      <c r="F20" s="217">
        <f t="shared" si="6"/>
        <v>6810687</v>
      </c>
      <c r="G20" s="217">
        <f>'[1]52'!D28</f>
        <v>2076324</v>
      </c>
      <c r="H20" s="217">
        <f>3856726+877637</f>
        <v>4734363</v>
      </c>
      <c r="I20" s="227">
        <f t="shared" si="3"/>
        <v>109.3335771285028</v>
      </c>
      <c r="J20" s="227">
        <f t="shared" si="1"/>
        <v>110.80275704256168</v>
      </c>
      <c r="K20" s="227">
        <f t="shared" si="1"/>
        <v>108.70146607151017</v>
      </c>
    </row>
    <row r="21" spans="1:11">
      <c r="A21" s="216"/>
      <c r="B21" s="218" t="s">
        <v>140</v>
      </c>
      <c r="C21" s="217">
        <f t="shared" si="5"/>
        <v>0</v>
      </c>
      <c r="D21" s="217"/>
      <c r="E21" s="217"/>
      <c r="F21" s="217">
        <f t="shared" si="6"/>
        <v>0</v>
      </c>
      <c r="G21" s="217"/>
      <c r="H21" s="217"/>
      <c r="I21" s="227"/>
      <c r="J21" s="227"/>
      <c r="K21" s="227"/>
    </row>
    <row r="22" spans="1:11" ht="31.5">
      <c r="A22" s="225">
        <v>1</v>
      </c>
      <c r="B22" s="218" t="s">
        <v>133</v>
      </c>
      <c r="C22" s="218">
        <f t="shared" si="5"/>
        <v>2702028</v>
      </c>
      <c r="D22" s="218">
        <f>'[1]52'!C29</f>
        <v>514268</v>
      </c>
      <c r="E22" s="218">
        <v>2187760</v>
      </c>
      <c r="F22" s="218">
        <f t="shared" si="6"/>
        <v>2726391</v>
      </c>
      <c r="G22" s="218">
        <f>'[1]52'!D29</f>
        <v>563092</v>
      </c>
      <c r="H22" s="218">
        <f>2156845+6454</f>
        <v>2163299</v>
      </c>
      <c r="I22" s="231">
        <f t="shared" si="3"/>
        <v>100.90165608942615</v>
      </c>
      <c r="J22" s="231">
        <f t="shared" si="1"/>
        <v>109.49388256706621</v>
      </c>
      <c r="K22" s="231">
        <f t="shared" si="1"/>
        <v>98.881915749442356</v>
      </c>
    </row>
    <row r="23" spans="1:11">
      <c r="A23" s="225">
        <v>2</v>
      </c>
      <c r="B23" s="218" t="s">
        <v>134</v>
      </c>
      <c r="C23" s="218">
        <f t="shared" si="5"/>
        <v>31133</v>
      </c>
      <c r="D23" s="218">
        <f>'[1]52'!C30</f>
        <v>30813</v>
      </c>
      <c r="E23" s="218">
        <v>320</v>
      </c>
      <c r="F23" s="218">
        <f t="shared" si="6"/>
        <v>15553</v>
      </c>
      <c r="G23" s="218">
        <f>'[1]52'!D30</f>
        <v>15400</v>
      </c>
      <c r="H23" s="218">
        <v>153</v>
      </c>
      <c r="I23" s="231">
        <f t="shared" si="3"/>
        <v>49.956637651366712</v>
      </c>
      <c r="J23" s="231">
        <f t="shared" si="1"/>
        <v>49.978905007626651</v>
      </c>
      <c r="K23" s="231"/>
    </row>
    <row r="24" spans="1:11" ht="31.5">
      <c r="A24" s="214" t="s">
        <v>20</v>
      </c>
      <c r="B24" s="215" t="s">
        <v>30</v>
      </c>
      <c r="C24" s="215">
        <f t="shared" si="5"/>
        <v>0</v>
      </c>
      <c r="D24" s="215">
        <f>'[1]52'!C42</f>
        <v>0</v>
      </c>
      <c r="E24" s="215"/>
      <c r="F24" s="215">
        <f t="shared" si="6"/>
        <v>145</v>
      </c>
      <c r="G24" s="215">
        <v>145</v>
      </c>
      <c r="H24" s="215"/>
      <c r="I24" s="226"/>
      <c r="J24" s="226"/>
      <c r="K24" s="226"/>
    </row>
    <row r="25" spans="1:11">
      <c r="A25" s="214" t="s">
        <v>22</v>
      </c>
      <c r="B25" s="215" t="s">
        <v>31</v>
      </c>
      <c r="C25" s="215">
        <f t="shared" si="5"/>
        <v>1000</v>
      </c>
      <c r="D25" s="215">
        <f>'[1]52'!C43</f>
        <v>1000</v>
      </c>
      <c r="E25" s="215"/>
      <c r="F25" s="215">
        <f t="shared" si="6"/>
        <v>1000</v>
      </c>
      <c r="G25" s="215">
        <f>'[1]52'!D43</f>
        <v>1000</v>
      </c>
      <c r="H25" s="215"/>
      <c r="I25" s="226">
        <f t="shared" si="3"/>
        <v>100</v>
      </c>
      <c r="J25" s="226">
        <f t="shared" si="3"/>
        <v>100</v>
      </c>
      <c r="K25" s="226"/>
    </row>
    <row r="26" spans="1:11">
      <c r="A26" s="214" t="s">
        <v>24</v>
      </c>
      <c r="B26" s="215" t="s">
        <v>32</v>
      </c>
      <c r="C26" s="215">
        <f t="shared" si="5"/>
        <v>179870</v>
      </c>
      <c r="D26" s="215">
        <f>'[1]52'!C44</f>
        <v>85858</v>
      </c>
      <c r="E26" s="215">
        <v>94012</v>
      </c>
      <c r="F26" s="215">
        <f t="shared" si="6"/>
        <v>0</v>
      </c>
      <c r="G26" s="215"/>
      <c r="H26" s="215"/>
      <c r="I26" s="226">
        <f t="shared" si="3"/>
        <v>0</v>
      </c>
      <c r="J26" s="226">
        <f t="shared" si="3"/>
        <v>0</v>
      </c>
      <c r="K26" s="226">
        <f t="shared" si="3"/>
        <v>0</v>
      </c>
    </row>
    <row r="27" spans="1:11" ht="31.5">
      <c r="A27" s="214" t="s">
        <v>141</v>
      </c>
      <c r="B27" s="215" t="s">
        <v>33</v>
      </c>
      <c r="C27" s="215">
        <f t="shared" si="5"/>
        <v>241534</v>
      </c>
      <c r="D27" s="215">
        <f>'[1]52'!C45</f>
        <v>211631</v>
      </c>
      <c r="E27" s="215">
        <v>29903</v>
      </c>
      <c r="F27" s="215">
        <f t="shared" si="6"/>
        <v>0</v>
      </c>
      <c r="G27" s="215"/>
      <c r="H27" s="215"/>
      <c r="I27" s="226"/>
      <c r="J27" s="226"/>
      <c r="K27" s="226"/>
    </row>
    <row r="28" spans="1:11" ht="31.5">
      <c r="A28" s="214" t="s">
        <v>8</v>
      </c>
      <c r="B28" s="215" t="s">
        <v>143</v>
      </c>
      <c r="C28" s="215">
        <f t="shared" si="5"/>
        <v>168084</v>
      </c>
      <c r="D28" s="215">
        <f>'[1]52'!C46</f>
        <v>91334</v>
      </c>
      <c r="E28" s="215">
        <f>76750</f>
        <v>76750</v>
      </c>
      <c r="F28" s="215">
        <f t="shared" si="6"/>
        <v>0</v>
      </c>
      <c r="G28" s="215"/>
      <c r="H28" s="215"/>
      <c r="I28" s="226"/>
      <c r="J28" s="226"/>
      <c r="K28" s="226"/>
    </row>
    <row r="29" spans="1:11" ht="31.5" hidden="1" customHeight="1">
      <c r="A29" s="214" t="s">
        <v>11</v>
      </c>
      <c r="B29" s="215" t="s">
        <v>35</v>
      </c>
      <c r="C29" s="215">
        <f t="shared" si="5"/>
        <v>0</v>
      </c>
      <c r="D29" s="215"/>
      <c r="E29" s="215"/>
      <c r="F29" s="215">
        <f t="shared" si="6"/>
        <v>0</v>
      </c>
      <c r="G29" s="215"/>
      <c r="H29" s="215"/>
      <c r="I29" s="226"/>
      <c r="J29" s="226"/>
      <c r="K29" s="226"/>
    </row>
    <row r="30" spans="1:11" ht="31.5" hidden="1" customHeight="1">
      <c r="A30" s="216"/>
      <c r="B30" s="217" t="s">
        <v>144</v>
      </c>
      <c r="C30" s="217">
        <f t="shared" si="5"/>
        <v>0</v>
      </c>
      <c r="D30" s="217"/>
      <c r="E30" s="217"/>
      <c r="F30" s="217">
        <f t="shared" si="6"/>
        <v>0</v>
      </c>
      <c r="G30" s="217"/>
      <c r="H30" s="217"/>
      <c r="I30" s="227"/>
      <c r="J30" s="227"/>
      <c r="K30" s="227"/>
    </row>
    <row r="31" spans="1:11" ht="31.5" hidden="1" customHeight="1">
      <c r="A31" s="214" t="s">
        <v>16</v>
      </c>
      <c r="B31" s="215" t="s">
        <v>36</v>
      </c>
      <c r="C31" s="217">
        <f t="shared" si="5"/>
        <v>0</v>
      </c>
      <c r="D31" s="217"/>
      <c r="E31" s="217"/>
      <c r="F31" s="217">
        <f t="shared" si="6"/>
        <v>0</v>
      </c>
      <c r="G31" s="217"/>
      <c r="H31" s="217"/>
      <c r="I31" s="227"/>
      <c r="J31" s="227"/>
      <c r="K31" s="227"/>
    </row>
    <row r="32" spans="1:11" ht="31.5" hidden="1" customHeight="1">
      <c r="A32" s="216"/>
      <c r="B32" s="217" t="s">
        <v>145</v>
      </c>
      <c r="C32" s="217">
        <f t="shared" si="5"/>
        <v>0</v>
      </c>
      <c r="D32" s="217"/>
      <c r="E32" s="217"/>
      <c r="F32" s="217">
        <f t="shared" si="6"/>
        <v>0</v>
      </c>
      <c r="G32" s="217"/>
      <c r="H32" s="217"/>
      <c r="I32" s="227"/>
      <c r="J32" s="227"/>
      <c r="K32" s="227"/>
    </row>
    <row r="33" spans="1:11" ht="31.5">
      <c r="A33" s="214" t="s">
        <v>38</v>
      </c>
      <c r="B33" s="215" t="s">
        <v>167</v>
      </c>
      <c r="C33" s="217">
        <f t="shared" si="5"/>
        <v>0</v>
      </c>
      <c r="D33" s="217"/>
      <c r="E33" s="217"/>
      <c r="F33" s="215">
        <f t="shared" si="6"/>
        <v>2783761</v>
      </c>
      <c r="G33" s="215">
        <f>'[1]52'!E47</f>
        <v>2304846</v>
      </c>
      <c r="H33" s="215">
        <f>379197+99718</f>
        <v>478915</v>
      </c>
      <c r="I33" s="227"/>
      <c r="J33" s="227"/>
      <c r="K33" s="227"/>
    </row>
    <row r="34" spans="1:11" ht="32.25" customHeight="1">
      <c r="A34" s="219" t="s">
        <v>39</v>
      </c>
      <c r="B34" s="220" t="s">
        <v>359</v>
      </c>
      <c r="C34" s="229"/>
      <c r="D34" s="229"/>
      <c r="E34" s="229"/>
      <c r="F34" s="220">
        <f t="shared" si="6"/>
        <v>15257</v>
      </c>
      <c r="G34" s="220">
        <f>'[1]52'!E48</f>
        <v>15257</v>
      </c>
      <c r="H34" s="257"/>
      <c r="I34" s="230"/>
      <c r="J34" s="230"/>
      <c r="K34" s="230"/>
    </row>
    <row r="35" spans="1:11" ht="31.5" hidden="1" customHeight="1">
      <c r="A35" s="342" t="s">
        <v>272</v>
      </c>
      <c r="B35" s="342"/>
      <c r="C35" s="342"/>
      <c r="D35" s="342"/>
      <c r="E35" s="342"/>
      <c r="F35" s="342"/>
      <c r="G35" s="342"/>
      <c r="H35" s="342"/>
      <c r="I35" s="342"/>
      <c r="J35" s="342"/>
      <c r="K35" s="342"/>
    </row>
    <row r="36" spans="1:11">
      <c r="A36" s="49"/>
    </row>
    <row r="37" spans="1:11">
      <c r="A37" s="50"/>
    </row>
  </sheetData>
  <mergeCells count="13">
    <mergeCell ref="A1:C1"/>
    <mergeCell ref="I1:K1"/>
    <mergeCell ref="A35:K35"/>
    <mergeCell ref="A2:K2"/>
    <mergeCell ref="A3:K3"/>
    <mergeCell ref="I4:K4"/>
    <mergeCell ref="G5:H5"/>
    <mergeCell ref="I5:K5"/>
    <mergeCell ref="A5:A6"/>
    <mergeCell ref="B5:B6"/>
    <mergeCell ref="C5:C6"/>
    <mergeCell ref="D5:E5"/>
    <mergeCell ref="F5:F6"/>
  </mergeCells>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dimension ref="A1:F50"/>
  <sheetViews>
    <sheetView workbookViewId="0">
      <selection activeCell="K6" sqref="K6:K8"/>
    </sheetView>
  </sheetViews>
  <sheetFormatPr defaultRowHeight="15.75"/>
  <cols>
    <col min="1" max="1" width="9.140625" style="43"/>
    <col min="2" max="2" width="35.42578125" style="43" customWidth="1"/>
    <col min="3" max="4" width="12.140625" style="53" customWidth="1"/>
    <col min="5" max="5" width="12.140625" style="311" hidden="1" customWidth="1"/>
    <col min="6" max="6" width="11" style="43" customWidth="1"/>
    <col min="7" max="16384" width="9.140625" style="43"/>
  </cols>
  <sheetData>
    <row r="1" spans="1:6" ht="22.5" customHeight="1">
      <c r="A1" s="340" t="str">
        <f>'62'!chuong_phuluc_48</f>
        <v>ỦY BAN NHÂN DÂN TỈNH TIỀN GIANG</v>
      </c>
      <c r="B1" s="340"/>
      <c r="D1" s="333" t="s">
        <v>1410</v>
      </c>
      <c r="E1" s="333"/>
      <c r="F1" s="333"/>
    </row>
    <row r="2" spans="1:6">
      <c r="A2" s="340" t="s">
        <v>1421</v>
      </c>
      <c r="B2" s="340"/>
      <c r="C2" s="340"/>
      <c r="D2" s="340"/>
      <c r="E2" s="340"/>
      <c r="F2" s="340"/>
    </row>
    <row r="3" spans="1:6">
      <c r="A3" s="344" t="str">
        <f>'62'!A3:F3</f>
        <v>(Kèm theo Quyết định số ………../QĐ-UBND ngày    /01/2020 của Ủy ban nhân dân tỉnh Tiền Giang)</v>
      </c>
      <c r="B3" s="344"/>
      <c r="C3" s="344"/>
      <c r="D3" s="344"/>
      <c r="E3" s="344"/>
      <c r="F3" s="344"/>
    </row>
    <row r="4" spans="1:6" ht="15.75" customHeight="1">
      <c r="A4" s="44"/>
      <c r="D4" s="341" t="s">
        <v>1</v>
      </c>
      <c r="E4" s="341"/>
      <c r="F4" s="341"/>
    </row>
    <row r="5" spans="1:6" ht="15.75" customHeight="1">
      <c r="A5" s="330" t="s">
        <v>2</v>
      </c>
      <c r="B5" s="330" t="s">
        <v>52</v>
      </c>
      <c r="C5" s="330" t="s">
        <v>3</v>
      </c>
      <c r="D5" s="330" t="s">
        <v>4</v>
      </c>
      <c r="E5" s="330" t="s">
        <v>5</v>
      </c>
      <c r="F5" s="330"/>
    </row>
    <row r="6" spans="1:6" ht="31.5">
      <c r="A6" s="330"/>
      <c r="B6" s="330"/>
      <c r="C6" s="330"/>
      <c r="D6" s="330"/>
      <c r="E6" s="312" t="s">
        <v>6</v>
      </c>
      <c r="F6" s="312" t="s">
        <v>1414</v>
      </c>
    </row>
    <row r="7" spans="1:6">
      <c r="A7" s="302" t="s">
        <v>7</v>
      </c>
      <c r="B7" s="302" t="s">
        <v>8</v>
      </c>
      <c r="C7" s="302">
        <v>1</v>
      </c>
      <c r="D7" s="302">
        <v>2</v>
      </c>
      <c r="E7" s="302" t="s">
        <v>9</v>
      </c>
      <c r="F7" s="302" t="s">
        <v>128</v>
      </c>
    </row>
    <row r="8" spans="1:6" s="46" customFormat="1">
      <c r="A8" s="318"/>
      <c r="B8" s="262" t="s">
        <v>26</v>
      </c>
      <c r="C8" s="319">
        <f>C9+C10+C47+C48</f>
        <v>8256880</v>
      </c>
      <c r="D8" s="319">
        <f>D9+D10+D47+D48</f>
        <v>9765358</v>
      </c>
      <c r="E8" s="319">
        <f>D8-C8</f>
        <v>1508478</v>
      </c>
      <c r="F8" s="320">
        <f>D8/C8*100</f>
        <v>118.26934629060857</v>
      </c>
    </row>
    <row r="9" spans="1:6" s="46" customFormat="1" ht="31.5">
      <c r="A9" s="264" t="s">
        <v>7</v>
      </c>
      <c r="B9" s="265" t="s">
        <v>1422</v>
      </c>
      <c r="C9" s="321">
        <v>3089500</v>
      </c>
      <c r="D9" s="321">
        <f>'[1]59'!L10</f>
        <v>3121630</v>
      </c>
      <c r="E9" s="321">
        <f t="shared" ref="E9:E48" si="0">D9-C9</f>
        <v>32130</v>
      </c>
      <c r="F9" s="322">
        <f t="shared" ref="F9:F45" si="1">D9/C9*100</f>
        <v>101.03997410584238</v>
      </c>
    </row>
    <row r="10" spans="1:6" s="46" customFormat="1" ht="31.5">
      <c r="A10" s="264" t="s">
        <v>8</v>
      </c>
      <c r="B10" s="265" t="s">
        <v>360</v>
      </c>
      <c r="C10" s="321">
        <f>C11+C28+C42+C43+C44+C45+C46</f>
        <v>5167380</v>
      </c>
      <c r="D10" s="321">
        <f>D11+D28+D42+D43+D44+D45</f>
        <v>4323625</v>
      </c>
      <c r="E10" s="321">
        <f t="shared" si="0"/>
        <v>-843755</v>
      </c>
      <c r="F10" s="322">
        <f t="shared" si="1"/>
        <v>83.671512449248937</v>
      </c>
    </row>
    <row r="11" spans="1:6">
      <c r="A11" s="264" t="s">
        <v>11</v>
      </c>
      <c r="B11" s="265" t="s">
        <v>28</v>
      </c>
      <c r="C11" s="321">
        <f>C12+C26+C27</f>
        <v>2903665</v>
      </c>
      <c r="D11" s="321">
        <f t="shared" ref="D11" si="2">D12+D26+D27</f>
        <v>2246041</v>
      </c>
      <c r="E11" s="321">
        <f t="shared" si="0"/>
        <v>-657624</v>
      </c>
      <c r="F11" s="322">
        <f t="shared" si="1"/>
        <v>77.35193281594124</v>
      </c>
    </row>
    <row r="12" spans="1:6">
      <c r="A12" s="323">
        <v>1</v>
      </c>
      <c r="B12" s="249" t="s">
        <v>147</v>
      </c>
      <c r="C12" s="324">
        <f>2903665-2260</f>
        <v>2901405</v>
      </c>
      <c r="D12" s="324">
        <v>2245913</v>
      </c>
      <c r="E12" s="324">
        <f t="shared" si="0"/>
        <v>-655492</v>
      </c>
      <c r="F12" s="325">
        <f t="shared" si="1"/>
        <v>77.407773130603957</v>
      </c>
    </row>
    <row r="13" spans="1:6" ht="15.75" hidden="1" customHeight="1">
      <c r="A13" s="323" t="s">
        <v>13</v>
      </c>
      <c r="B13" s="249" t="s">
        <v>133</v>
      </c>
      <c r="C13" s="324"/>
      <c r="D13" s="324"/>
      <c r="E13" s="324">
        <f t="shared" si="0"/>
        <v>0</v>
      </c>
      <c r="F13" s="322"/>
    </row>
    <row r="14" spans="1:6" ht="15.75" hidden="1" customHeight="1">
      <c r="A14" s="323" t="s">
        <v>13</v>
      </c>
      <c r="B14" s="249" t="s">
        <v>134</v>
      </c>
      <c r="C14" s="324"/>
      <c r="D14" s="324"/>
      <c r="E14" s="324">
        <f t="shared" si="0"/>
        <v>0</v>
      </c>
      <c r="F14" s="322"/>
    </row>
    <row r="15" spans="1:6" ht="15.75" hidden="1" customHeight="1">
      <c r="A15" s="323" t="s">
        <v>13</v>
      </c>
      <c r="B15" s="249" t="s">
        <v>148</v>
      </c>
      <c r="C15" s="324"/>
      <c r="D15" s="324"/>
      <c r="E15" s="324">
        <f t="shared" si="0"/>
        <v>0</v>
      </c>
      <c r="F15" s="322"/>
    </row>
    <row r="16" spans="1:6" ht="15.75" hidden="1" customHeight="1">
      <c r="A16" s="323" t="s">
        <v>13</v>
      </c>
      <c r="B16" s="249" t="s">
        <v>149</v>
      </c>
      <c r="C16" s="324"/>
      <c r="D16" s="324"/>
      <c r="E16" s="324">
        <f t="shared" si="0"/>
        <v>0</v>
      </c>
      <c r="F16" s="322"/>
    </row>
    <row r="17" spans="1:6" ht="15.75" hidden="1" customHeight="1">
      <c r="A17" s="323" t="s">
        <v>13</v>
      </c>
      <c r="B17" s="249" t="s">
        <v>150</v>
      </c>
      <c r="C17" s="324"/>
      <c r="D17" s="324"/>
      <c r="E17" s="324">
        <f t="shared" si="0"/>
        <v>0</v>
      </c>
      <c r="F17" s="322"/>
    </row>
    <row r="18" spans="1:6" ht="15.75" hidden="1" customHeight="1">
      <c r="A18" s="323" t="s">
        <v>13</v>
      </c>
      <c r="B18" s="249" t="s">
        <v>151</v>
      </c>
      <c r="C18" s="324"/>
      <c r="D18" s="324"/>
      <c r="E18" s="324">
        <f t="shared" si="0"/>
        <v>0</v>
      </c>
      <c r="F18" s="322"/>
    </row>
    <row r="19" spans="1:6" ht="15.75" hidden="1" customHeight="1">
      <c r="A19" s="323" t="s">
        <v>13</v>
      </c>
      <c r="B19" s="249" t="s">
        <v>152</v>
      </c>
      <c r="C19" s="324"/>
      <c r="D19" s="324"/>
      <c r="E19" s="324">
        <f t="shared" si="0"/>
        <v>0</v>
      </c>
      <c r="F19" s="322"/>
    </row>
    <row r="20" spans="1:6" ht="15.75" hidden="1" customHeight="1">
      <c r="A20" s="323" t="s">
        <v>13</v>
      </c>
      <c r="B20" s="249" t="s">
        <v>153</v>
      </c>
      <c r="C20" s="324"/>
      <c r="D20" s="324"/>
      <c r="E20" s="324">
        <f t="shared" si="0"/>
        <v>0</v>
      </c>
      <c r="F20" s="322"/>
    </row>
    <row r="21" spans="1:6" ht="15.75" hidden="1" customHeight="1">
      <c r="A21" s="323" t="s">
        <v>13</v>
      </c>
      <c r="B21" s="249" t="s">
        <v>154</v>
      </c>
      <c r="C21" s="324"/>
      <c r="D21" s="324"/>
      <c r="E21" s="324">
        <f t="shared" si="0"/>
        <v>0</v>
      </c>
      <c r="F21" s="322"/>
    </row>
    <row r="22" spans="1:6" ht="15.75" hidden="1" customHeight="1">
      <c r="A22" s="323" t="s">
        <v>13</v>
      </c>
      <c r="B22" s="249" t="s">
        <v>155</v>
      </c>
      <c r="C22" s="324"/>
      <c r="D22" s="324"/>
      <c r="E22" s="324">
        <f t="shared" si="0"/>
        <v>0</v>
      </c>
      <c r="F22" s="322"/>
    </row>
    <row r="23" spans="1:6" ht="31.5" hidden="1" customHeight="1">
      <c r="A23" s="323" t="s">
        <v>13</v>
      </c>
      <c r="B23" s="249" t="s">
        <v>156</v>
      </c>
      <c r="C23" s="324"/>
      <c r="D23" s="324"/>
      <c r="E23" s="324">
        <f t="shared" si="0"/>
        <v>0</v>
      </c>
      <c r="F23" s="322"/>
    </row>
    <row r="24" spans="1:6" ht="15.75" hidden="1" customHeight="1">
      <c r="A24" s="323" t="s">
        <v>13</v>
      </c>
      <c r="B24" s="249" t="s">
        <v>157</v>
      </c>
      <c r="C24" s="324"/>
      <c r="D24" s="324"/>
      <c r="E24" s="324">
        <f t="shared" si="0"/>
        <v>0</v>
      </c>
      <c r="F24" s="322"/>
    </row>
    <row r="25" spans="1:6" ht="15.75" hidden="1" customHeight="1">
      <c r="A25" s="323" t="s">
        <v>13</v>
      </c>
      <c r="B25" s="249" t="s">
        <v>158</v>
      </c>
      <c r="C25" s="324"/>
      <c r="D25" s="324"/>
      <c r="E25" s="324">
        <f t="shared" si="0"/>
        <v>0</v>
      </c>
      <c r="F25" s="322"/>
    </row>
    <row r="26" spans="1:6" ht="94.5">
      <c r="A26" s="323">
        <v>2</v>
      </c>
      <c r="B26" s="249" t="s">
        <v>159</v>
      </c>
      <c r="C26" s="324"/>
      <c r="D26" s="324"/>
      <c r="E26" s="324">
        <f t="shared" si="0"/>
        <v>0</v>
      </c>
      <c r="F26" s="322"/>
    </row>
    <row r="27" spans="1:6">
      <c r="A27" s="323">
        <v>3</v>
      </c>
      <c r="B27" s="249" t="s">
        <v>139</v>
      </c>
      <c r="C27" s="324">
        <f>22600*0.1</f>
        <v>2260</v>
      </c>
      <c r="D27" s="324">
        <v>128</v>
      </c>
      <c r="E27" s="324">
        <f t="shared" si="0"/>
        <v>-2132</v>
      </c>
      <c r="F27" s="325">
        <f t="shared" si="1"/>
        <v>5.663716814159292</v>
      </c>
    </row>
    <row r="28" spans="1:6" s="46" customFormat="1">
      <c r="A28" s="264" t="s">
        <v>16</v>
      </c>
      <c r="B28" s="265" t="s">
        <v>29</v>
      </c>
      <c r="C28" s="321">
        <f>SUM(C29:C41)</f>
        <v>1873892</v>
      </c>
      <c r="D28" s="321">
        <f t="shared" ref="D28" si="3">SUM(D29:D41)</f>
        <v>2076324</v>
      </c>
      <c r="E28" s="321">
        <f t="shared" si="0"/>
        <v>202432</v>
      </c>
      <c r="F28" s="322">
        <f t="shared" si="1"/>
        <v>110.80275704256168</v>
      </c>
    </row>
    <row r="29" spans="1:6">
      <c r="A29" s="323" t="s">
        <v>13</v>
      </c>
      <c r="B29" s="249" t="s">
        <v>133</v>
      </c>
      <c r="C29" s="324">
        <v>514268</v>
      </c>
      <c r="D29" s="324">
        <v>563092</v>
      </c>
      <c r="E29" s="324">
        <f t="shared" si="0"/>
        <v>48824</v>
      </c>
      <c r="F29" s="325">
        <f t="shared" si="1"/>
        <v>109.49388256706621</v>
      </c>
    </row>
    <row r="30" spans="1:6">
      <c r="A30" s="323" t="s">
        <v>13</v>
      </c>
      <c r="B30" s="249" t="s">
        <v>160</v>
      </c>
      <c r="C30" s="324">
        <v>30813</v>
      </c>
      <c r="D30" s="324">
        <v>15400</v>
      </c>
      <c r="E30" s="324">
        <f t="shared" si="0"/>
        <v>-15413</v>
      </c>
      <c r="F30" s="325">
        <f t="shared" si="1"/>
        <v>49.978905007626651</v>
      </c>
    </row>
    <row r="31" spans="1:6">
      <c r="A31" s="323" t="s">
        <v>13</v>
      </c>
      <c r="B31" s="249" t="s">
        <v>148</v>
      </c>
      <c r="C31" s="324">
        <v>55379</v>
      </c>
      <c r="D31" s="324">
        <v>71638</v>
      </c>
      <c r="E31" s="324">
        <f t="shared" si="0"/>
        <v>16259</v>
      </c>
      <c r="F31" s="325">
        <f t="shared" si="1"/>
        <v>129.35950450531791</v>
      </c>
    </row>
    <row r="32" spans="1:6">
      <c r="A32" s="323" t="s">
        <v>13</v>
      </c>
      <c r="B32" s="249" t="s">
        <v>149</v>
      </c>
      <c r="C32" s="324">
        <v>21346</v>
      </c>
      <c r="D32" s="324">
        <v>46870</v>
      </c>
      <c r="E32" s="324">
        <f t="shared" si="0"/>
        <v>25524</v>
      </c>
      <c r="F32" s="325">
        <f t="shared" si="1"/>
        <v>219.57275367750398</v>
      </c>
    </row>
    <row r="33" spans="1:6">
      <c r="A33" s="323" t="s">
        <v>13</v>
      </c>
      <c r="B33" s="249" t="s">
        <v>161</v>
      </c>
      <c r="C33" s="324">
        <v>195548</v>
      </c>
      <c r="D33" s="324">
        <v>527221</v>
      </c>
      <c r="E33" s="324">
        <f t="shared" si="0"/>
        <v>331673</v>
      </c>
      <c r="F33" s="325">
        <f t="shared" si="1"/>
        <v>269.61206455703973</v>
      </c>
    </row>
    <row r="34" spans="1:6">
      <c r="A34" s="323" t="s">
        <v>13</v>
      </c>
      <c r="B34" s="249" t="s">
        <v>151</v>
      </c>
      <c r="C34" s="324">
        <v>23764</v>
      </c>
      <c r="D34" s="324">
        <v>22819</v>
      </c>
      <c r="E34" s="324">
        <f t="shared" si="0"/>
        <v>-945</v>
      </c>
      <c r="F34" s="325">
        <f t="shared" si="1"/>
        <v>96.023396734556471</v>
      </c>
    </row>
    <row r="35" spans="1:6">
      <c r="A35" s="323" t="s">
        <v>13</v>
      </c>
      <c r="B35" s="249" t="s">
        <v>152</v>
      </c>
      <c r="C35" s="324">
        <v>7816</v>
      </c>
      <c r="D35" s="324">
        <v>7287</v>
      </c>
      <c r="E35" s="324">
        <f t="shared" si="0"/>
        <v>-529</v>
      </c>
      <c r="F35" s="325">
        <f t="shared" si="1"/>
        <v>93.231832139201643</v>
      </c>
    </row>
    <row r="36" spans="1:6">
      <c r="A36" s="323" t="s">
        <v>13</v>
      </c>
      <c r="B36" s="249" t="s">
        <v>162</v>
      </c>
      <c r="C36" s="324">
        <v>20898</v>
      </c>
      <c r="D36" s="324">
        <v>23562</v>
      </c>
      <c r="E36" s="324">
        <f t="shared" si="0"/>
        <v>2664</v>
      </c>
      <c r="F36" s="325">
        <f t="shared" si="1"/>
        <v>112.74763135228253</v>
      </c>
    </row>
    <row r="37" spans="1:6">
      <c r="A37" s="323" t="s">
        <v>13</v>
      </c>
      <c r="B37" s="249" t="s">
        <v>154</v>
      </c>
      <c r="C37" s="324">
        <v>20276</v>
      </c>
      <c r="D37" s="324">
        <v>7582</v>
      </c>
      <c r="E37" s="324">
        <f t="shared" si="0"/>
        <v>-12694</v>
      </c>
      <c r="F37" s="325">
        <f t="shared" si="1"/>
        <v>37.393963306372065</v>
      </c>
    </row>
    <row r="38" spans="1:6">
      <c r="A38" s="323" t="s">
        <v>13</v>
      </c>
      <c r="B38" s="249" t="s">
        <v>155</v>
      </c>
      <c r="C38" s="324">
        <v>191241</v>
      </c>
      <c r="D38" s="324">
        <v>340061</v>
      </c>
      <c r="E38" s="324">
        <f t="shared" si="0"/>
        <v>148820</v>
      </c>
      <c r="F38" s="325">
        <f t="shared" si="1"/>
        <v>177.81804111043132</v>
      </c>
    </row>
    <row r="39" spans="1:6" ht="31.5">
      <c r="A39" s="323" t="s">
        <v>13</v>
      </c>
      <c r="B39" s="249" t="s">
        <v>163</v>
      </c>
      <c r="C39" s="324">
        <v>305221</v>
      </c>
      <c r="D39" s="324">
        <v>305886</v>
      </c>
      <c r="E39" s="324">
        <f t="shared" si="0"/>
        <v>665</v>
      </c>
      <c r="F39" s="325">
        <f t="shared" si="1"/>
        <v>100.21787491686351</v>
      </c>
    </row>
    <row r="40" spans="1:6">
      <c r="A40" s="323" t="s">
        <v>13</v>
      </c>
      <c r="B40" s="249" t="s">
        <v>157</v>
      </c>
      <c r="C40" s="324">
        <v>309054</v>
      </c>
      <c r="D40" s="324">
        <v>54780</v>
      </c>
      <c r="E40" s="324">
        <f t="shared" si="0"/>
        <v>-254274</v>
      </c>
      <c r="F40" s="325">
        <f t="shared" si="1"/>
        <v>17.725057756896852</v>
      </c>
    </row>
    <row r="41" spans="1:6">
      <c r="A41" s="323" t="s">
        <v>13</v>
      </c>
      <c r="B41" s="249" t="s">
        <v>164</v>
      </c>
      <c r="C41" s="324">
        <v>178268</v>
      </c>
      <c r="D41" s="324">
        <v>90126</v>
      </c>
      <c r="E41" s="324">
        <f t="shared" si="0"/>
        <v>-88142</v>
      </c>
      <c r="F41" s="325">
        <f t="shared" si="1"/>
        <v>50.556465546256199</v>
      </c>
    </row>
    <row r="42" spans="1:6" ht="31.5">
      <c r="A42" s="264" t="s">
        <v>20</v>
      </c>
      <c r="B42" s="265" t="s">
        <v>165</v>
      </c>
      <c r="C42" s="321"/>
      <c r="D42" s="321">
        <v>260</v>
      </c>
      <c r="E42" s="321">
        <f t="shared" si="0"/>
        <v>260</v>
      </c>
      <c r="F42" s="322"/>
    </row>
    <row r="43" spans="1:6">
      <c r="A43" s="264" t="s">
        <v>22</v>
      </c>
      <c r="B43" s="265" t="s">
        <v>166</v>
      </c>
      <c r="C43" s="321">
        <v>1000</v>
      </c>
      <c r="D43" s="321">
        <v>1000</v>
      </c>
      <c r="E43" s="321">
        <f t="shared" si="0"/>
        <v>0</v>
      </c>
      <c r="F43" s="322">
        <f t="shared" si="1"/>
        <v>100</v>
      </c>
    </row>
    <row r="44" spans="1:6">
      <c r="A44" s="264" t="s">
        <v>24</v>
      </c>
      <c r="B44" s="265" t="s">
        <v>32</v>
      </c>
      <c r="C44" s="321">
        <v>85858</v>
      </c>
      <c r="D44" s="321"/>
      <c r="E44" s="321">
        <f t="shared" si="0"/>
        <v>-85858</v>
      </c>
      <c r="F44" s="322">
        <f t="shared" si="1"/>
        <v>0</v>
      </c>
    </row>
    <row r="45" spans="1:6" ht="31.5">
      <c r="A45" s="264" t="s">
        <v>141</v>
      </c>
      <c r="B45" s="265" t="s">
        <v>33</v>
      </c>
      <c r="C45" s="321">
        <v>211631</v>
      </c>
      <c r="D45" s="324"/>
      <c r="E45" s="321">
        <f t="shared" si="0"/>
        <v>-211631</v>
      </c>
      <c r="F45" s="322">
        <f t="shared" si="1"/>
        <v>0</v>
      </c>
    </row>
    <row r="46" spans="1:6" s="46" customFormat="1">
      <c r="A46" s="264" t="s">
        <v>192</v>
      </c>
      <c r="B46" s="291" t="s">
        <v>34</v>
      </c>
      <c r="C46" s="321">
        <f>47106+35100+9128</f>
        <v>91334</v>
      </c>
      <c r="D46" s="324"/>
      <c r="E46" s="321"/>
      <c r="F46" s="322"/>
    </row>
    <row r="47" spans="1:6" s="46" customFormat="1" ht="31.5">
      <c r="A47" s="264" t="s">
        <v>38</v>
      </c>
      <c r="B47" s="265" t="s">
        <v>167</v>
      </c>
      <c r="C47" s="321"/>
      <c r="D47" s="321">
        <v>2304846</v>
      </c>
      <c r="E47" s="321">
        <f t="shared" si="0"/>
        <v>2304846</v>
      </c>
      <c r="F47" s="322"/>
    </row>
    <row r="48" spans="1:6" ht="15.75" hidden="1" customHeight="1">
      <c r="A48" s="274" t="s">
        <v>39</v>
      </c>
      <c r="B48" s="275" t="s">
        <v>359</v>
      </c>
      <c r="C48" s="257"/>
      <c r="D48" s="257">
        <v>15257</v>
      </c>
      <c r="E48" s="257">
        <f t="shared" si="0"/>
        <v>15257</v>
      </c>
      <c r="F48" s="326"/>
    </row>
    <row r="49" spans="1:6" ht="30" hidden="1" customHeight="1">
      <c r="A49" s="346" t="s">
        <v>168</v>
      </c>
      <c r="B49" s="346"/>
      <c r="C49" s="346"/>
      <c r="D49" s="346"/>
      <c r="E49" s="346"/>
      <c r="F49" s="346"/>
    </row>
    <row r="50" spans="1:6">
      <c r="A50" s="210"/>
    </row>
  </sheetData>
  <mergeCells count="11">
    <mergeCell ref="A2:F2"/>
    <mergeCell ref="A3:F3"/>
    <mergeCell ref="A1:B1"/>
    <mergeCell ref="D4:F4"/>
    <mergeCell ref="D1:F1"/>
    <mergeCell ref="A49:F49"/>
    <mergeCell ref="A5:A6"/>
    <mergeCell ref="B5:B6"/>
    <mergeCell ref="C5:C6"/>
    <mergeCell ref="D5:D6"/>
    <mergeCell ref="E5:F5"/>
  </mergeCells>
  <printOptions horizontalCentered="1"/>
  <pageMargins left="0" right="0"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X104"/>
  <sheetViews>
    <sheetView workbookViewId="0">
      <pane xSplit="2" ySplit="8" topLeftCell="C9" activePane="bottomRight" state="frozen"/>
      <selection activeCell="K6" sqref="K6:K8"/>
      <selection pane="topRight" activeCell="K6" sqref="K6:K8"/>
      <selection pane="bottomLeft" activeCell="K6" sqref="K6:K8"/>
      <selection pane="bottomRight" activeCell="K6" sqref="K6:K8"/>
    </sheetView>
  </sheetViews>
  <sheetFormatPr defaultRowHeight="15.75"/>
  <cols>
    <col min="1" max="1" width="5.5703125" style="256" customWidth="1"/>
    <col min="2" max="2" width="27.140625" style="258" customWidth="1"/>
    <col min="3" max="3" width="12.140625" style="256" customWidth="1"/>
    <col min="4" max="4" width="11" style="256" customWidth="1"/>
    <col min="5" max="5" width="10" style="256" customWidth="1"/>
    <col min="6" max="6" width="9.140625" style="256"/>
    <col min="7" max="7" width="8.42578125" style="256" customWidth="1"/>
    <col min="8" max="8" width="10.140625" style="256" customWidth="1"/>
    <col min="9" max="10" width="9.140625" style="256"/>
    <col min="11" max="11" width="8.140625" style="256" customWidth="1"/>
    <col min="12" max="12" width="12.140625" style="256" customWidth="1"/>
    <col min="13" max="13" width="10.140625" style="256" bestFit="1" customWidth="1"/>
    <col min="14" max="14" width="12.85546875" style="256" customWidth="1"/>
    <col min="15" max="15" width="9.140625" style="256"/>
    <col min="16" max="16" width="8" style="256" customWidth="1"/>
    <col min="17" max="17" width="10.140625" style="256" bestFit="1" customWidth="1"/>
    <col min="18" max="18" width="9.140625" style="256"/>
    <col min="19" max="19" width="8.140625" style="256" customWidth="1"/>
    <col min="20" max="20" width="7.85546875" style="256" customWidth="1"/>
    <col min="21" max="21" width="10.28515625" style="256" customWidth="1"/>
    <col min="22" max="16384" width="9.140625" style="256"/>
  </cols>
  <sheetData>
    <row r="1" spans="1:24" ht="24.75" customHeight="1">
      <c r="A1" s="333" t="str">
        <f>'62'!chuong_phuluc_48</f>
        <v>ỦY BAN NHÂN DÂN TỈNH TIỀN GIANG</v>
      </c>
      <c r="B1" s="333"/>
      <c r="C1" s="333"/>
      <c r="V1" s="333" t="s">
        <v>1413</v>
      </c>
      <c r="W1" s="333"/>
      <c r="X1" s="333"/>
    </row>
    <row r="2" spans="1:24">
      <c r="A2" s="349" t="s">
        <v>1423</v>
      </c>
      <c r="B2" s="349"/>
      <c r="C2" s="349"/>
      <c r="D2" s="349"/>
      <c r="E2" s="349"/>
      <c r="F2" s="349"/>
      <c r="G2" s="349"/>
      <c r="H2" s="349"/>
      <c r="I2" s="349"/>
      <c r="J2" s="349"/>
      <c r="K2" s="349"/>
      <c r="L2" s="349"/>
      <c r="M2" s="349"/>
      <c r="N2" s="349"/>
      <c r="O2" s="349"/>
      <c r="P2" s="349"/>
      <c r="Q2" s="349"/>
      <c r="R2" s="349"/>
      <c r="S2" s="349"/>
      <c r="T2" s="349"/>
      <c r="U2" s="349"/>
      <c r="V2" s="349"/>
      <c r="W2" s="349"/>
      <c r="X2" s="349"/>
    </row>
    <row r="3" spans="1:24">
      <c r="A3" s="350" t="str">
        <f>'62'!A3:F3</f>
        <v>(Kèm theo Quyết định số ………../QĐ-UBND ngày    /01/2020 của Ủy ban nhân dân tỉnh Tiền Giang)</v>
      </c>
      <c r="B3" s="350"/>
      <c r="C3" s="350"/>
      <c r="D3" s="350"/>
      <c r="E3" s="350"/>
      <c r="F3" s="350"/>
      <c r="G3" s="350"/>
      <c r="H3" s="350"/>
      <c r="I3" s="350"/>
      <c r="J3" s="350"/>
      <c r="K3" s="350"/>
      <c r="L3" s="350"/>
      <c r="M3" s="350"/>
      <c r="N3" s="350"/>
      <c r="O3" s="350"/>
      <c r="P3" s="350"/>
      <c r="Q3" s="350"/>
      <c r="R3" s="350"/>
      <c r="S3" s="350"/>
      <c r="T3" s="350"/>
      <c r="U3" s="350"/>
      <c r="V3" s="350"/>
      <c r="W3" s="350"/>
      <c r="X3" s="350"/>
    </row>
    <row r="4" spans="1:24">
      <c r="A4" s="259"/>
      <c r="V4" s="351" t="s">
        <v>1</v>
      </c>
      <c r="W4" s="351"/>
      <c r="X4" s="351"/>
    </row>
    <row r="5" spans="1:24" s="260" customFormat="1" ht="15.75" customHeight="1">
      <c r="A5" s="347" t="s">
        <v>2</v>
      </c>
      <c r="B5" s="347" t="s">
        <v>179</v>
      </c>
      <c r="C5" s="347" t="s">
        <v>1400</v>
      </c>
      <c r="D5" s="347"/>
      <c r="E5" s="347"/>
      <c r="F5" s="347"/>
      <c r="G5" s="347"/>
      <c r="H5" s="347"/>
      <c r="I5" s="347"/>
      <c r="J5" s="347"/>
      <c r="K5" s="347"/>
      <c r="L5" s="347" t="s">
        <v>4</v>
      </c>
      <c r="M5" s="347"/>
      <c r="N5" s="347"/>
      <c r="O5" s="347"/>
      <c r="P5" s="347"/>
      <c r="Q5" s="347"/>
      <c r="R5" s="347"/>
      <c r="S5" s="347"/>
      <c r="T5" s="347"/>
      <c r="U5" s="347"/>
      <c r="V5" s="347" t="s">
        <v>53</v>
      </c>
      <c r="W5" s="347"/>
      <c r="X5" s="347"/>
    </row>
    <row r="6" spans="1:24" s="260" customFormat="1" ht="15.75" customHeight="1">
      <c r="A6" s="347"/>
      <c r="B6" s="347"/>
      <c r="C6" s="347" t="s">
        <v>180</v>
      </c>
      <c r="D6" s="353" t="s">
        <v>1396</v>
      </c>
      <c r="E6" s="347" t="s">
        <v>1397</v>
      </c>
      <c r="F6" s="347" t="s">
        <v>1398</v>
      </c>
      <c r="G6" s="347" t="s">
        <v>1399</v>
      </c>
      <c r="H6" s="347" t="s">
        <v>415</v>
      </c>
      <c r="I6" s="347" t="s">
        <v>182</v>
      </c>
      <c r="J6" s="347"/>
      <c r="K6" s="347"/>
      <c r="L6" s="347" t="s">
        <v>180</v>
      </c>
      <c r="M6" s="347" t="s">
        <v>1396</v>
      </c>
      <c r="N6" s="347" t="s">
        <v>1397</v>
      </c>
      <c r="O6" s="347" t="s">
        <v>1398</v>
      </c>
      <c r="P6" s="347" t="s">
        <v>1401</v>
      </c>
      <c r="Q6" s="347" t="s">
        <v>415</v>
      </c>
      <c r="R6" s="347" t="s">
        <v>182</v>
      </c>
      <c r="S6" s="347"/>
      <c r="T6" s="347"/>
      <c r="U6" s="347" t="s">
        <v>183</v>
      </c>
      <c r="V6" s="347" t="s">
        <v>180</v>
      </c>
      <c r="W6" s="347" t="s">
        <v>28</v>
      </c>
      <c r="X6" s="347" t="s">
        <v>29</v>
      </c>
    </row>
    <row r="7" spans="1:24" s="260" customFormat="1" ht="123" customHeight="1">
      <c r="A7" s="347"/>
      <c r="B7" s="347"/>
      <c r="C7" s="347"/>
      <c r="D7" s="354"/>
      <c r="E7" s="347"/>
      <c r="F7" s="347"/>
      <c r="G7" s="347"/>
      <c r="H7" s="347"/>
      <c r="I7" s="316" t="s">
        <v>180</v>
      </c>
      <c r="J7" s="316" t="s">
        <v>28</v>
      </c>
      <c r="K7" s="316" t="s">
        <v>29</v>
      </c>
      <c r="L7" s="347"/>
      <c r="M7" s="347"/>
      <c r="N7" s="347"/>
      <c r="O7" s="347"/>
      <c r="P7" s="347"/>
      <c r="Q7" s="347"/>
      <c r="R7" s="316" t="s">
        <v>180</v>
      </c>
      <c r="S7" s="316" t="s">
        <v>28</v>
      </c>
      <c r="T7" s="316" t="s">
        <v>29</v>
      </c>
      <c r="U7" s="347"/>
      <c r="V7" s="347"/>
      <c r="W7" s="347"/>
      <c r="X7" s="347"/>
    </row>
    <row r="8" spans="1:24">
      <c r="A8" s="261" t="s">
        <v>7</v>
      </c>
      <c r="B8" s="261" t="s">
        <v>8</v>
      </c>
      <c r="C8" s="261">
        <v>1</v>
      </c>
      <c r="D8" s="261">
        <v>2</v>
      </c>
      <c r="E8" s="261">
        <v>3</v>
      </c>
      <c r="F8" s="261">
        <v>4</v>
      </c>
      <c r="G8" s="261">
        <v>5</v>
      </c>
      <c r="H8" s="261">
        <v>6</v>
      </c>
      <c r="I8" s="261">
        <v>7</v>
      </c>
      <c r="J8" s="261">
        <v>8</v>
      </c>
      <c r="K8" s="261">
        <v>9</v>
      </c>
      <c r="L8" s="261">
        <v>10</v>
      </c>
      <c r="M8" s="261">
        <v>11</v>
      </c>
      <c r="N8" s="261">
        <v>12</v>
      </c>
      <c r="O8" s="261">
        <v>13</v>
      </c>
      <c r="P8" s="261">
        <v>14</v>
      </c>
      <c r="Q8" s="261">
        <v>15</v>
      </c>
      <c r="R8" s="261">
        <v>16</v>
      </c>
      <c r="S8" s="261">
        <v>17</v>
      </c>
      <c r="T8" s="261">
        <v>18</v>
      </c>
      <c r="U8" s="261">
        <v>19</v>
      </c>
      <c r="V8" s="261">
        <v>20</v>
      </c>
      <c r="W8" s="261">
        <v>21</v>
      </c>
      <c r="X8" s="261">
        <v>22</v>
      </c>
    </row>
    <row r="9" spans="1:24" s="260" customFormat="1">
      <c r="A9" s="262"/>
      <c r="B9" s="262" t="s">
        <v>184</v>
      </c>
      <c r="C9" s="262">
        <f>C10+C78+C79+C80+C81+C82+C83+C84+C85</f>
        <v>8758724</v>
      </c>
      <c r="D9" s="262">
        <f>D10+D78+D79+D80+D81+D82+D83+D84+D85</f>
        <v>3056458</v>
      </c>
      <c r="E9" s="262">
        <f>E10+E78+E79+E80+E81+E82+E83+E84+E85</f>
        <v>2169949</v>
      </c>
      <c r="F9" s="262">
        <f t="shared" ref="F9:U9" si="0">F10+F78+F79+F80+F81+F82+F83+F84+F85</f>
        <v>0</v>
      </c>
      <c r="G9" s="262">
        <f t="shared" si="0"/>
        <v>1000</v>
      </c>
      <c r="H9" s="262">
        <f t="shared" si="0"/>
        <v>3386989</v>
      </c>
      <c r="I9" s="262">
        <f t="shared" si="0"/>
        <v>144328</v>
      </c>
      <c r="J9" s="262">
        <f t="shared" si="0"/>
        <v>100100</v>
      </c>
      <c r="K9" s="262">
        <f t="shared" si="0"/>
        <v>44228</v>
      </c>
      <c r="L9" s="262">
        <f t="shared" si="0"/>
        <v>11145034.123</v>
      </c>
      <c r="M9" s="262">
        <f t="shared" si="0"/>
        <v>2246041.4</v>
      </c>
      <c r="N9" s="262">
        <f t="shared" si="0"/>
        <v>1963362.4</v>
      </c>
      <c r="O9" s="262">
        <f t="shared" si="0"/>
        <v>145</v>
      </c>
      <c r="P9" s="262">
        <f t="shared" si="0"/>
        <v>1000</v>
      </c>
      <c r="Q9" s="262">
        <f t="shared" si="0"/>
        <v>4589805.9230000004</v>
      </c>
      <c r="R9" s="262">
        <f t="shared" si="0"/>
        <v>39833.4</v>
      </c>
      <c r="S9" s="262">
        <f t="shared" si="0"/>
        <v>0</v>
      </c>
      <c r="T9" s="262">
        <f t="shared" si="0"/>
        <v>39833.4</v>
      </c>
      <c r="U9" s="262">
        <f t="shared" si="0"/>
        <v>2304846</v>
      </c>
      <c r="V9" s="263">
        <f>L9/C9*100</f>
        <v>127.2449516961603</v>
      </c>
      <c r="W9" s="263">
        <f>M9/D9*100</f>
        <v>73.485105962522638</v>
      </c>
      <c r="X9" s="263">
        <f>N9/E9*100</f>
        <v>90.479656434321726</v>
      </c>
    </row>
    <row r="10" spans="1:24" s="260" customFormat="1" ht="31.5">
      <c r="A10" s="264" t="s">
        <v>11</v>
      </c>
      <c r="B10" s="265" t="s">
        <v>185</v>
      </c>
      <c r="C10" s="265">
        <f>SUM(C11:C66)</f>
        <v>1965226</v>
      </c>
      <c r="D10" s="265">
        <f t="shared" ref="D10:U10" si="1">SUM(D11:D66)</f>
        <v>0</v>
      </c>
      <c r="E10" s="265">
        <f>SUM(E11:E66)</f>
        <v>1920998</v>
      </c>
      <c r="F10" s="265">
        <f t="shared" si="1"/>
        <v>0</v>
      </c>
      <c r="G10" s="265">
        <f t="shared" si="1"/>
        <v>0</v>
      </c>
      <c r="H10" s="265">
        <f t="shared" si="1"/>
        <v>0</v>
      </c>
      <c r="I10" s="265">
        <f t="shared" si="1"/>
        <v>44228</v>
      </c>
      <c r="J10" s="265">
        <f t="shared" si="1"/>
        <v>0</v>
      </c>
      <c r="K10" s="265">
        <f t="shared" si="1"/>
        <v>44228</v>
      </c>
      <c r="L10" s="265">
        <f>SUM(L11:L66)</f>
        <v>4322365.5999999996</v>
      </c>
      <c r="M10" s="265">
        <f t="shared" si="1"/>
        <v>2246041.4</v>
      </c>
      <c r="N10" s="265">
        <f t="shared" si="1"/>
        <v>1963362.4</v>
      </c>
      <c r="O10" s="265">
        <f t="shared" si="1"/>
        <v>0</v>
      </c>
      <c r="P10" s="265">
        <f t="shared" si="1"/>
        <v>0</v>
      </c>
      <c r="Q10" s="265">
        <f t="shared" si="1"/>
        <v>73128.399999999994</v>
      </c>
      <c r="R10" s="265">
        <f t="shared" si="1"/>
        <v>39833.4</v>
      </c>
      <c r="S10" s="265">
        <f t="shared" si="1"/>
        <v>0</v>
      </c>
      <c r="T10" s="265">
        <f t="shared" si="1"/>
        <v>39833.4</v>
      </c>
      <c r="U10" s="265">
        <f t="shared" si="1"/>
        <v>0</v>
      </c>
      <c r="V10" s="266">
        <f t="shared" ref="V10:V73" si="2">L10/C10*100</f>
        <v>219.94241883630684</v>
      </c>
      <c r="W10" s="266"/>
      <c r="X10" s="266">
        <f t="shared" ref="X10:X73" si="3">N10/E10*100</f>
        <v>102.20533285302744</v>
      </c>
    </row>
    <row r="11" spans="1:24">
      <c r="A11" s="232">
        <v>1</v>
      </c>
      <c r="B11" s="239" t="s">
        <v>279</v>
      </c>
      <c r="C11" s="249">
        <f>D11+E11+F11+G11+I11+H11</f>
        <v>10398</v>
      </c>
      <c r="D11" s="249"/>
      <c r="E11" s="249">
        <v>10398</v>
      </c>
      <c r="F11" s="249"/>
      <c r="G11" s="249"/>
      <c r="H11" s="249"/>
      <c r="I11" s="249">
        <f>SUM(J11:K11)</f>
        <v>0</v>
      </c>
      <c r="J11" s="249"/>
      <c r="K11" s="249"/>
      <c r="L11" s="249">
        <f>M11+N11+O11+P11+R11+Q11+U11</f>
        <v>10721</v>
      </c>
      <c r="M11" s="249">
        <v>23</v>
      </c>
      <c r="N11" s="249">
        <v>10698</v>
      </c>
      <c r="O11" s="249"/>
      <c r="P11" s="249"/>
      <c r="Q11" s="249"/>
      <c r="R11" s="249">
        <f>SUM(S11:T11)</f>
        <v>0</v>
      </c>
      <c r="S11" s="249"/>
      <c r="T11" s="249"/>
      <c r="U11" s="267"/>
      <c r="V11" s="268">
        <f>L11/C11*100</f>
        <v>103.10636660896326</v>
      </c>
      <c r="W11" s="268"/>
      <c r="X11" s="268">
        <f t="shared" si="3"/>
        <v>102.88517022504328</v>
      </c>
    </row>
    <row r="12" spans="1:24">
      <c r="A12" s="232">
        <v>2</v>
      </c>
      <c r="B12" s="239" t="s">
        <v>280</v>
      </c>
      <c r="C12" s="249">
        <f t="shared" ref="C12:C75" si="4">D12+E12+F12+G12+I12+H12</f>
        <v>25311</v>
      </c>
      <c r="D12" s="249"/>
      <c r="E12" s="249">
        <v>25311</v>
      </c>
      <c r="F12" s="249"/>
      <c r="G12" s="249"/>
      <c r="H12" s="249"/>
      <c r="I12" s="249">
        <f t="shared" ref="I12:I76" si="5">SUM(J12:K12)</f>
        <v>0</v>
      </c>
      <c r="J12" s="249"/>
      <c r="K12" s="249"/>
      <c r="L12" s="249">
        <f t="shared" ref="L12:L75" si="6">M12+N12+O12+P12+R12+Q12+U12</f>
        <v>267693</v>
      </c>
      <c r="M12" s="249">
        <v>240737</v>
      </c>
      <c r="N12" s="249">
        <v>26956</v>
      </c>
      <c r="O12" s="249"/>
      <c r="P12" s="249"/>
      <c r="Q12" s="249"/>
      <c r="R12" s="249">
        <f t="shared" ref="R12:R75" si="7">SUM(S12:T12)</f>
        <v>0</v>
      </c>
      <c r="S12" s="249"/>
      <c r="T12" s="249"/>
      <c r="U12" s="267"/>
      <c r="V12" s="268">
        <f t="shared" si="2"/>
        <v>1057.6152660898424</v>
      </c>
      <c r="W12" s="268"/>
      <c r="X12" s="268">
        <f t="shared" si="3"/>
        <v>106.49915056694719</v>
      </c>
    </row>
    <row r="13" spans="1:24">
      <c r="A13" s="232">
        <v>3</v>
      </c>
      <c r="B13" s="239" t="s">
        <v>281</v>
      </c>
      <c r="C13" s="249">
        <f t="shared" si="4"/>
        <v>6518</v>
      </c>
      <c r="D13" s="249"/>
      <c r="E13" s="249">
        <v>6518</v>
      </c>
      <c r="F13" s="249"/>
      <c r="G13" s="249"/>
      <c r="H13" s="249"/>
      <c r="I13" s="249">
        <f t="shared" si="5"/>
        <v>0</v>
      </c>
      <c r="J13" s="249"/>
      <c r="K13" s="249"/>
      <c r="L13" s="249">
        <f t="shared" si="6"/>
        <v>4212</v>
      </c>
      <c r="M13" s="249"/>
      <c r="N13" s="249">
        <v>4212</v>
      </c>
      <c r="O13" s="249"/>
      <c r="P13" s="249"/>
      <c r="Q13" s="249"/>
      <c r="R13" s="249">
        <f t="shared" si="7"/>
        <v>0</v>
      </c>
      <c r="S13" s="249"/>
      <c r="T13" s="249"/>
      <c r="U13" s="267"/>
      <c r="V13" s="268">
        <f t="shared" si="2"/>
        <v>64.621049401656947</v>
      </c>
      <c r="W13" s="268"/>
      <c r="X13" s="268">
        <f t="shared" si="3"/>
        <v>64.621049401656947</v>
      </c>
    </row>
    <row r="14" spans="1:24">
      <c r="A14" s="232">
        <v>4</v>
      </c>
      <c r="B14" s="239" t="s">
        <v>282</v>
      </c>
      <c r="C14" s="249">
        <f t="shared" si="4"/>
        <v>80488</v>
      </c>
      <c r="D14" s="249"/>
      <c r="E14" s="249">
        <f>78988+1500</f>
        <v>80488</v>
      </c>
      <c r="F14" s="249"/>
      <c r="G14" s="249"/>
      <c r="H14" s="249"/>
      <c r="I14" s="249">
        <f t="shared" si="5"/>
        <v>0</v>
      </c>
      <c r="J14" s="249"/>
      <c r="K14" s="249"/>
      <c r="L14" s="249">
        <f t="shared" si="6"/>
        <v>482287</v>
      </c>
      <c r="M14" s="249">
        <v>279805</v>
      </c>
      <c r="N14" s="249">
        <v>197614</v>
      </c>
      <c r="O14" s="249"/>
      <c r="P14" s="249"/>
      <c r="Q14" s="249">
        <v>909</v>
      </c>
      <c r="R14" s="249">
        <f t="shared" si="7"/>
        <v>3959</v>
      </c>
      <c r="S14" s="249"/>
      <c r="T14" s="249">
        <v>3959</v>
      </c>
      <c r="U14" s="267"/>
      <c r="V14" s="268">
        <f t="shared" si="2"/>
        <v>599.20360799125331</v>
      </c>
      <c r="W14" s="268"/>
      <c r="X14" s="268">
        <f t="shared" si="3"/>
        <v>245.51982904283869</v>
      </c>
    </row>
    <row r="15" spans="1:24">
      <c r="A15" s="232">
        <v>5</v>
      </c>
      <c r="B15" s="239" t="s">
        <v>1424</v>
      </c>
      <c r="C15" s="249">
        <f t="shared" si="4"/>
        <v>9349</v>
      </c>
      <c r="D15" s="249"/>
      <c r="E15" s="249">
        <v>9349</v>
      </c>
      <c r="F15" s="249"/>
      <c r="G15" s="249"/>
      <c r="H15" s="249"/>
      <c r="I15" s="249">
        <f t="shared" si="5"/>
        <v>0</v>
      </c>
      <c r="J15" s="249"/>
      <c r="K15" s="249"/>
      <c r="L15" s="249">
        <f t="shared" si="6"/>
        <v>11551</v>
      </c>
      <c r="M15" s="249">
        <v>1289</v>
      </c>
      <c r="N15" s="249">
        <v>9405</v>
      </c>
      <c r="O15" s="249"/>
      <c r="P15" s="249"/>
      <c r="Q15" s="249">
        <v>857</v>
      </c>
      <c r="R15" s="249">
        <f t="shared" si="7"/>
        <v>0</v>
      </c>
      <c r="S15" s="249"/>
      <c r="T15" s="249"/>
      <c r="U15" s="267"/>
      <c r="V15" s="268">
        <f t="shared" si="2"/>
        <v>123.55332121082469</v>
      </c>
      <c r="W15" s="268"/>
      <c r="X15" s="268">
        <f t="shared" si="3"/>
        <v>100.59899454487112</v>
      </c>
    </row>
    <row r="16" spans="1:24">
      <c r="A16" s="232">
        <v>6</v>
      </c>
      <c r="B16" s="239" t="s">
        <v>283</v>
      </c>
      <c r="C16" s="249">
        <f t="shared" si="4"/>
        <v>9973</v>
      </c>
      <c r="D16" s="249"/>
      <c r="E16" s="249">
        <f>9735+238</f>
        <v>9973</v>
      </c>
      <c r="F16" s="249"/>
      <c r="G16" s="249"/>
      <c r="H16" s="249"/>
      <c r="I16" s="249">
        <f t="shared" si="5"/>
        <v>0</v>
      </c>
      <c r="J16" s="249"/>
      <c r="K16" s="249"/>
      <c r="L16" s="249">
        <f t="shared" si="6"/>
        <v>12505</v>
      </c>
      <c r="M16" s="249">
        <v>4198</v>
      </c>
      <c r="N16" s="249">
        <v>8227</v>
      </c>
      <c r="O16" s="249"/>
      <c r="P16" s="249"/>
      <c r="Q16" s="249">
        <v>42</v>
      </c>
      <c r="R16" s="249">
        <f t="shared" si="7"/>
        <v>38</v>
      </c>
      <c r="S16" s="249"/>
      <c r="T16" s="249">
        <v>38</v>
      </c>
      <c r="U16" s="267"/>
      <c r="V16" s="268">
        <f t="shared" si="2"/>
        <v>125.38854908252281</v>
      </c>
      <c r="W16" s="268"/>
      <c r="X16" s="268">
        <f t="shared" si="3"/>
        <v>82.492730372004402</v>
      </c>
    </row>
    <row r="17" spans="1:24">
      <c r="A17" s="232">
        <v>7</v>
      </c>
      <c r="B17" s="239" t="s">
        <v>284</v>
      </c>
      <c r="C17" s="249">
        <f t="shared" si="4"/>
        <v>26434</v>
      </c>
      <c r="D17" s="249"/>
      <c r="E17" s="249">
        <v>26434</v>
      </c>
      <c r="F17" s="249"/>
      <c r="G17" s="249"/>
      <c r="H17" s="249"/>
      <c r="I17" s="249">
        <f t="shared" si="5"/>
        <v>0</v>
      </c>
      <c r="J17" s="249"/>
      <c r="K17" s="249"/>
      <c r="L17" s="249">
        <f t="shared" si="6"/>
        <v>74256</v>
      </c>
      <c r="M17" s="249">
        <v>48365</v>
      </c>
      <c r="N17" s="249">
        <v>24632</v>
      </c>
      <c r="O17" s="249"/>
      <c r="P17" s="249"/>
      <c r="Q17" s="249">
        <v>1259</v>
      </c>
      <c r="R17" s="249">
        <f t="shared" si="7"/>
        <v>0</v>
      </c>
      <c r="S17" s="249"/>
      <c r="T17" s="249"/>
      <c r="U17" s="267"/>
      <c r="V17" s="268">
        <f t="shared" si="2"/>
        <v>280.91094802148746</v>
      </c>
      <c r="W17" s="268"/>
      <c r="X17" s="268">
        <f t="shared" si="3"/>
        <v>93.183021865778926</v>
      </c>
    </row>
    <row r="18" spans="1:24">
      <c r="A18" s="232">
        <v>8</v>
      </c>
      <c r="B18" s="239" t="s">
        <v>411</v>
      </c>
      <c r="C18" s="249">
        <f t="shared" si="4"/>
        <v>19201</v>
      </c>
      <c r="D18" s="249"/>
      <c r="E18" s="249">
        <v>19201</v>
      </c>
      <c r="F18" s="249"/>
      <c r="G18" s="249"/>
      <c r="H18" s="249"/>
      <c r="I18" s="249">
        <f t="shared" si="5"/>
        <v>0</v>
      </c>
      <c r="J18" s="249"/>
      <c r="K18" s="249"/>
      <c r="L18" s="249">
        <f t="shared" si="6"/>
        <v>22830</v>
      </c>
      <c r="M18" s="249">
        <v>2630</v>
      </c>
      <c r="N18" s="249">
        <v>20045</v>
      </c>
      <c r="O18" s="249"/>
      <c r="P18" s="249"/>
      <c r="Q18" s="249">
        <v>155</v>
      </c>
      <c r="R18" s="249">
        <f t="shared" si="7"/>
        <v>0</v>
      </c>
      <c r="S18" s="249"/>
      <c r="T18" s="249"/>
      <c r="U18" s="267"/>
      <c r="V18" s="268">
        <f t="shared" si="2"/>
        <v>118.90005728868289</v>
      </c>
      <c r="W18" s="268"/>
      <c r="X18" s="268">
        <f t="shared" si="3"/>
        <v>104.39560439560441</v>
      </c>
    </row>
    <row r="19" spans="1:24">
      <c r="A19" s="232">
        <v>9</v>
      </c>
      <c r="B19" s="239" t="s">
        <v>285</v>
      </c>
      <c r="C19" s="249">
        <f t="shared" si="4"/>
        <v>12759</v>
      </c>
      <c r="D19" s="249"/>
      <c r="E19" s="249">
        <v>12759</v>
      </c>
      <c r="F19" s="249"/>
      <c r="G19" s="249"/>
      <c r="H19" s="249"/>
      <c r="I19" s="249">
        <f t="shared" si="5"/>
        <v>0</v>
      </c>
      <c r="J19" s="249"/>
      <c r="K19" s="249"/>
      <c r="L19" s="249">
        <f t="shared" si="6"/>
        <v>13171</v>
      </c>
      <c r="M19" s="249"/>
      <c r="N19" s="249">
        <v>13171</v>
      </c>
      <c r="O19" s="249"/>
      <c r="P19" s="249"/>
      <c r="Q19" s="249"/>
      <c r="R19" s="249">
        <f t="shared" si="7"/>
        <v>0</v>
      </c>
      <c r="S19" s="249"/>
      <c r="T19" s="249"/>
      <c r="U19" s="267"/>
      <c r="V19" s="268">
        <f t="shared" si="2"/>
        <v>103.22909318912141</v>
      </c>
      <c r="W19" s="268"/>
      <c r="X19" s="268">
        <f t="shared" si="3"/>
        <v>103.22909318912141</v>
      </c>
    </row>
    <row r="20" spans="1:24">
      <c r="A20" s="232">
        <v>10</v>
      </c>
      <c r="B20" s="239" t="s">
        <v>286</v>
      </c>
      <c r="C20" s="249">
        <f t="shared" si="4"/>
        <v>6776</v>
      </c>
      <c r="D20" s="249"/>
      <c r="E20" s="249">
        <v>6776</v>
      </c>
      <c r="F20" s="249"/>
      <c r="G20" s="249"/>
      <c r="H20" s="249"/>
      <c r="I20" s="249">
        <f t="shared" si="5"/>
        <v>0</v>
      </c>
      <c r="J20" s="249"/>
      <c r="K20" s="249"/>
      <c r="L20" s="249">
        <f t="shared" si="6"/>
        <v>70514</v>
      </c>
      <c r="M20" s="249">
        <v>58965</v>
      </c>
      <c r="N20" s="249">
        <v>11549</v>
      </c>
      <c r="O20" s="249"/>
      <c r="P20" s="249"/>
      <c r="Q20" s="249"/>
      <c r="R20" s="249">
        <f t="shared" si="7"/>
        <v>0</v>
      </c>
      <c r="S20" s="249"/>
      <c r="T20" s="249"/>
      <c r="U20" s="267"/>
      <c r="V20" s="268">
        <f t="shared" si="2"/>
        <v>1040.6434474616292</v>
      </c>
      <c r="W20" s="268"/>
      <c r="X20" s="268">
        <f t="shared" si="3"/>
        <v>170.43978748524202</v>
      </c>
    </row>
    <row r="21" spans="1:24">
      <c r="A21" s="232">
        <v>11</v>
      </c>
      <c r="B21" s="239" t="s">
        <v>287</v>
      </c>
      <c r="C21" s="249">
        <f t="shared" si="4"/>
        <v>31547</v>
      </c>
      <c r="D21" s="249"/>
      <c r="E21" s="249">
        <v>31547</v>
      </c>
      <c r="F21" s="249"/>
      <c r="G21" s="249"/>
      <c r="H21" s="249"/>
      <c r="I21" s="249">
        <f t="shared" si="5"/>
        <v>0</v>
      </c>
      <c r="J21" s="249"/>
      <c r="K21" s="249"/>
      <c r="L21" s="249">
        <f t="shared" si="6"/>
        <v>671477</v>
      </c>
      <c r="M21" s="249">
        <v>558202</v>
      </c>
      <c r="N21" s="249">
        <v>113275</v>
      </c>
      <c r="O21" s="249"/>
      <c r="P21" s="249"/>
      <c r="Q21" s="249"/>
      <c r="R21" s="249">
        <f t="shared" si="7"/>
        <v>0</v>
      </c>
      <c r="S21" s="249"/>
      <c r="T21" s="249"/>
      <c r="U21" s="267"/>
      <c r="V21" s="268">
        <f t="shared" si="2"/>
        <v>2128.4971629631978</v>
      </c>
      <c r="W21" s="268"/>
      <c r="X21" s="268">
        <f t="shared" si="3"/>
        <v>359.06742320981391</v>
      </c>
    </row>
    <row r="22" spans="1:24">
      <c r="A22" s="232">
        <v>12</v>
      </c>
      <c r="B22" s="239" t="s">
        <v>288</v>
      </c>
      <c r="C22" s="249">
        <f t="shared" si="4"/>
        <v>375724</v>
      </c>
      <c r="D22" s="249"/>
      <c r="E22" s="249">
        <v>375724</v>
      </c>
      <c r="F22" s="249"/>
      <c r="G22" s="249"/>
      <c r="H22" s="249"/>
      <c r="I22" s="249">
        <f t="shared" si="5"/>
        <v>0</v>
      </c>
      <c r="J22" s="249"/>
      <c r="K22" s="249"/>
      <c r="L22" s="249">
        <f t="shared" si="6"/>
        <v>773444</v>
      </c>
      <c r="M22" s="249">
        <v>361975</v>
      </c>
      <c r="N22" s="249">
        <v>396498</v>
      </c>
      <c r="O22" s="249"/>
      <c r="P22" s="249"/>
      <c r="Q22" s="249"/>
      <c r="R22" s="249">
        <f t="shared" si="7"/>
        <v>14971</v>
      </c>
      <c r="S22" s="249"/>
      <c r="T22" s="249">
        <v>14971</v>
      </c>
      <c r="U22" s="267"/>
      <c r="V22" s="268">
        <f t="shared" si="2"/>
        <v>205.85429730333971</v>
      </c>
      <c r="W22" s="268"/>
      <c r="X22" s="268">
        <f t="shared" si="3"/>
        <v>105.52905856426527</v>
      </c>
    </row>
    <row r="23" spans="1:24">
      <c r="A23" s="232">
        <v>13</v>
      </c>
      <c r="B23" s="239" t="s">
        <v>289</v>
      </c>
      <c r="C23" s="249">
        <f t="shared" si="4"/>
        <v>157360</v>
      </c>
      <c r="D23" s="249"/>
      <c r="E23" s="249">
        <f>149304+8056</f>
        <v>157360</v>
      </c>
      <c r="F23" s="249"/>
      <c r="G23" s="249"/>
      <c r="H23" s="249"/>
      <c r="I23" s="249">
        <f t="shared" si="5"/>
        <v>0</v>
      </c>
      <c r="J23" s="249"/>
      <c r="K23" s="249"/>
      <c r="L23" s="249">
        <f t="shared" si="6"/>
        <v>417653</v>
      </c>
      <c r="M23" s="249">
        <v>199508</v>
      </c>
      <c r="N23" s="249">
        <v>193602</v>
      </c>
      <c r="O23" s="249"/>
      <c r="P23" s="249"/>
      <c r="Q23" s="249">
        <v>15742</v>
      </c>
      <c r="R23" s="249">
        <f t="shared" si="7"/>
        <v>8801</v>
      </c>
      <c r="S23" s="249"/>
      <c r="T23" s="249">
        <v>8801</v>
      </c>
      <c r="U23" s="267"/>
      <c r="V23" s="268">
        <f t="shared" si="2"/>
        <v>265.41243009659377</v>
      </c>
      <c r="W23" s="268"/>
      <c r="X23" s="268">
        <f t="shared" si="3"/>
        <v>123.03126588713778</v>
      </c>
    </row>
    <row r="24" spans="1:24">
      <c r="A24" s="232">
        <v>14</v>
      </c>
      <c r="B24" s="239" t="s">
        <v>290</v>
      </c>
      <c r="C24" s="249">
        <f t="shared" si="4"/>
        <v>117332</v>
      </c>
      <c r="D24" s="249"/>
      <c r="E24" s="249">
        <f>112968+4364</f>
        <v>117332</v>
      </c>
      <c r="F24" s="249"/>
      <c r="G24" s="249"/>
      <c r="H24" s="249"/>
      <c r="I24" s="249">
        <f t="shared" si="5"/>
        <v>0</v>
      </c>
      <c r="J24" s="249"/>
      <c r="K24" s="249"/>
      <c r="L24" s="249">
        <f t="shared" si="6"/>
        <v>144401</v>
      </c>
      <c r="M24" s="249">
        <v>12488</v>
      </c>
      <c r="N24" s="249">
        <v>126695</v>
      </c>
      <c r="O24" s="249"/>
      <c r="P24" s="249"/>
      <c r="Q24" s="249">
        <v>560</v>
      </c>
      <c r="R24" s="249">
        <f t="shared" si="7"/>
        <v>4658</v>
      </c>
      <c r="S24" s="249"/>
      <c r="T24" s="249">
        <v>4658</v>
      </c>
      <c r="U24" s="267"/>
      <c r="V24" s="268">
        <f t="shared" si="2"/>
        <v>123.07043261855249</v>
      </c>
      <c r="W24" s="268"/>
      <c r="X24" s="268">
        <f t="shared" si="3"/>
        <v>107.9799202263662</v>
      </c>
    </row>
    <row r="25" spans="1:24" ht="30">
      <c r="A25" s="232">
        <v>15</v>
      </c>
      <c r="B25" s="239" t="s">
        <v>1425</v>
      </c>
      <c r="C25" s="249">
        <f t="shared" si="4"/>
        <v>68956</v>
      </c>
      <c r="D25" s="249"/>
      <c r="E25" s="249">
        <f>67956+1000</f>
        <v>68956</v>
      </c>
      <c r="F25" s="249"/>
      <c r="G25" s="249"/>
      <c r="H25" s="249"/>
      <c r="I25" s="249">
        <f t="shared" si="5"/>
        <v>0</v>
      </c>
      <c r="J25" s="249"/>
      <c r="K25" s="249"/>
      <c r="L25" s="249">
        <f t="shared" si="6"/>
        <v>164329</v>
      </c>
      <c r="M25" s="249">
        <v>95976</v>
      </c>
      <c r="N25" s="249">
        <v>67093</v>
      </c>
      <c r="O25" s="249"/>
      <c r="P25" s="249"/>
      <c r="Q25" s="249">
        <v>45</v>
      </c>
      <c r="R25" s="249">
        <f t="shared" si="7"/>
        <v>1215</v>
      </c>
      <c r="S25" s="249"/>
      <c r="T25" s="249">
        <v>1215</v>
      </c>
      <c r="U25" s="267"/>
      <c r="V25" s="268">
        <f t="shared" si="2"/>
        <v>238.30993677127444</v>
      </c>
      <c r="W25" s="268"/>
      <c r="X25" s="268">
        <f t="shared" si="3"/>
        <v>97.298277162248397</v>
      </c>
    </row>
    <row r="26" spans="1:24">
      <c r="A26" s="232">
        <v>16</v>
      </c>
      <c r="B26" s="239" t="s">
        <v>291</v>
      </c>
      <c r="C26" s="249">
        <f t="shared" si="4"/>
        <v>24408</v>
      </c>
      <c r="D26" s="249"/>
      <c r="E26" s="249">
        <v>24408</v>
      </c>
      <c r="F26" s="249"/>
      <c r="G26" s="249"/>
      <c r="H26" s="249"/>
      <c r="I26" s="249">
        <f t="shared" si="5"/>
        <v>0</v>
      </c>
      <c r="J26" s="249"/>
      <c r="K26" s="249"/>
      <c r="L26" s="249">
        <f t="shared" si="6"/>
        <v>25688</v>
      </c>
      <c r="M26" s="249">
        <v>8368</v>
      </c>
      <c r="N26" s="249">
        <v>16985</v>
      </c>
      <c r="O26" s="249"/>
      <c r="P26" s="249"/>
      <c r="Q26" s="249">
        <v>335</v>
      </c>
      <c r="R26" s="249">
        <f t="shared" si="7"/>
        <v>0</v>
      </c>
      <c r="S26" s="249"/>
      <c r="T26" s="249"/>
      <c r="U26" s="267"/>
      <c r="V26" s="268">
        <f t="shared" si="2"/>
        <v>105.24418223533267</v>
      </c>
      <c r="W26" s="268"/>
      <c r="X26" s="268">
        <f t="shared" si="3"/>
        <v>69.58784005244182</v>
      </c>
    </row>
    <row r="27" spans="1:24">
      <c r="A27" s="232">
        <v>17</v>
      </c>
      <c r="B27" s="239" t="s">
        <v>292</v>
      </c>
      <c r="C27" s="249">
        <f t="shared" si="4"/>
        <v>11605</v>
      </c>
      <c r="D27" s="249"/>
      <c r="E27" s="249">
        <v>11605</v>
      </c>
      <c r="F27" s="249"/>
      <c r="G27" s="249"/>
      <c r="H27" s="249"/>
      <c r="I27" s="249">
        <f t="shared" si="5"/>
        <v>0</v>
      </c>
      <c r="J27" s="249"/>
      <c r="K27" s="249"/>
      <c r="L27" s="249">
        <f t="shared" si="6"/>
        <v>13409</v>
      </c>
      <c r="M27" s="249">
        <v>3665</v>
      </c>
      <c r="N27" s="249">
        <v>9178</v>
      </c>
      <c r="O27" s="249"/>
      <c r="P27" s="249"/>
      <c r="Q27" s="249">
        <v>96</v>
      </c>
      <c r="R27" s="249">
        <f t="shared" si="7"/>
        <v>470</v>
      </c>
      <c r="S27" s="249"/>
      <c r="T27" s="249">
        <v>470</v>
      </c>
      <c r="U27" s="267"/>
      <c r="V27" s="268">
        <f t="shared" si="2"/>
        <v>115.54502369668246</v>
      </c>
      <c r="W27" s="268"/>
      <c r="X27" s="268">
        <f t="shared" si="3"/>
        <v>79.086600603188288</v>
      </c>
    </row>
    <row r="28" spans="1:24">
      <c r="A28" s="232">
        <v>18</v>
      </c>
      <c r="B28" s="239" t="s">
        <v>293</v>
      </c>
      <c r="C28" s="249">
        <f t="shared" si="4"/>
        <v>41445</v>
      </c>
      <c r="D28" s="249"/>
      <c r="E28" s="249">
        <v>41445</v>
      </c>
      <c r="F28" s="249"/>
      <c r="G28" s="249"/>
      <c r="H28" s="249"/>
      <c r="I28" s="249">
        <f t="shared" si="5"/>
        <v>0</v>
      </c>
      <c r="J28" s="249"/>
      <c r="K28" s="249"/>
      <c r="L28" s="249">
        <f t="shared" si="6"/>
        <v>77551</v>
      </c>
      <c r="M28" s="249">
        <v>38924</v>
      </c>
      <c r="N28" s="249">
        <v>38627</v>
      </c>
      <c r="O28" s="249"/>
      <c r="P28" s="249"/>
      <c r="Q28" s="249"/>
      <c r="R28" s="249">
        <f t="shared" si="7"/>
        <v>0</v>
      </c>
      <c r="S28" s="249"/>
      <c r="T28" s="249"/>
      <c r="U28" s="267"/>
      <c r="V28" s="268">
        <f t="shared" si="2"/>
        <v>187.11786705272047</v>
      </c>
      <c r="W28" s="268"/>
      <c r="X28" s="268">
        <f t="shared" si="3"/>
        <v>93.200627337435165</v>
      </c>
    </row>
    <row r="29" spans="1:24">
      <c r="A29" s="232">
        <v>19</v>
      </c>
      <c r="B29" s="239" t="s">
        <v>294</v>
      </c>
      <c r="C29" s="249">
        <f t="shared" si="4"/>
        <v>6970</v>
      </c>
      <c r="D29" s="249"/>
      <c r="E29" s="249">
        <v>6970</v>
      </c>
      <c r="F29" s="249"/>
      <c r="G29" s="249"/>
      <c r="H29" s="249"/>
      <c r="I29" s="249">
        <f t="shared" si="5"/>
        <v>0</v>
      </c>
      <c r="J29" s="249"/>
      <c r="K29" s="249"/>
      <c r="L29" s="249">
        <f t="shared" si="6"/>
        <v>15659</v>
      </c>
      <c r="M29" s="249">
        <v>5768</v>
      </c>
      <c r="N29" s="249">
        <v>9891</v>
      </c>
      <c r="O29" s="249"/>
      <c r="P29" s="249"/>
      <c r="Q29" s="249"/>
      <c r="R29" s="249">
        <f t="shared" si="7"/>
        <v>0</v>
      </c>
      <c r="S29" s="249"/>
      <c r="T29" s="249"/>
      <c r="U29" s="267"/>
      <c r="V29" s="268">
        <f t="shared" si="2"/>
        <v>224.66284074605451</v>
      </c>
      <c r="W29" s="268"/>
      <c r="X29" s="268">
        <f t="shared" si="3"/>
        <v>141.90817790530846</v>
      </c>
    </row>
    <row r="30" spans="1:24">
      <c r="A30" s="232">
        <v>20</v>
      </c>
      <c r="B30" s="239" t="s">
        <v>295</v>
      </c>
      <c r="C30" s="249">
        <f t="shared" si="4"/>
        <v>7816</v>
      </c>
      <c r="D30" s="249"/>
      <c r="E30" s="249">
        <v>7816</v>
      </c>
      <c r="F30" s="249"/>
      <c r="G30" s="249"/>
      <c r="H30" s="249"/>
      <c r="I30" s="249">
        <f t="shared" si="5"/>
        <v>0</v>
      </c>
      <c r="J30" s="249"/>
      <c r="K30" s="249"/>
      <c r="L30" s="249">
        <f t="shared" si="6"/>
        <v>14944</v>
      </c>
      <c r="M30" s="249">
        <f>2686+260+4710+1</f>
        <v>7657</v>
      </c>
      <c r="N30" s="249">
        <v>7287</v>
      </c>
      <c r="O30" s="249"/>
      <c r="P30" s="249"/>
      <c r="Q30" s="249"/>
      <c r="R30" s="249">
        <f t="shared" si="7"/>
        <v>0</v>
      </c>
      <c r="S30" s="249"/>
      <c r="T30" s="249"/>
      <c r="U30" s="267"/>
      <c r="V30" s="268">
        <f t="shared" si="2"/>
        <v>191.19754350051176</v>
      </c>
      <c r="W30" s="268"/>
      <c r="X30" s="268">
        <f t="shared" si="3"/>
        <v>93.231832139201643</v>
      </c>
    </row>
    <row r="31" spans="1:24">
      <c r="A31" s="232">
        <v>21</v>
      </c>
      <c r="B31" s="239" t="s">
        <v>296</v>
      </c>
      <c r="C31" s="249">
        <f t="shared" si="4"/>
        <v>3188</v>
      </c>
      <c r="D31" s="249"/>
      <c r="E31" s="249">
        <v>3188</v>
      </c>
      <c r="F31" s="249"/>
      <c r="G31" s="249"/>
      <c r="H31" s="249"/>
      <c r="I31" s="249">
        <f t="shared" si="5"/>
        <v>0</v>
      </c>
      <c r="J31" s="249"/>
      <c r="K31" s="249"/>
      <c r="L31" s="249">
        <f t="shared" si="6"/>
        <v>6530</v>
      </c>
      <c r="M31" s="249"/>
      <c r="N31" s="249">
        <f>6346+184</f>
        <v>6530</v>
      </c>
      <c r="O31" s="249"/>
      <c r="P31" s="249"/>
      <c r="Q31" s="249"/>
      <c r="R31" s="249">
        <f t="shared" si="7"/>
        <v>0</v>
      </c>
      <c r="S31" s="249"/>
      <c r="T31" s="249"/>
      <c r="U31" s="267"/>
      <c r="V31" s="268">
        <f t="shared" si="2"/>
        <v>204.8306148055207</v>
      </c>
      <c r="W31" s="268"/>
      <c r="X31" s="268">
        <f t="shared" si="3"/>
        <v>204.8306148055207</v>
      </c>
    </row>
    <row r="32" spans="1:24">
      <c r="A32" s="232">
        <v>22</v>
      </c>
      <c r="B32" s="239" t="s">
        <v>297</v>
      </c>
      <c r="C32" s="249">
        <f t="shared" si="4"/>
        <v>62581</v>
      </c>
      <c r="D32" s="249"/>
      <c r="E32" s="249">
        <v>62581</v>
      </c>
      <c r="F32" s="249"/>
      <c r="G32" s="249"/>
      <c r="H32" s="249"/>
      <c r="I32" s="249">
        <f t="shared" si="5"/>
        <v>0</v>
      </c>
      <c r="J32" s="249"/>
      <c r="K32" s="249"/>
      <c r="L32" s="249">
        <f t="shared" si="6"/>
        <v>72781</v>
      </c>
      <c r="M32" s="249">
        <v>10442</v>
      </c>
      <c r="N32" s="249">
        <v>62339</v>
      </c>
      <c r="O32" s="249"/>
      <c r="P32" s="249"/>
      <c r="Q32" s="249"/>
      <c r="R32" s="249">
        <f t="shared" si="7"/>
        <v>0</v>
      </c>
      <c r="S32" s="249"/>
      <c r="T32" s="249"/>
      <c r="U32" s="267"/>
      <c r="V32" s="268">
        <f t="shared" si="2"/>
        <v>116.29887665585402</v>
      </c>
      <c r="W32" s="268"/>
      <c r="X32" s="268">
        <f t="shared" si="3"/>
        <v>99.613301161694451</v>
      </c>
    </row>
    <row r="33" spans="1:24">
      <c r="A33" s="232">
        <v>23</v>
      </c>
      <c r="B33" s="239" t="s">
        <v>298</v>
      </c>
      <c r="C33" s="249">
        <f t="shared" si="4"/>
        <v>5610</v>
      </c>
      <c r="D33" s="249"/>
      <c r="E33" s="249">
        <v>5610</v>
      </c>
      <c r="F33" s="249"/>
      <c r="G33" s="249"/>
      <c r="H33" s="249"/>
      <c r="I33" s="249">
        <f t="shared" si="5"/>
        <v>0</v>
      </c>
      <c r="J33" s="249"/>
      <c r="K33" s="249"/>
      <c r="L33" s="249">
        <f t="shared" si="6"/>
        <v>5851</v>
      </c>
      <c r="M33" s="249"/>
      <c r="N33" s="249">
        <v>5851</v>
      </c>
      <c r="O33" s="249"/>
      <c r="P33" s="249"/>
      <c r="Q33" s="249"/>
      <c r="R33" s="249">
        <f t="shared" si="7"/>
        <v>0</v>
      </c>
      <c r="S33" s="249"/>
      <c r="T33" s="249"/>
      <c r="U33" s="267"/>
      <c r="V33" s="268">
        <f t="shared" si="2"/>
        <v>104.29590017825312</v>
      </c>
      <c r="W33" s="268"/>
      <c r="X33" s="268">
        <f t="shared" si="3"/>
        <v>104.29590017825312</v>
      </c>
    </row>
    <row r="34" spans="1:24">
      <c r="A34" s="232">
        <v>24</v>
      </c>
      <c r="B34" s="239" t="s">
        <v>299</v>
      </c>
      <c r="C34" s="249">
        <f t="shared" si="4"/>
        <v>5231</v>
      </c>
      <c r="D34" s="249"/>
      <c r="E34" s="249">
        <v>5231</v>
      </c>
      <c r="F34" s="249"/>
      <c r="G34" s="249"/>
      <c r="H34" s="249"/>
      <c r="I34" s="249">
        <f t="shared" si="5"/>
        <v>0</v>
      </c>
      <c r="J34" s="249"/>
      <c r="K34" s="249"/>
      <c r="L34" s="249">
        <f t="shared" si="6"/>
        <v>5751</v>
      </c>
      <c r="M34" s="249">
        <v>539</v>
      </c>
      <c r="N34" s="249">
        <v>5212</v>
      </c>
      <c r="O34" s="249"/>
      <c r="P34" s="249"/>
      <c r="Q34" s="249"/>
      <c r="R34" s="249">
        <f t="shared" si="7"/>
        <v>0</v>
      </c>
      <c r="S34" s="249"/>
      <c r="T34" s="249"/>
      <c r="U34" s="267"/>
      <c r="V34" s="268">
        <f t="shared" si="2"/>
        <v>109.94073790862168</v>
      </c>
      <c r="W34" s="268"/>
      <c r="X34" s="268">
        <f t="shared" si="3"/>
        <v>99.636780730261904</v>
      </c>
    </row>
    <row r="35" spans="1:24">
      <c r="A35" s="232">
        <v>25</v>
      </c>
      <c r="B35" s="239" t="s">
        <v>300</v>
      </c>
      <c r="C35" s="249">
        <f t="shared" si="4"/>
        <v>3495</v>
      </c>
      <c r="D35" s="249"/>
      <c r="E35" s="249">
        <v>3495</v>
      </c>
      <c r="F35" s="249"/>
      <c r="G35" s="249"/>
      <c r="H35" s="249"/>
      <c r="I35" s="249">
        <f t="shared" si="5"/>
        <v>0</v>
      </c>
      <c r="J35" s="249"/>
      <c r="K35" s="249"/>
      <c r="L35" s="249">
        <f t="shared" si="6"/>
        <v>4521</v>
      </c>
      <c r="M35" s="249">
        <v>462</v>
      </c>
      <c r="N35" s="249">
        <v>4059</v>
      </c>
      <c r="O35" s="249"/>
      <c r="P35" s="249"/>
      <c r="Q35" s="249"/>
      <c r="R35" s="249">
        <f t="shared" si="7"/>
        <v>0</v>
      </c>
      <c r="S35" s="249"/>
      <c r="T35" s="249"/>
      <c r="U35" s="267"/>
      <c r="V35" s="268">
        <f t="shared" si="2"/>
        <v>129.35622317596568</v>
      </c>
      <c r="W35" s="268"/>
      <c r="X35" s="268">
        <f t="shared" si="3"/>
        <v>116.137339055794</v>
      </c>
    </row>
    <row r="36" spans="1:24">
      <c r="A36" s="232">
        <v>26</v>
      </c>
      <c r="B36" s="239" t="s">
        <v>301</v>
      </c>
      <c r="C36" s="249">
        <f t="shared" si="4"/>
        <v>5046</v>
      </c>
      <c r="D36" s="249"/>
      <c r="E36" s="249">
        <v>5046</v>
      </c>
      <c r="F36" s="249"/>
      <c r="G36" s="249"/>
      <c r="H36" s="249"/>
      <c r="I36" s="249">
        <f t="shared" si="5"/>
        <v>0</v>
      </c>
      <c r="J36" s="249"/>
      <c r="K36" s="249"/>
      <c r="L36" s="249">
        <f t="shared" si="6"/>
        <v>5222</v>
      </c>
      <c r="M36" s="249"/>
      <c r="N36" s="249">
        <v>5222</v>
      </c>
      <c r="O36" s="249"/>
      <c r="P36" s="249"/>
      <c r="Q36" s="249"/>
      <c r="R36" s="249">
        <f t="shared" si="7"/>
        <v>0</v>
      </c>
      <c r="S36" s="249"/>
      <c r="T36" s="249"/>
      <c r="U36" s="267"/>
      <c r="V36" s="268">
        <f t="shared" si="2"/>
        <v>103.48791121680539</v>
      </c>
      <c r="W36" s="268"/>
      <c r="X36" s="268">
        <f t="shared" si="3"/>
        <v>103.48791121680539</v>
      </c>
    </row>
    <row r="37" spans="1:24">
      <c r="A37" s="232">
        <v>27</v>
      </c>
      <c r="B37" s="239" t="s">
        <v>302</v>
      </c>
      <c r="C37" s="249">
        <f t="shared" si="4"/>
        <v>2221</v>
      </c>
      <c r="D37" s="249"/>
      <c r="E37" s="249">
        <v>2221</v>
      </c>
      <c r="F37" s="249"/>
      <c r="G37" s="249"/>
      <c r="H37" s="249"/>
      <c r="I37" s="249">
        <f t="shared" si="5"/>
        <v>0</v>
      </c>
      <c r="J37" s="249"/>
      <c r="K37" s="249"/>
      <c r="L37" s="249">
        <f t="shared" si="6"/>
        <v>1928</v>
      </c>
      <c r="M37" s="249"/>
      <c r="N37" s="249">
        <v>1928</v>
      </c>
      <c r="O37" s="249"/>
      <c r="P37" s="249"/>
      <c r="Q37" s="249"/>
      <c r="R37" s="249">
        <f t="shared" si="7"/>
        <v>0</v>
      </c>
      <c r="S37" s="249"/>
      <c r="T37" s="249"/>
      <c r="U37" s="267"/>
      <c r="V37" s="268">
        <f t="shared" si="2"/>
        <v>86.807744259342627</v>
      </c>
      <c r="W37" s="268"/>
      <c r="X37" s="268">
        <f t="shared" si="3"/>
        <v>86.807744259342627</v>
      </c>
    </row>
    <row r="38" spans="1:24" ht="30">
      <c r="A38" s="232">
        <v>28</v>
      </c>
      <c r="B38" s="239" t="s">
        <v>303</v>
      </c>
      <c r="C38" s="249">
        <f t="shared" si="4"/>
        <v>4918</v>
      </c>
      <c r="D38" s="249"/>
      <c r="E38" s="249">
        <v>4918</v>
      </c>
      <c r="F38" s="249"/>
      <c r="G38" s="249"/>
      <c r="H38" s="249"/>
      <c r="I38" s="249">
        <f t="shared" si="5"/>
        <v>0</v>
      </c>
      <c r="J38" s="249"/>
      <c r="K38" s="249"/>
      <c r="L38" s="249">
        <f t="shared" si="6"/>
        <v>2857</v>
      </c>
      <c r="M38" s="249"/>
      <c r="N38" s="249">
        <v>2857</v>
      </c>
      <c r="O38" s="249"/>
      <c r="P38" s="249"/>
      <c r="Q38" s="249"/>
      <c r="R38" s="249">
        <f t="shared" si="7"/>
        <v>0</v>
      </c>
      <c r="S38" s="249"/>
      <c r="T38" s="249"/>
      <c r="U38" s="267"/>
      <c r="V38" s="268">
        <f t="shared" si="2"/>
        <v>58.092720618137449</v>
      </c>
      <c r="W38" s="268"/>
      <c r="X38" s="268">
        <f t="shared" si="3"/>
        <v>58.092720618137449</v>
      </c>
    </row>
    <row r="39" spans="1:24">
      <c r="A39" s="232">
        <v>29</v>
      </c>
      <c r="B39" s="239" t="s">
        <v>304</v>
      </c>
      <c r="C39" s="249">
        <f t="shared" si="4"/>
        <v>0</v>
      </c>
      <c r="D39" s="249"/>
      <c r="E39" s="249"/>
      <c r="F39" s="249"/>
      <c r="G39" s="249"/>
      <c r="H39" s="249"/>
      <c r="I39" s="249">
        <f t="shared" si="5"/>
        <v>0</v>
      </c>
      <c r="J39" s="249"/>
      <c r="K39" s="249"/>
      <c r="L39" s="249">
        <f t="shared" si="6"/>
        <v>0</v>
      </c>
      <c r="M39" s="249"/>
      <c r="N39" s="249"/>
      <c r="O39" s="249"/>
      <c r="P39" s="249"/>
      <c r="Q39" s="249"/>
      <c r="R39" s="249">
        <f t="shared" si="7"/>
        <v>0</v>
      </c>
      <c r="S39" s="249"/>
      <c r="T39" s="249"/>
      <c r="U39" s="267"/>
      <c r="V39" s="268"/>
      <c r="W39" s="268"/>
      <c r="X39" s="268"/>
    </row>
    <row r="40" spans="1:24">
      <c r="A40" s="232">
        <v>30</v>
      </c>
      <c r="B40" s="239" t="s">
        <v>305</v>
      </c>
      <c r="C40" s="249">
        <f t="shared" si="4"/>
        <v>7203</v>
      </c>
      <c r="D40" s="249"/>
      <c r="E40" s="249">
        <v>7203</v>
      </c>
      <c r="F40" s="249"/>
      <c r="G40" s="249"/>
      <c r="H40" s="249"/>
      <c r="I40" s="249">
        <f t="shared" si="5"/>
        <v>0</v>
      </c>
      <c r="J40" s="249"/>
      <c r="K40" s="249"/>
      <c r="L40" s="249">
        <f t="shared" si="6"/>
        <v>20098</v>
      </c>
      <c r="M40" s="249"/>
      <c r="N40" s="249">
        <v>20098</v>
      </c>
      <c r="O40" s="249"/>
      <c r="P40" s="249"/>
      <c r="Q40" s="249"/>
      <c r="R40" s="249">
        <f t="shared" si="7"/>
        <v>0</v>
      </c>
      <c r="S40" s="249"/>
      <c r="T40" s="249"/>
      <c r="U40" s="267"/>
      <c r="V40" s="268">
        <f t="shared" si="2"/>
        <v>279.02262945994727</v>
      </c>
      <c r="W40" s="268"/>
      <c r="X40" s="268">
        <f t="shared" si="3"/>
        <v>279.02262945994727</v>
      </c>
    </row>
    <row r="41" spans="1:24">
      <c r="A41" s="232">
        <v>31</v>
      </c>
      <c r="B41" s="239" t="s">
        <v>306</v>
      </c>
      <c r="C41" s="249">
        <f t="shared" si="4"/>
        <v>5458</v>
      </c>
      <c r="D41" s="249"/>
      <c r="E41" s="249">
        <v>5458</v>
      </c>
      <c r="F41" s="249"/>
      <c r="G41" s="249"/>
      <c r="H41" s="249"/>
      <c r="I41" s="249">
        <f t="shared" si="5"/>
        <v>0</v>
      </c>
      <c r="J41" s="249"/>
      <c r="K41" s="249"/>
      <c r="L41" s="249">
        <f t="shared" si="6"/>
        <v>22394</v>
      </c>
      <c r="M41" s="249"/>
      <c r="N41" s="249">
        <v>22394</v>
      </c>
      <c r="O41" s="249"/>
      <c r="P41" s="249"/>
      <c r="Q41" s="249"/>
      <c r="R41" s="249">
        <f t="shared" si="7"/>
        <v>0</v>
      </c>
      <c r="S41" s="249"/>
      <c r="T41" s="249"/>
      <c r="U41" s="267"/>
      <c r="V41" s="268">
        <f t="shared" si="2"/>
        <v>410.29681201905464</v>
      </c>
      <c r="W41" s="268"/>
      <c r="X41" s="268">
        <f t="shared" si="3"/>
        <v>410.29681201905464</v>
      </c>
    </row>
    <row r="42" spans="1:24">
      <c r="A42" s="232">
        <v>32</v>
      </c>
      <c r="B42" s="239" t="s">
        <v>307</v>
      </c>
      <c r="C42" s="249">
        <f t="shared" si="4"/>
        <v>36971</v>
      </c>
      <c r="D42" s="249"/>
      <c r="E42" s="249">
        <v>36971</v>
      </c>
      <c r="F42" s="249"/>
      <c r="G42" s="249"/>
      <c r="H42" s="249"/>
      <c r="I42" s="249">
        <f t="shared" si="5"/>
        <v>0</v>
      </c>
      <c r="J42" s="249"/>
      <c r="K42" s="249"/>
      <c r="L42" s="249">
        <f t="shared" si="6"/>
        <v>70240</v>
      </c>
      <c r="M42" s="249"/>
      <c r="N42" s="249">
        <v>70240</v>
      </c>
      <c r="O42" s="249"/>
      <c r="P42" s="249"/>
      <c r="Q42" s="249"/>
      <c r="R42" s="249">
        <f t="shared" si="7"/>
        <v>0</v>
      </c>
      <c r="S42" s="249"/>
      <c r="T42" s="249"/>
      <c r="U42" s="267"/>
      <c r="V42" s="268">
        <f t="shared" si="2"/>
        <v>189.98674636877553</v>
      </c>
      <c r="W42" s="268"/>
      <c r="X42" s="268">
        <f t="shared" si="3"/>
        <v>189.98674636877553</v>
      </c>
    </row>
    <row r="43" spans="1:24">
      <c r="A43" s="232">
        <v>33</v>
      </c>
      <c r="B43" s="239" t="s">
        <v>308</v>
      </c>
      <c r="C43" s="249">
        <f t="shared" si="4"/>
        <v>15271</v>
      </c>
      <c r="D43" s="249"/>
      <c r="E43" s="249">
        <v>15271</v>
      </c>
      <c r="F43" s="249"/>
      <c r="G43" s="249"/>
      <c r="H43" s="249"/>
      <c r="I43" s="249">
        <f t="shared" si="5"/>
        <v>0</v>
      </c>
      <c r="J43" s="249"/>
      <c r="K43" s="249"/>
      <c r="L43" s="249">
        <f t="shared" si="6"/>
        <v>27760</v>
      </c>
      <c r="M43" s="249"/>
      <c r="N43" s="249">
        <v>27760</v>
      </c>
      <c r="O43" s="249"/>
      <c r="P43" s="249"/>
      <c r="Q43" s="249"/>
      <c r="R43" s="249">
        <f t="shared" si="7"/>
        <v>0</v>
      </c>
      <c r="S43" s="249"/>
      <c r="T43" s="249"/>
      <c r="U43" s="267"/>
      <c r="V43" s="268">
        <f t="shared" si="2"/>
        <v>181.78246349289503</v>
      </c>
      <c r="W43" s="268"/>
      <c r="X43" s="268">
        <f t="shared" si="3"/>
        <v>181.78246349289503</v>
      </c>
    </row>
    <row r="44" spans="1:24" ht="30">
      <c r="A44" s="232">
        <v>34</v>
      </c>
      <c r="B44" s="239" t="s">
        <v>309</v>
      </c>
      <c r="C44" s="249">
        <f t="shared" si="4"/>
        <v>55379</v>
      </c>
      <c r="D44" s="249"/>
      <c r="E44" s="249">
        <f>48564+6815</f>
        <v>55379</v>
      </c>
      <c r="F44" s="249"/>
      <c r="G44" s="249"/>
      <c r="H44" s="249"/>
      <c r="I44" s="249">
        <f t="shared" si="5"/>
        <v>0</v>
      </c>
      <c r="J44" s="249"/>
      <c r="K44" s="249"/>
      <c r="L44" s="249">
        <f t="shared" si="6"/>
        <v>72132</v>
      </c>
      <c r="M44" s="249"/>
      <c r="N44" s="249">
        <f>64637+7495</f>
        <v>72132</v>
      </c>
      <c r="O44" s="249"/>
      <c r="P44" s="249"/>
      <c r="Q44" s="249"/>
      <c r="R44" s="249">
        <f t="shared" si="7"/>
        <v>0</v>
      </c>
      <c r="S44" s="249"/>
      <c r="T44" s="249"/>
      <c r="U44" s="267"/>
      <c r="V44" s="268">
        <f t="shared" si="2"/>
        <v>130.25153939218836</v>
      </c>
      <c r="W44" s="268"/>
      <c r="X44" s="268">
        <f t="shared" si="3"/>
        <v>130.25153939218836</v>
      </c>
    </row>
    <row r="45" spans="1:24">
      <c r="A45" s="232">
        <v>35</v>
      </c>
      <c r="B45" s="239" t="s">
        <v>310</v>
      </c>
      <c r="C45" s="249">
        <f t="shared" si="4"/>
        <v>23996</v>
      </c>
      <c r="D45" s="249"/>
      <c r="E45" s="249">
        <f>21896+2100</f>
        <v>23996</v>
      </c>
      <c r="F45" s="249"/>
      <c r="G45" s="249"/>
      <c r="H45" s="249"/>
      <c r="I45" s="249">
        <f t="shared" si="5"/>
        <v>0</v>
      </c>
      <c r="J45" s="249"/>
      <c r="K45" s="249"/>
      <c r="L45" s="249">
        <f t="shared" si="6"/>
        <v>47551</v>
      </c>
      <c r="M45" s="249"/>
      <c r="N45" s="249">
        <v>47551</v>
      </c>
      <c r="O45" s="249"/>
      <c r="P45" s="249"/>
      <c r="Q45" s="249"/>
      <c r="R45" s="249">
        <f t="shared" si="7"/>
        <v>0</v>
      </c>
      <c r="S45" s="249"/>
      <c r="T45" s="249"/>
      <c r="U45" s="267"/>
      <c r="V45" s="268">
        <f t="shared" si="2"/>
        <v>198.16219369894984</v>
      </c>
      <c r="W45" s="268"/>
      <c r="X45" s="268">
        <f t="shared" si="3"/>
        <v>198.16219369894984</v>
      </c>
    </row>
    <row r="46" spans="1:24" ht="30">
      <c r="A46" s="232">
        <v>36</v>
      </c>
      <c r="B46" s="233" t="s">
        <v>311</v>
      </c>
      <c r="C46" s="249">
        <f t="shared" si="4"/>
        <v>1859</v>
      </c>
      <c r="D46" s="249"/>
      <c r="E46" s="249">
        <v>1859</v>
      </c>
      <c r="F46" s="249"/>
      <c r="G46" s="249"/>
      <c r="H46" s="249"/>
      <c r="I46" s="249">
        <f t="shared" si="5"/>
        <v>0</v>
      </c>
      <c r="J46" s="249"/>
      <c r="K46" s="249"/>
      <c r="L46" s="249">
        <f t="shared" si="6"/>
        <v>3367</v>
      </c>
      <c r="M46" s="249"/>
      <c r="N46" s="249">
        <v>3367</v>
      </c>
      <c r="O46" s="249"/>
      <c r="P46" s="249"/>
      <c r="Q46" s="249"/>
      <c r="R46" s="249">
        <f t="shared" si="7"/>
        <v>0</v>
      </c>
      <c r="S46" s="249"/>
      <c r="T46" s="249"/>
      <c r="U46" s="267"/>
      <c r="V46" s="268">
        <f t="shared" si="2"/>
        <v>181.11888111888112</v>
      </c>
      <c r="W46" s="268"/>
      <c r="X46" s="268">
        <f t="shared" si="3"/>
        <v>181.11888111888112</v>
      </c>
    </row>
    <row r="47" spans="1:24">
      <c r="A47" s="232">
        <v>37</v>
      </c>
      <c r="B47" s="233" t="s">
        <v>312</v>
      </c>
      <c r="C47" s="249">
        <f t="shared" si="4"/>
        <v>0</v>
      </c>
      <c r="D47" s="249"/>
      <c r="E47" s="249"/>
      <c r="F47" s="249"/>
      <c r="G47" s="249"/>
      <c r="H47" s="249"/>
      <c r="I47" s="249">
        <f t="shared" si="5"/>
        <v>0</v>
      </c>
      <c r="J47" s="249"/>
      <c r="K47" s="249"/>
      <c r="L47" s="249">
        <f t="shared" si="6"/>
        <v>0</v>
      </c>
      <c r="M47" s="249"/>
      <c r="N47" s="249"/>
      <c r="O47" s="249"/>
      <c r="P47" s="249"/>
      <c r="Q47" s="249"/>
      <c r="R47" s="249">
        <f t="shared" si="7"/>
        <v>0</v>
      </c>
      <c r="S47" s="249"/>
      <c r="T47" s="249"/>
      <c r="U47" s="267"/>
      <c r="V47" s="268"/>
      <c r="W47" s="268"/>
      <c r="X47" s="268"/>
    </row>
    <row r="48" spans="1:24">
      <c r="A48" s="232">
        <v>38</v>
      </c>
      <c r="B48" s="234" t="s">
        <v>401</v>
      </c>
      <c r="C48" s="249">
        <f t="shared" si="4"/>
        <v>2342</v>
      </c>
      <c r="D48" s="249"/>
      <c r="E48" s="249">
        <v>2342</v>
      </c>
      <c r="F48" s="249"/>
      <c r="G48" s="249"/>
      <c r="H48" s="249"/>
      <c r="I48" s="249">
        <f t="shared" si="5"/>
        <v>0</v>
      </c>
      <c r="J48" s="249"/>
      <c r="K48" s="249"/>
      <c r="L48" s="249">
        <f t="shared" si="6"/>
        <v>3743</v>
      </c>
      <c r="M48" s="249">
        <v>1140</v>
      </c>
      <c r="N48" s="249">
        <v>2603</v>
      </c>
      <c r="O48" s="249"/>
      <c r="P48" s="249"/>
      <c r="Q48" s="249"/>
      <c r="R48" s="249">
        <f t="shared" si="7"/>
        <v>0</v>
      </c>
      <c r="S48" s="249"/>
      <c r="T48" s="249"/>
      <c r="U48" s="267"/>
      <c r="V48" s="268">
        <f t="shared" si="2"/>
        <v>159.82066609735267</v>
      </c>
      <c r="W48" s="268"/>
      <c r="X48" s="268">
        <f t="shared" si="3"/>
        <v>111.14432109308284</v>
      </c>
    </row>
    <row r="49" spans="1:24">
      <c r="A49" s="232">
        <v>39</v>
      </c>
      <c r="B49" s="235" t="s">
        <v>402</v>
      </c>
      <c r="C49" s="249">
        <f t="shared" si="4"/>
        <v>731</v>
      </c>
      <c r="D49" s="249"/>
      <c r="E49" s="249">
        <v>731</v>
      </c>
      <c r="F49" s="249"/>
      <c r="G49" s="249"/>
      <c r="H49" s="249"/>
      <c r="I49" s="249">
        <f t="shared" si="5"/>
        <v>0</v>
      </c>
      <c r="J49" s="249"/>
      <c r="K49" s="249"/>
      <c r="L49" s="249">
        <f t="shared" si="6"/>
        <v>933</v>
      </c>
      <c r="M49" s="249"/>
      <c r="N49" s="249">
        <v>933</v>
      </c>
      <c r="O49" s="249"/>
      <c r="P49" s="249"/>
      <c r="Q49" s="249"/>
      <c r="R49" s="249">
        <f t="shared" si="7"/>
        <v>0</v>
      </c>
      <c r="S49" s="249"/>
      <c r="T49" s="249"/>
      <c r="U49" s="267"/>
      <c r="V49" s="268">
        <f t="shared" si="2"/>
        <v>127.63337893296853</v>
      </c>
      <c r="W49" s="268"/>
      <c r="X49" s="268">
        <f t="shared" si="3"/>
        <v>127.63337893296853</v>
      </c>
    </row>
    <row r="50" spans="1:24">
      <c r="A50" s="232">
        <v>40</v>
      </c>
      <c r="B50" s="234" t="s">
        <v>321</v>
      </c>
      <c r="C50" s="249">
        <f t="shared" si="4"/>
        <v>734</v>
      </c>
      <c r="D50" s="249"/>
      <c r="E50" s="249">
        <v>734</v>
      </c>
      <c r="F50" s="249"/>
      <c r="G50" s="249"/>
      <c r="H50" s="249"/>
      <c r="I50" s="249">
        <f t="shared" si="5"/>
        <v>0</v>
      </c>
      <c r="J50" s="249"/>
      <c r="K50" s="249"/>
      <c r="L50" s="249">
        <f t="shared" si="6"/>
        <v>703</v>
      </c>
      <c r="M50" s="249"/>
      <c r="N50" s="249">
        <v>703</v>
      </c>
      <c r="O50" s="249"/>
      <c r="P50" s="249"/>
      <c r="Q50" s="249"/>
      <c r="R50" s="249">
        <f t="shared" si="7"/>
        <v>0</v>
      </c>
      <c r="S50" s="249"/>
      <c r="T50" s="249"/>
      <c r="U50" s="267"/>
      <c r="V50" s="268">
        <f t="shared" si="2"/>
        <v>95.776566757493185</v>
      </c>
      <c r="W50" s="268"/>
      <c r="X50" s="268">
        <f t="shared" si="3"/>
        <v>95.776566757493185</v>
      </c>
    </row>
    <row r="51" spans="1:24" ht="25.5">
      <c r="A51" s="232">
        <v>41</v>
      </c>
      <c r="B51" s="236" t="s">
        <v>403</v>
      </c>
      <c r="C51" s="249">
        <f t="shared" si="4"/>
        <v>580</v>
      </c>
      <c r="D51" s="249"/>
      <c r="E51" s="249">
        <v>580</v>
      </c>
      <c r="F51" s="249"/>
      <c r="G51" s="249"/>
      <c r="H51" s="249"/>
      <c r="I51" s="249">
        <f t="shared" si="5"/>
        <v>0</v>
      </c>
      <c r="J51" s="249"/>
      <c r="K51" s="249"/>
      <c r="L51" s="249">
        <f t="shared" si="6"/>
        <v>1092</v>
      </c>
      <c r="M51" s="249"/>
      <c r="N51" s="249">
        <v>1092</v>
      </c>
      <c r="O51" s="249"/>
      <c r="P51" s="249"/>
      <c r="Q51" s="249"/>
      <c r="R51" s="249">
        <f t="shared" si="7"/>
        <v>0</v>
      </c>
      <c r="S51" s="249"/>
      <c r="T51" s="249"/>
      <c r="U51" s="267"/>
      <c r="V51" s="268">
        <f t="shared" si="2"/>
        <v>188.27586206896552</v>
      </c>
      <c r="W51" s="268"/>
      <c r="X51" s="268">
        <f t="shared" si="3"/>
        <v>188.27586206896552</v>
      </c>
    </row>
    <row r="52" spans="1:24">
      <c r="A52" s="232">
        <v>42</v>
      </c>
      <c r="B52" s="237" t="s">
        <v>320</v>
      </c>
      <c r="C52" s="249">
        <f t="shared" si="4"/>
        <v>546</v>
      </c>
      <c r="D52" s="249"/>
      <c r="E52" s="249">
        <f>546</f>
        <v>546</v>
      </c>
      <c r="F52" s="249"/>
      <c r="G52" s="249"/>
      <c r="H52" s="249"/>
      <c r="I52" s="249">
        <f t="shared" si="5"/>
        <v>0</v>
      </c>
      <c r="J52" s="249"/>
      <c r="K52" s="249"/>
      <c r="L52" s="249">
        <f t="shared" si="6"/>
        <v>539</v>
      </c>
      <c r="M52" s="249"/>
      <c r="N52" s="249">
        <v>539</v>
      </c>
      <c r="O52" s="249"/>
      <c r="P52" s="249"/>
      <c r="Q52" s="249"/>
      <c r="R52" s="249">
        <f t="shared" si="7"/>
        <v>0</v>
      </c>
      <c r="S52" s="249"/>
      <c r="T52" s="249"/>
      <c r="U52" s="267"/>
      <c r="V52" s="268">
        <f t="shared" si="2"/>
        <v>98.71794871794873</v>
      </c>
      <c r="W52" s="268"/>
      <c r="X52" s="268">
        <f t="shared" si="3"/>
        <v>98.71794871794873</v>
      </c>
    </row>
    <row r="53" spans="1:24">
      <c r="A53" s="232">
        <v>43</v>
      </c>
      <c r="B53" s="234" t="s">
        <v>404</v>
      </c>
      <c r="C53" s="249">
        <f t="shared" si="4"/>
        <v>747</v>
      </c>
      <c r="D53" s="249"/>
      <c r="E53" s="249">
        <f>647+100</f>
        <v>747</v>
      </c>
      <c r="F53" s="249"/>
      <c r="G53" s="249"/>
      <c r="H53" s="249"/>
      <c r="I53" s="249">
        <f t="shared" si="5"/>
        <v>0</v>
      </c>
      <c r="J53" s="249"/>
      <c r="K53" s="249"/>
      <c r="L53" s="249">
        <f t="shared" si="6"/>
        <v>735</v>
      </c>
      <c r="M53" s="249"/>
      <c r="N53" s="249">
        <v>735</v>
      </c>
      <c r="O53" s="249"/>
      <c r="P53" s="249"/>
      <c r="Q53" s="249"/>
      <c r="R53" s="249">
        <f t="shared" si="7"/>
        <v>0</v>
      </c>
      <c r="S53" s="249"/>
      <c r="T53" s="249"/>
      <c r="U53" s="267"/>
      <c r="V53" s="268">
        <f t="shared" si="2"/>
        <v>98.393574297188763</v>
      </c>
      <c r="W53" s="268"/>
      <c r="X53" s="268">
        <f t="shared" si="3"/>
        <v>98.393574297188763</v>
      </c>
    </row>
    <row r="54" spans="1:24">
      <c r="A54" s="232">
        <v>44</v>
      </c>
      <c r="B54" s="238" t="s">
        <v>405</v>
      </c>
      <c r="C54" s="249">
        <f t="shared" si="4"/>
        <v>2133</v>
      </c>
      <c r="D54" s="249"/>
      <c r="E54" s="249">
        <f>1603+530</f>
        <v>2133</v>
      </c>
      <c r="F54" s="249"/>
      <c r="G54" s="249"/>
      <c r="H54" s="249"/>
      <c r="I54" s="249">
        <f t="shared" si="5"/>
        <v>0</v>
      </c>
      <c r="J54" s="249"/>
      <c r="K54" s="249"/>
      <c r="L54" s="249">
        <f t="shared" si="6"/>
        <v>2197</v>
      </c>
      <c r="M54" s="249"/>
      <c r="N54" s="249">
        <v>2197</v>
      </c>
      <c r="O54" s="249"/>
      <c r="P54" s="249"/>
      <c r="Q54" s="249"/>
      <c r="R54" s="249">
        <f t="shared" si="7"/>
        <v>0</v>
      </c>
      <c r="S54" s="249"/>
      <c r="T54" s="249"/>
      <c r="U54" s="267"/>
      <c r="V54" s="268">
        <f t="shared" si="2"/>
        <v>103.00046882325364</v>
      </c>
      <c r="W54" s="268"/>
      <c r="X54" s="268">
        <f t="shared" si="3"/>
        <v>103.00046882325364</v>
      </c>
    </row>
    <row r="55" spans="1:24">
      <c r="A55" s="232">
        <v>45</v>
      </c>
      <c r="B55" s="234" t="s">
        <v>406</v>
      </c>
      <c r="C55" s="249">
        <f t="shared" si="4"/>
        <v>2391</v>
      </c>
      <c r="D55" s="249"/>
      <c r="E55" s="249">
        <v>2391</v>
      </c>
      <c r="F55" s="249"/>
      <c r="G55" s="249"/>
      <c r="H55" s="249"/>
      <c r="I55" s="249">
        <f t="shared" si="5"/>
        <v>0</v>
      </c>
      <c r="J55" s="249"/>
      <c r="K55" s="249"/>
      <c r="L55" s="249">
        <f t="shared" si="6"/>
        <v>2158</v>
      </c>
      <c r="M55" s="249"/>
      <c r="N55" s="249">
        <v>2158</v>
      </c>
      <c r="O55" s="249"/>
      <c r="P55" s="249"/>
      <c r="Q55" s="249"/>
      <c r="R55" s="249">
        <f t="shared" si="7"/>
        <v>0</v>
      </c>
      <c r="S55" s="249"/>
      <c r="T55" s="249"/>
      <c r="U55" s="267"/>
      <c r="V55" s="268">
        <f t="shared" si="2"/>
        <v>90.255123379339182</v>
      </c>
      <c r="W55" s="268"/>
      <c r="X55" s="268">
        <f t="shared" si="3"/>
        <v>90.255123379339182</v>
      </c>
    </row>
    <row r="56" spans="1:24">
      <c r="A56" s="232">
        <v>46</v>
      </c>
      <c r="B56" s="237" t="s">
        <v>384</v>
      </c>
      <c r="C56" s="249">
        <f t="shared" si="4"/>
        <v>1511</v>
      </c>
      <c r="D56" s="249"/>
      <c r="E56" s="249">
        <v>1511</v>
      </c>
      <c r="F56" s="249"/>
      <c r="G56" s="249"/>
      <c r="H56" s="249"/>
      <c r="I56" s="249">
        <f t="shared" si="5"/>
        <v>0</v>
      </c>
      <c r="J56" s="249"/>
      <c r="K56" s="249"/>
      <c r="L56" s="249">
        <f t="shared" si="6"/>
        <v>2536</v>
      </c>
      <c r="M56" s="249"/>
      <c r="N56" s="249">
        <v>2390</v>
      </c>
      <c r="O56" s="249"/>
      <c r="P56" s="249"/>
      <c r="Q56" s="249"/>
      <c r="R56" s="249">
        <f t="shared" si="7"/>
        <v>146</v>
      </c>
      <c r="S56" s="249"/>
      <c r="T56" s="249">
        <v>146</v>
      </c>
      <c r="U56" s="267"/>
      <c r="V56" s="268">
        <f t="shared" si="2"/>
        <v>167.83587028457976</v>
      </c>
      <c r="W56" s="268"/>
      <c r="X56" s="268">
        <f t="shared" si="3"/>
        <v>158.17339510258108</v>
      </c>
    </row>
    <row r="57" spans="1:24">
      <c r="A57" s="232">
        <v>47</v>
      </c>
      <c r="B57" s="234" t="s">
        <v>322</v>
      </c>
      <c r="C57" s="249">
        <f t="shared" si="4"/>
        <v>452</v>
      </c>
      <c r="D57" s="249"/>
      <c r="E57" s="249">
        <v>452</v>
      </c>
      <c r="F57" s="249"/>
      <c r="G57" s="249"/>
      <c r="H57" s="249"/>
      <c r="I57" s="249">
        <f t="shared" si="5"/>
        <v>0</v>
      </c>
      <c r="J57" s="249"/>
      <c r="K57" s="249"/>
      <c r="L57" s="249">
        <f t="shared" si="6"/>
        <v>428</v>
      </c>
      <c r="M57" s="249"/>
      <c r="N57" s="249">
        <v>428</v>
      </c>
      <c r="O57" s="249"/>
      <c r="P57" s="249"/>
      <c r="Q57" s="249"/>
      <c r="R57" s="249">
        <f t="shared" si="7"/>
        <v>0</v>
      </c>
      <c r="S57" s="249"/>
      <c r="T57" s="249"/>
      <c r="U57" s="267"/>
      <c r="V57" s="268">
        <f t="shared" si="2"/>
        <v>94.690265486725664</v>
      </c>
      <c r="W57" s="268"/>
      <c r="X57" s="268">
        <f t="shared" si="3"/>
        <v>94.690265486725664</v>
      </c>
    </row>
    <row r="58" spans="1:24" ht="25.5">
      <c r="A58" s="232">
        <v>48</v>
      </c>
      <c r="B58" s="237" t="s">
        <v>407</v>
      </c>
      <c r="C58" s="249">
        <f t="shared" si="4"/>
        <v>906</v>
      </c>
      <c r="D58" s="249"/>
      <c r="E58" s="249">
        <v>906</v>
      </c>
      <c r="F58" s="249"/>
      <c r="G58" s="249"/>
      <c r="H58" s="249"/>
      <c r="I58" s="249">
        <f t="shared" si="5"/>
        <v>0</v>
      </c>
      <c r="J58" s="249"/>
      <c r="K58" s="249"/>
      <c r="L58" s="249">
        <f t="shared" si="6"/>
        <v>898</v>
      </c>
      <c r="M58" s="249"/>
      <c r="N58" s="249">
        <v>898</v>
      </c>
      <c r="O58" s="249"/>
      <c r="P58" s="249"/>
      <c r="Q58" s="249"/>
      <c r="R58" s="249">
        <f t="shared" si="7"/>
        <v>0</v>
      </c>
      <c r="S58" s="249"/>
      <c r="T58" s="249"/>
      <c r="U58" s="267"/>
      <c r="V58" s="268">
        <f t="shared" si="2"/>
        <v>99.116997792494473</v>
      </c>
      <c r="W58" s="268"/>
      <c r="X58" s="268">
        <f t="shared" si="3"/>
        <v>99.116997792494473</v>
      </c>
    </row>
    <row r="59" spans="1:24">
      <c r="A59" s="232">
        <v>49</v>
      </c>
      <c r="B59" s="234" t="s">
        <v>408</v>
      </c>
      <c r="C59" s="249">
        <f t="shared" si="4"/>
        <v>939</v>
      </c>
      <c r="D59" s="249"/>
      <c r="E59" s="249">
        <v>939</v>
      </c>
      <c r="F59" s="249"/>
      <c r="G59" s="249"/>
      <c r="H59" s="249"/>
      <c r="I59" s="249">
        <f t="shared" si="5"/>
        <v>0</v>
      </c>
      <c r="J59" s="249"/>
      <c r="K59" s="249"/>
      <c r="L59" s="249">
        <f t="shared" si="6"/>
        <v>846</v>
      </c>
      <c r="M59" s="249"/>
      <c r="N59" s="249">
        <v>846</v>
      </c>
      <c r="O59" s="249"/>
      <c r="P59" s="249"/>
      <c r="Q59" s="249"/>
      <c r="R59" s="249">
        <f t="shared" si="7"/>
        <v>0</v>
      </c>
      <c r="S59" s="249"/>
      <c r="T59" s="249"/>
      <c r="U59" s="267"/>
      <c r="V59" s="268">
        <f t="shared" si="2"/>
        <v>90.095846645367416</v>
      </c>
      <c r="W59" s="268"/>
      <c r="X59" s="268">
        <f t="shared" si="3"/>
        <v>90.095846645367416</v>
      </c>
    </row>
    <row r="60" spans="1:24">
      <c r="A60" s="232">
        <v>50</v>
      </c>
      <c r="B60" s="234" t="s">
        <v>324</v>
      </c>
      <c r="C60" s="249">
        <f t="shared" si="4"/>
        <v>550</v>
      </c>
      <c r="D60" s="249"/>
      <c r="E60" s="249">
        <v>550</v>
      </c>
      <c r="F60" s="249"/>
      <c r="G60" s="249"/>
      <c r="H60" s="249"/>
      <c r="I60" s="249">
        <f t="shared" si="5"/>
        <v>0</v>
      </c>
      <c r="J60" s="249"/>
      <c r="K60" s="249"/>
      <c r="L60" s="249">
        <f t="shared" si="6"/>
        <v>710</v>
      </c>
      <c r="M60" s="249"/>
      <c r="N60" s="249">
        <v>510</v>
      </c>
      <c r="O60" s="249"/>
      <c r="P60" s="249"/>
      <c r="Q60" s="249">
        <v>200</v>
      </c>
      <c r="R60" s="249">
        <f t="shared" si="7"/>
        <v>0</v>
      </c>
      <c r="S60" s="249"/>
      <c r="T60" s="249"/>
      <c r="U60" s="267"/>
      <c r="V60" s="268">
        <f t="shared" si="2"/>
        <v>129.09090909090909</v>
      </c>
      <c r="W60" s="268"/>
      <c r="X60" s="268">
        <f t="shared" si="3"/>
        <v>92.72727272727272</v>
      </c>
    </row>
    <row r="61" spans="1:24">
      <c r="A61" s="232">
        <v>51</v>
      </c>
      <c r="B61" s="234" t="s">
        <v>409</v>
      </c>
      <c r="C61" s="249">
        <f t="shared" si="4"/>
        <v>570</v>
      </c>
      <c r="D61" s="249"/>
      <c r="E61" s="249">
        <v>570</v>
      </c>
      <c r="F61" s="249"/>
      <c r="G61" s="249"/>
      <c r="H61" s="249"/>
      <c r="I61" s="249">
        <f t="shared" si="5"/>
        <v>0</v>
      </c>
      <c r="J61" s="249"/>
      <c r="K61" s="249"/>
      <c r="L61" s="249">
        <f t="shared" si="6"/>
        <v>784</v>
      </c>
      <c r="M61" s="249"/>
      <c r="N61" s="249">
        <v>527</v>
      </c>
      <c r="O61" s="249"/>
      <c r="P61" s="249"/>
      <c r="Q61" s="249">
        <v>257</v>
      </c>
      <c r="R61" s="249">
        <f t="shared" si="7"/>
        <v>0</v>
      </c>
      <c r="S61" s="249"/>
      <c r="T61" s="249"/>
      <c r="U61" s="267"/>
      <c r="V61" s="268">
        <f t="shared" si="2"/>
        <v>137.54385964912282</v>
      </c>
      <c r="W61" s="268"/>
      <c r="X61" s="268">
        <f t="shared" si="3"/>
        <v>92.456140350877192</v>
      </c>
    </row>
    <row r="62" spans="1:24">
      <c r="A62" s="232">
        <v>52</v>
      </c>
      <c r="B62" s="234" t="s">
        <v>325</v>
      </c>
      <c r="C62" s="249">
        <f t="shared" si="4"/>
        <v>361</v>
      </c>
      <c r="D62" s="249"/>
      <c r="E62" s="249">
        <v>361</v>
      </c>
      <c r="F62" s="249"/>
      <c r="G62" s="249"/>
      <c r="H62" s="249"/>
      <c r="I62" s="249">
        <f t="shared" si="5"/>
        <v>0</v>
      </c>
      <c r="J62" s="249"/>
      <c r="K62" s="249"/>
      <c r="L62" s="249">
        <f t="shared" si="6"/>
        <v>1112</v>
      </c>
      <c r="M62" s="249"/>
      <c r="N62" s="249">
        <v>1112</v>
      </c>
      <c r="O62" s="249"/>
      <c r="P62" s="249"/>
      <c r="Q62" s="249"/>
      <c r="R62" s="249">
        <f t="shared" si="7"/>
        <v>0</v>
      </c>
      <c r="S62" s="249"/>
      <c r="T62" s="249"/>
      <c r="U62" s="267"/>
      <c r="V62" s="268">
        <f t="shared" si="2"/>
        <v>308.03324099722988</v>
      </c>
      <c r="W62" s="268"/>
      <c r="X62" s="268">
        <f t="shared" si="3"/>
        <v>308.03324099722988</v>
      </c>
    </row>
    <row r="63" spans="1:24" s="270" customFormat="1">
      <c r="A63" s="232">
        <v>53</v>
      </c>
      <c r="B63" s="237" t="s">
        <v>323</v>
      </c>
      <c r="C63" s="249">
        <f t="shared" si="4"/>
        <v>592</v>
      </c>
      <c r="D63" s="269"/>
      <c r="E63" s="269">
        <v>592</v>
      </c>
      <c r="F63" s="269"/>
      <c r="G63" s="269"/>
      <c r="H63" s="269"/>
      <c r="I63" s="249">
        <f t="shared" si="5"/>
        <v>0</v>
      </c>
      <c r="J63" s="269"/>
      <c r="K63" s="269"/>
      <c r="L63" s="249">
        <f t="shared" si="6"/>
        <v>451</v>
      </c>
      <c r="M63" s="269"/>
      <c r="N63" s="269">
        <v>451</v>
      </c>
      <c r="O63" s="269"/>
      <c r="P63" s="269"/>
      <c r="Q63" s="269"/>
      <c r="R63" s="249">
        <f t="shared" si="7"/>
        <v>0</v>
      </c>
      <c r="S63" s="269"/>
      <c r="T63" s="269"/>
      <c r="U63" s="269"/>
      <c r="V63" s="268">
        <f t="shared" si="2"/>
        <v>76.182432432432435</v>
      </c>
      <c r="W63" s="268"/>
      <c r="X63" s="268">
        <f t="shared" si="3"/>
        <v>76.182432432432435</v>
      </c>
    </row>
    <row r="64" spans="1:24">
      <c r="A64" s="232">
        <v>54</v>
      </c>
      <c r="B64" s="237" t="s">
        <v>410</v>
      </c>
      <c r="C64" s="249">
        <f t="shared" si="4"/>
        <v>486</v>
      </c>
      <c r="D64" s="249"/>
      <c r="E64" s="249">
        <v>486</v>
      </c>
      <c r="F64" s="249"/>
      <c r="G64" s="249"/>
      <c r="H64" s="249"/>
      <c r="I64" s="249">
        <f t="shared" si="5"/>
        <v>0</v>
      </c>
      <c r="J64" s="249"/>
      <c r="K64" s="249"/>
      <c r="L64" s="249">
        <f t="shared" si="6"/>
        <v>1012</v>
      </c>
      <c r="M64" s="249"/>
      <c r="N64" s="249">
        <v>1012</v>
      </c>
      <c r="O64" s="249"/>
      <c r="P64" s="249"/>
      <c r="Q64" s="249"/>
      <c r="R64" s="249">
        <f t="shared" si="7"/>
        <v>0</v>
      </c>
      <c r="S64" s="249"/>
      <c r="T64" s="249"/>
      <c r="U64" s="267"/>
      <c r="V64" s="268">
        <f t="shared" si="2"/>
        <v>208.23045267489712</v>
      </c>
      <c r="W64" s="268"/>
      <c r="X64" s="268">
        <f t="shared" si="3"/>
        <v>208.23045267489712</v>
      </c>
    </row>
    <row r="65" spans="1:24">
      <c r="A65" s="232">
        <v>55</v>
      </c>
      <c r="B65" s="239" t="s">
        <v>414</v>
      </c>
      <c r="C65" s="249">
        <f t="shared" si="4"/>
        <v>0</v>
      </c>
      <c r="D65" s="249"/>
      <c r="E65" s="249"/>
      <c r="F65" s="249"/>
      <c r="G65" s="249"/>
      <c r="H65" s="249"/>
      <c r="I65" s="249">
        <f t="shared" si="5"/>
        <v>0</v>
      </c>
      <c r="J65" s="249"/>
      <c r="K65" s="249"/>
      <c r="L65" s="249">
        <f t="shared" si="6"/>
        <v>0</v>
      </c>
      <c r="M65" s="249"/>
      <c r="N65" s="249"/>
      <c r="O65" s="249"/>
      <c r="P65" s="249"/>
      <c r="Q65" s="249"/>
      <c r="R65" s="249">
        <f t="shared" si="7"/>
        <v>0</v>
      </c>
      <c r="S65" s="249"/>
      <c r="T65" s="249"/>
      <c r="U65" s="267"/>
      <c r="V65" s="268"/>
      <c r="W65" s="268"/>
      <c r="X65" s="268"/>
    </row>
    <row r="66" spans="1:24">
      <c r="A66" s="232">
        <v>56</v>
      </c>
      <c r="B66" s="239" t="s">
        <v>313</v>
      </c>
      <c r="C66" s="249">
        <f t="shared" si="4"/>
        <v>659858</v>
      </c>
      <c r="D66" s="249">
        <f>SUM(D67:D77)</f>
        <v>0</v>
      </c>
      <c r="E66" s="249">
        <f>SUM(E67:E77)</f>
        <v>615630</v>
      </c>
      <c r="F66" s="249">
        <f t="shared" ref="F66:U66" si="8">SUM(F67:F77)</f>
        <v>0</v>
      </c>
      <c r="G66" s="249">
        <f t="shared" si="8"/>
        <v>0</v>
      </c>
      <c r="H66" s="249">
        <f t="shared" si="8"/>
        <v>0</v>
      </c>
      <c r="I66" s="249">
        <f t="shared" si="8"/>
        <v>44228</v>
      </c>
      <c r="J66" s="249">
        <f t="shared" si="8"/>
        <v>0</v>
      </c>
      <c r="K66" s="249">
        <f t="shared" si="8"/>
        <v>44228</v>
      </c>
      <c r="L66" s="249">
        <f t="shared" si="8"/>
        <v>644210.60000000009</v>
      </c>
      <c r="M66" s="249">
        <f t="shared" si="8"/>
        <v>304915.40000000002</v>
      </c>
      <c r="N66" s="249">
        <f>SUM(N67:N77)</f>
        <v>281048.40000000002</v>
      </c>
      <c r="O66" s="249">
        <f t="shared" si="8"/>
        <v>0</v>
      </c>
      <c r="P66" s="249">
        <f t="shared" si="8"/>
        <v>0</v>
      </c>
      <c r="Q66" s="249">
        <f t="shared" si="8"/>
        <v>52671.4</v>
      </c>
      <c r="R66" s="249">
        <f t="shared" si="7"/>
        <v>5575.4</v>
      </c>
      <c r="S66" s="249">
        <f t="shared" si="8"/>
        <v>0</v>
      </c>
      <c r="T66" s="249">
        <f t="shared" si="8"/>
        <v>5575.4</v>
      </c>
      <c r="U66" s="249">
        <f t="shared" si="8"/>
        <v>0</v>
      </c>
      <c r="V66" s="268">
        <f t="shared" si="2"/>
        <v>97.628671623288668</v>
      </c>
      <c r="W66" s="268"/>
      <c r="X66" s="268">
        <f t="shared" si="3"/>
        <v>45.652161200721217</v>
      </c>
    </row>
    <row r="67" spans="1:24">
      <c r="A67" s="232">
        <v>57</v>
      </c>
      <c r="B67" s="239" t="s">
        <v>314</v>
      </c>
      <c r="C67" s="249">
        <f t="shared" si="4"/>
        <v>0</v>
      </c>
      <c r="D67" s="249"/>
      <c r="E67" s="249"/>
      <c r="F67" s="249"/>
      <c r="G67" s="249"/>
      <c r="H67" s="249"/>
      <c r="I67" s="249">
        <f t="shared" si="5"/>
        <v>0</v>
      </c>
      <c r="J67" s="249"/>
      <c r="K67" s="249"/>
      <c r="L67" s="249">
        <f t="shared" si="6"/>
        <v>2415</v>
      </c>
      <c r="M67" s="249"/>
      <c r="N67" s="249">
        <v>2415</v>
      </c>
      <c r="O67" s="249"/>
      <c r="P67" s="249"/>
      <c r="Q67" s="249"/>
      <c r="R67" s="249">
        <f t="shared" si="7"/>
        <v>0</v>
      </c>
      <c r="S67" s="249"/>
      <c r="T67" s="249"/>
      <c r="U67" s="267"/>
      <c r="V67" s="266"/>
      <c r="W67" s="266"/>
      <c r="X67" s="266"/>
    </row>
    <row r="68" spans="1:24">
      <c r="A68" s="232">
        <v>58</v>
      </c>
      <c r="B68" s="239" t="s">
        <v>315</v>
      </c>
      <c r="C68" s="249">
        <f t="shared" si="4"/>
        <v>0</v>
      </c>
      <c r="D68" s="249"/>
      <c r="E68" s="249"/>
      <c r="F68" s="249"/>
      <c r="G68" s="249"/>
      <c r="H68" s="249"/>
      <c r="I68" s="249">
        <f t="shared" si="5"/>
        <v>0</v>
      </c>
      <c r="J68" s="249"/>
      <c r="K68" s="249"/>
      <c r="L68" s="249">
        <f t="shared" si="6"/>
        <v>1474</v>
      </c>
      <c r="M68" s="249"/>
      <c r="N68" s="249">
        <v>1474</v>
      </c>
      <c r="O68" s="249"/>
      <c r="P68" s="249"/>
      <c r="Q68" s="249"/>
      <c r="R68" s="249">
        <f t="shared" si="7"/>
        <v>0</v>
      </c>
      <c r="S68" s="249"/>
      <c r="T68" s="249"/>
      <c r="U68" s="267"/>
      <c r="V68" s="266"/>
      <c r="W68" s="266"/>
      <c r="X68" s="266"/>
    </row>
    <row r="69" spans="1:24" ht="30">
      <c r="A69" s="232">
        <v>59</v>
      </c>
      <c r="B69" s="239" t="s">
        <v>316</v>
      </c>
      <c r="C69" s="249">
        <f t="shared" si="4"/>
        <v>40247</v>
      </c>
      <c r="D69" s="249"/>
      <c r="E69" s="249">
        <v>40247</v>
      </c>
      <c r="F69" s="249"/>
      <c r="G69" s="249"/>
      <c r="H69" s="249"/>
      <c r="I69" s="249">
        <f t="shared" si="5"/>
        <v>0</v>
      </c>
      <c r="J69" s="249"/>
      <c r="K69" s="249"/>
      <c r="L69" s="249">
        <f t="shared" si="6"/>
        <v>0</v>
      </c>
      <c r="M69" s="249"/>
      <c r="N69" s="249"/>
      <c r="O69" s="249"/>
      <c r="P69" s="249"/>
      <c r="Q69" s="249"/>
      <c r="R69" s="249">
        <f t="shared" si="7"/>
        <v>0</v>
      </c>
      <c r="S69" s="249"/>
      <c r="T69" s="249"/>
      <c r="U69" s="267"/>
      <c r="V69" s="268">
        <f t="shared" si="2"/>
        <v>0</v>
      </c>
      <c r="W69" s="268"/>
      <c r="X69" s="268">
        <f t="shared" si="3"/>
        <v>0</v>
      </c>
    </row>
    <row r="70" spans="1:24">
      <c r="A70" s="232">
        <v>60</v>
      </c>
      <c r="B70" s="241" t="s">
        <v>317</v>
      </c>
      <c r="C70" s="249">
        <f t="shared" si="4"/>
        <v>0</v>
      </c>
      <c r="D70" s="249"/>
      <c r="E70" s="249"/>
      <c r="F70" s="249"/>
      <c r="G70" s="249"/>
      <c r="H70" s="249"/>
      <c r="I70" s="249">
        <f t="shared" si="5"/>
        <v>0</v>
      </c>
      <c r="J70" s="249"/>
      <c r="K70" s="249"/>
      <c r="L70" s="249">
        <f t="shared" si="6"/>
        <v>0</v>
      </c>
      <c r="M70" s="249"/>
      <c r="N70" s="249"/>
      <c r="O70" s="249"/>
      <c r="P70" s="249"/>
      <c r="Q70" s="249"/>
      <c r="R70" s="249">
        <f t="shared" si="7"/>
        <v>0</v>
      </c>
      <c r="S70" s="249"/>
      <c r="T70" s="249"/>
      <c r="U70" s="267"/>
      <c r="V70" s="266"/>
      <c r="W70" s="266"/>
      <c r="X70" s="266"/>
    </row>
    <row r="71" spans="1:24">
      <c r="A71" s="232">
        <v>61</v>
      </c>
      <c r="B71" s="241" t="s">
        <v>1426</v>
      </c>
      <c r="C71" s="249">
        <f t="shared" si="4"/>
        <v>0</v>
      </c>
      <c r="D71" s="249"/>
      <c r="E71" s="249"/>
      <c r="F71" s="249"/>
      <c r="G71" s="249"/>
      <c r="H71" s="249"/>
      <c r="I71" s="249">
        <f t="shared" si="5"/>
        <v>0</v>
      </c>
      <c r="J71" s="249"/>
      <c r="K71" s="249"/>
      <c r="L71" s="249">
        <f t="shared" si="6"/>
        <v>104</v>
      </c>
      <c r="M71" s="249"/>
      <c r="N71" s="249">
        <v>104</v>
      </c>
      <c r="O71" s="249"/>
      <c r="P71" s="249"/>
      <c r="Q71" s="249"/>
      <c r="R71" s="249">
        <f t="shared" si="7"/>
        <v>0</v>
      </c>
      <c r="S71" s="249"/>
      <c r="T71" s="249"/>
      <c r="U71" s="267"/>
      <c r="V71" s="266"/>
      <c r="W71" s="266"/>
      <c r="X71" s="266"/>
    </row>
    <row r="72" spans="1:24">
      <c r="A72" s="232">
        <v>62</v>
      </c>
      <c r="B72" s="241" t="s">
        <v>412</v>
      </c>
      <c r="C72" s="249">
        <f t="shared" si="4"/>
        <v>0</v>
      </c>
      <c r="D72" s="249"/>
      <c r="E72" s="249"/>
      <c r="F72" s="249"/>
      <c r="G72" s="249"/>
      <c r="H72" s="249"/>
      <c r="I72" s="249">
        <f t="shared" si="5"/>
        <v>0</v>
      </c>
      <c r="J72" s="249"/>
      <c r="K72" s="249"/>
      <c r="L72" s="249">
        <f t="shared" si="6"/>
        <v>0</v>
      </c>
      <c r="M72" s="249"/>
      <c r="N72" s="249"/>
      <c r="O72" s="249"/>
      <c r="P72" s="249"/>
      <c r="Q72" s="249"/>
      <c r="R72" s="249">
        <f t="shared" si="7"/>
        <v>0</v>
      </c>
      <c r="S72" s="249"/>
      <c r="T72" s="249"/>
      <c r="U72" s="267"/>
      <c r="V72" s="268"/>
      <c r="W72" s="268"/>
      <c r="X72" s="268"/>
    </row>
    <row r="73" spans="1:24">
      <c r="A73" s="232">
        <v>63</v>
      </c>
      <c r="B73" s="239" t="s">
        <v>318</v>
      </c>
      <c r="C73" s="249">
        <f t="shared" si="4"/>
        <v>246238</v>
      </c>
      <c r="D73" s="249"/>
      <c r="E73" s="249">
        <v>246238</v>
      </c>
      <c r="F73" s="249"/>
      <c r="G73" s="249"/>
      <c r="H73" s="249"/>
      <c r="I73" s="249">
        <f t="shared" si="5"/>
        <v>0</v>
      </c>
      <c r="J73" s="249"/>
      <c r="K73" s="249"/>
      <c r="L73" s="249">
        <f t="shared" si="6"/>
        <v>0</v>
      </c>
      <c r="M73" s="249"/>
      <c r="N73" s="249"/>
      <c r="O73" s="249"/>
      <c r="P73" s="249"/>
      <c r="Q73" s="249"/>
      <c r="R73" s="249">
        <f t="shared" si="7"/>
        <v>0</v>
      </c>
      <c r="S73" s="249"/>
      <c r="T73" s="249"/>
      <c r="U73" s="267"/>
      <c r="V73" s="268">
        <f t="shared" si="2"/>
        <v>0</v>
      </c>
      <c r="W73" s="268"/>
      <c r="X73" s="268">
        <f t="shared" si="3"/>
        <v>0</v>
      </c>
    </row>
    <row r="74" spans="1:24">
      <c r="A74" s="232">
        <v>64</v>
      </c>
      <c r="B74" s="239" t="s">
        <v>319</v>
      </c>
      <c r="C74" s="249">
        <f t="shared" si="4"/>
        <v>0</v>
      </c>
      <c r="D74" s="249"/>
      <c r="E74" s="249"/>
      <c r="F74" s="249"/>
      <c r="G74" s="249"/>
      <c r="H74" s="249"/>
      <c r="I74" s="249">
        <f t="shared" si="5"/>
        <v>0</v>
      </c>
      <c r="J74" s="249"/>
      <c r="K74" s="249"/>
      <c r="L74" s="249">
        <f t="shared" si="6"/>
        <v>600</v>
      </c>
      <c r="M74" s="249"/>
      <c r="N74" s="249">
        <v>600</v>
      </c>
      <c r="O74" s="249"/>
      <c r="P74" s="249"/>
      <c r="Q74" s="249"/>
      <c r="R74" s="249">
        <f t="shared" si="7"/>
        <v>0</v>
      </c>
      <c r="S74" s="249"/>
      <c r="T74" s="249"/>
      <c r="U74" s="267"/>
      <c r="V74" s="268"/>
      <c r="W74" s="268"/>
      <c r="X74" s="268"/>
    </row>
    <row r="75" spans="1:24">
      <c r="A75" s="232">
        <v>65</v>
      </c>
      <c r="B75" s="239" t="s">
        <v>1427</v>
      </c>
      <c r="C75" s="249">
        <f t="shared" si="4"/>
        <v>373373</v>
      </c>
      <c r="D75" s="249"/>
      <c r="E75" s="249">
        <f>30000+223115+29218+16812+30000</f>
        <v>329145</v>
      </c>
      <c r="F75" s="249"/>
      <c r="G75" s="249"/>
      <c r="H75" s="249"/>
      <c r="I75" s="249">
        <f t="shared" si="5"/>
        <v>44228</v>
      </c>
      <c r="J75" s="249"/>
      <c r="K75" s="249">
        <v>44228</v>
      </c>
      <c r="L75" s="249">
        <f t="shared" si="6"/>
        <v>415867.60000000009</v>
      </c>
      <c r="M75" s="249">
        <f>81036+129+0.4</f>
        <v>81165.399999999994</v>
      </c>
      <c r="N75" s="249">
        <f>477622-N44-N45-N67-N68-N71-N74-76896+5+0.4</f>
        <v>276455.40000000002</v>
      </c>
      <c r="O75" s="249"/>
      <c r="P75" s="249"/>
      <c r="Q75" s="249">
        <f>52671+0.4</f>
        <v>52671.4</v>
      </c>
      <c r="R75" s="249">
        <f t="shared" si="7"/>
        <v>5575.4</v>
      </c>
      <c r="S75" s="249"/>
      <c r="T75" s="249">
        <f>5574+0.4+1</f>
        <v>5575.4</v>
      </c>
      <c r="U75" s="267"/>
      <c r="V75" s="268">
        <f t="shared" ref="V75:W83" si="9">L75/C75*100</f>
        <v>111.38127288261339</v>
      </c>
      <c r="W75" s="268"/>
      <c r="X75" s="268">
        <f t="shared" ref="X75" si="10">N75/E75*100</f>
        <v>83.991979218885305</v>
      </c>
    </row>
    <row r="76" spans="1:24" ht="45">
      <c r="A76" s="232">
        <v>66</v>
      </c>
      <c r="B76" s="239" t="s">
        <v>1428</v>
      </c>
      <c r="C76" s="249">
        <f t="shared" ref="C76:C85" si="11">D76+E76+F76+G76+I76+H76</f>
        <v>0</v>
      </c>
      <c r="D76" s="249"/>
      <c r="E76" s="249"/>
      <c r="F76" s="249"/>
      <c r="G76" s="249"/>
      <c r="H76" s="249"/>
      <c r="I76" s="249">
        <f t="shared" si="5"/>
        <v>0</v>
      </c>
      <c r="J76" s="249"/>
      <c r="K76" s="249"/>
      <c r="L76" s="249">
        <f t="shared" ref="L76:L85" si="12">M76+N76+O76+P76+R76+Q76+U76</f>
        <v>223750</v>
      </c>
      <c r="M76" s="249">
        <f>44+73+59+22+25000+75+2121+1135+421+803+126461+13+21783+1000+12246+755+7792+7813+3186+4593+931+2624+3000+1800</f>
        <v>223750</v>
      </c>
      <c r="N76" s="249"/>
      <c r="O76" s="249"/>
      <c r="P76" s="249"/>
      <c r="Q76" s="249"/>
      <c r="R76" s="249">
        <f t="shared" ref="R76:R85" si="13">SUM(S76:T76)</f>
        <v>0</v>
      </c>
      <c r="S76" s="249"/>
      <c r="T76" s="249"/>
      <c r="U76" s="267"/>
      <c r="V76" s="268"/>
      <c r="W76" s="268"/>
      <c r="X76" s="268"/>
    </row>
    <row r="77" spans="1:24">
      <c r="A77" s="232">
        <v>67</v>
      </c>
      <c r="B77" s="239" t="s">
        <v>413</v>
      </c>
      <c r="C77" s="249">
        <f t="shared" si="11"/>
        <v>0</v>
      </c>
      <c r="D77" s="249"/>
      <c r="E77" s="249"/>
      <c r="F77" s="249"/>
      <c r="G77" s="249"/>
      <c r="H77" s="249"/>
      <c r="I77" s="249">
        <f t="shared" ref="I77:I84" si="14">SUM(J77:K77)</f>
        <v>0</v>
      </c>
      <c r="J77" s="249"/>
      <c r="K77" s="249"/>
      <c r="L77" s="249">
        <f t="shared" si="12"/>
        <v>0</v>
      </c>
      <c r="M77" s="249"/>
      <c r="N77" s="249"/>
      <c r="O77" s="249"/>
      <c r="P77" s="249"/>
      <c r="Q77" s="249"/>
      <c r="R77" s="249">
        <f t="shared" si="13"/>
        <v>0</v>
      </c>
      <c r="S77" s="249"/>
      <c r="T77" s="249"/>
      <c r="U77" s="267"/>
      <c r="V77" s="268"/>
      <c r="W77" s="268"/>
      <c r="X77" s="268"/>
    </row>
    <row r="78" spans="1:24" s="260" customFormat="1" ht="28.5">
      <c r="A78" s="271" t="s">
        <v>16</v>
      </c>
      <c r="B78" s="272" t="s">
        <v>400</v>
      </c>
      <c r="C78" s="265">
        <f>D78+E78+F78+G78+I78+H78</f>
        <v>2903665</v>
      </c>
      <c r="D78" s="265">
        <f>1798667+1004898</f>
        <v>2803565</v>
      </c>
      <c r="E78" s="265"/>
      <c r="F78" s="265"/>
      <c r="G78" s="265"/>
      <c r="H78" s="265"/>
      <c r="I78" s="265">
        <f t="shared" si="14"/>
        <v>100100</v>
      </c>
      <c r="J78" s="265">
        <v>100100</v>
      </c>
      <c r="K78" s="265"/>
      <c r="L78" s="265">
        <f t="shared" si="12"/>
        <v>0</v>
      </c>
      <c r="M78" s="265"/>
      <c r="N78" s="265"/>
      <c r="O78" s="265"/>
      <c r="P78" s="265"/>
      <c r="Q78" s="265"/>
      <c r="R78" s="249">
        <f t="shared" si="13"/>
        <v>0</v>
      </c>
      <c r="S78" s="265"/>
      <c r="T78" s="265"/>
      <c r="U78" s="273"/>
      <c r="V78" s="266">
        <f t="shared" si="9"/>
        <v>0</v>
      </c>
      <c r="W78" s="266">
        <f t="shared" si="9"/>
        <v>0</v>
      </c>
      <c r="X78" s="266"/>
    </row>
    <row r="79" spans="1:24" s="260" customFormat="1" ht="63">
      <c r="A79" s="264" t="s">
        <v>16</v>
      </c>
      <c r="B79" s="265" t="s">
        <v>187</v>
      </c>
      <c r="C79" s="265">
        <f t="shared" si="11"/>
        <v>0</v>
      </c>
      <c r="D79" s="265"/>
      <c r="E79" s="265"/>
      <c r="F79" s="265"/>
      <c r="G79" s="265"/>
      <c r="H79" s="265"/>
      <c r="I79" s="265">
        <f t="shared" si="14"/>
        <v>0</v>
      </c>
      <c r="J79" s="265"/>
      <c r="K79" s="265"/>
      <c r="L79" s="265">
        <f t="shared" si="12"/>
        <v>145</v>
      </c>
      <c r="M79" s="265"/>
      <c r="N79" s="265"/>
      <c r="O79" s="265">
        <v>145</v>
      </c>
      <c r="P79" s="265"/>
      <c r="Q79" s="265"/>
      <c r="R79" s="249">
        <f t="shared" si="13"/>
        <v>0</v>
      </c>
      <c r="S79" s="265"/>
      <c r="T79" s="265"/>
      <c r="U79" s="273"/>
      <c r="V79" s="266"/>
      <c r="W79" s="266"/>
      <c r="X79" s="266"/>
    </row>
    <row r="80" spans="1:24" s="260" customFormat="1" ht="31.5">
      <c r="A80" s="264" t="s">
        <v>20</v>
      </c>
      <c r="B80" s="265" t="s">
        <v>188</v>
      </c>
      <c r="C80" s="265">
        <f t="shared" si="11"/>
        <v>1000</v>
      </c>
      <c r="D80" s="265"/>
      <c r="E80" s="265"/>
      <c r="F80" s="265"/>
      <c r="G80" s="265">
        <v>1000</v>
      </c>
      <c r="H80" s="265"/>
      <c r="I80" s="265">
        <f t="shared" si="14"/>
        <v>0</v>
      </c>
      <c r="J80" s="265"/>
      <c r="K80" s="265"/>
      <c r="L80" s="265">
        <f t="shared" si="12"/>
        <v>1000</v>
      </c>
      <c r="M80" s="265"/>
      <c r="N80" s="265"/>
      <c r="O80" s="265"/>
      <c r="P80" s="265">
        <v>1000</v>
      </c>
      <c r="Q80" s="265"/>
      <c r="R80" s="249">
        <f t="shared" si="13"/>
        <v>0</v>
      </c>
      <c r="S80" s="265"/>
      <c r="T80" s="265"/>
      <c r="U80" s="273"/>
      <c r="V80" s="266">
        <f t="shared" si="9"/>
        <v>100</v>
      </c>
      <c r="W80" s="266"/>
      <c r="X80" s="266"/>
    </row>
    <row r="81" spans="1:24" s="260" customFormat="1" ht="31.5">
      <c r="A81" s="264" t="s">
        <v>22</v>
      </c>
      <c r="B81" s="265" t="s">
        <v>189</v>
      </c>
      <c r="C81" s="265">
        <f t="shared" si="11"/>
        <v>85858</v>
      </c>
      <c r="D81" s="265"/>
      <c r="E81" s="265"/>
      <c r="F81" s="265"/>
      <c r="G81" s="265"/>
      <c r="H81" s="265">
        <v>85858</v>
      </c>
      <c r="I81" s="265">
        <f t="shared" si="14"/>
        <v>0</v>
      </c>
      <c r="J81" s="265"/>
      <c r="K81" s="265"/>
      <c r="L81" s="265">
        <f t="shared" si="12"/>
        <v>0</v>
      </c>
      <c r="M81" s="265"/>
      <c r="N81" s="265"/>
      <c r="O81" s="265"/>
      <c r="P81" s="265"/>
      <c r="Q81" s="265"/>
      <c r="R81" s="249">
        <f t="shared" si="13"/>
        <v>0</v>
      </c>
      <c r="S81" s="265"/>
      <c r="T81" s="265"/>
      <c r="U81" s="273"/>
      <c r="V81" s="266">
        <f t="shared" si="9"/>
        <v>0</v>
      </c>
      <c r="W81" s="266"/>
      <c r="X81" s="266"/>
    </row>
    <row r="82" spans="1:24" s="260" customFormat="1" ht="31.5">
      <c r="A82" s="264" t="s">
        <v>24</v>
      </c>
      <c r="B82" s="265" t="s">
        <v>190</v>
      </c>
      <c r="C82" s="265">
        <f t="shared" si="11"/>
        <v>211631</v>
      </c>
      <c r="D82" s="265"/>
      <c r="E82" s="265"/>
      <c r="F82" s="265"/>
      <c r="G82" s="265"/>
      <c r="H82" s="265">
        <v>211631</v>
      </c>
      <c r="I82" s="265">
        <f t="shared" si="14"/>
        <v>0</v>
      </c>
      <c r="J82" s="265"/>
      <c r="K82" s="265"/>
      <c r="L82" s="265">
        <f t="shared" si="12"/>
        <v>0</v>
      </c>
      <c r="M82" s="265"/>
      <c r="N82" s="265"/>
      <c r="O82" s="265"/>
      <c r="P82" s="265"/>
      <c r="Q82" s="265"/>
      <c r="R82" s="249">
        <f t="shared" si="13"/>
        <v>0</v>
      </c>
      <c r="S82" s="265"/>
      <c r="T82" s="265"/>
      <c r="U82" s="273"/>
      <c r="V82" s="266"/>
      <c r="W82" s="266"/>
      <c r="X82" s="266"/>
    </row>
    <row r="83" spans="1:24" s="260" customFormat="1" ht="47.25">
      <c r="A83" s="264" t="s">
        <v>141</v>
      </c>
      <c r="B83" s="265" t="s">
        <v>191</v>
      </c>
      <c r="C83" s="265">
        <f t="shared" si="11"/>
        <v>3591344</v>
      </c>
      <c r="D83" s="265">
        <v>252893</v>
      </c>
      <c r="E83" s="265">
        <f>172201+76750</f>
        <v>248951</v>
      </c>
      <c r="F83" s="265"/>
      <c r="G83" s="265"/>
      <c r="H83" s="265">
        <f>3591344-252893-248951</f>
        <v>3089500</v>
      </c>
      <c r="I83" s="265">
        <f t="shared" si="14"/>
        <v>0</v>
      </c>
      <c r="J83" s="265"/>
      <c r="K83" s="265"/>
      <c r="L83" s="265">
        <f t="shared" si="12"/>
        <v>4501420.523</v>
      </c>
      <c r="M83" s="265"/>
      <c r="N83" s="265"/>
      <c r="O83" s="265"/>
      <c r="P83" s="265"/>
      <c r="Q83" s="265">
        <f>'[1]59'!K10</f>
        <v>4501420.523</v>
      </c>
      <c r="R83" s="249">
        <f t="shared" si="13"/>
        <v>0</v>
      </c>
      <c r="S83" s="265"/>
      <c r="T83" s="265"/>
      <c r="U83" s="273"/>
      <c r="V83" s="266">
        <f t="shared" si="9"/>
        <v>125.34083404430207</v>
      </c>
      <c r="W83" s="266"/>
      <c r="X83" s="266"/>
    </row>
    <row r="84" spans="1:24" s="260" customFormat="1" ht="47.25">
      <c r="A84" s="264" t="s">
        <v>192</v>
      </c>
      <c r="B84" s="265" t="s">
        <v>193</v>
      </c>
      <c r="C84" s="265">
        <f t="shared" si="11"/>
        <v>0</v>
      </c>
      <c r="D84" s="265"/>
      <c r="E84" s="265"/>
      <c r="F84" s="265"/>
      <c r="G84" s="265"/>
      <c r="H84" s="265"/>
      <c r="I84" s="265">
        <f t="shared" si="14"/>
        <v>0</v>
      </c>
      <c r="J84" s="265"/>
      <c r="K84" s="265"/>
      <c r="L84" s="265">
        <f t="shared" si="12"/>
        <v>2304846</v>
      </c>
      <c r="M84" s="265"/>
      <c r="N84" s="265"/>
      <c r="O84" s="265"/>
      <c r="P84" s="265"/>
      <c r="Q84" s="265"/>
      <c r="R84" s="249">
        <f t="shared" si="13"/>
        <v>0</v>
      </c>
      <c r="S84" s="265"/>
      <c r="T84" s="265"/>
      <c r="U84" s="273">
        <f>'[1]52'!E47</f>
        <v>2304846</v>
      </c>
      <c r="V84" s="266"/>
      <c r="W84" s="266"/>
      <c r="X84" s="266"/>
    </row>
    <row r="85" spans="1:24" s="260" customFormat="1">
      <c r="A85" s="274" t="s">
        <v>416</v>
      </c>
      <c r="B85" s="275" t="s">
        <v>417</v>
      </c>
      <c r="C85" s="275">
        <f t="shared" si="11"/>
        <v>0</v>
      </c>
      <c r="D85" s="275"/>
      <c r="E85" s="275"/>
      <c r="F85" s="275"/>
      <c r="G85" s="275"/>
      <c r="H85" s="275"/>
      <c r="I85" s="275">
        <f t="shared" ref="I85" si="15">SUM(J85:K85)</f>
        <v>0</v>
      </c>
      <c r="J85" s="275"/>
      <c r="K85" s="275"/>
      <c r="L85" s="275">
        <f t="shared" si="12"/>
        <v>15257</v>
      </c>
      <c r="M85" s="275"/>
      <c r="N85" s="275"/>
      <c r="O85" s="275"/>
      <c r="P85" s="275"/>
      <c r="Q85" s="275">
        <f>'[1]52'!E48</f>
        <v>15257</v>
      </c>
      <c r="R85" s="276">
        <f t="shared" si="13"/>
        <v>0</v>
      </c>
      <c r="S85" s="275"/>
      <c r="T85" s="275"/>
      <c r="U85" s="277"/>
      <c r="V85" s="278"/>
      <c r="W85" s="278"/>
      <c r="X85" s="278"/>
    </row>
    <row r="86" spans="1:24" hidden="1">
      <c r="A86" s="352" t="s">
        <v>273</v>
      </c>
      <c r="B86" s="352"/>
      <c r="C86" s="352"/>
      <c r="D86" s="352"/>
      <c r="E86" s="352"/>
      <c r="F86" s="352"/>
      <c r="G86" s="352"/>
      <c r="H86" s="352"/>
      <c r="I86" s="352"/>
      <c r="J86" s="352"/>
      <c r="K86" s="352"/>
      <c r="L86" s="352"/>
      <c r="M86" s="352"/>
      <c r="N86" s="352"/>
      <c r="O86" s="352"/>
      <c r="P86" s="352"/>
      <c r="Q86" s="352"/>
      <c r="R86" s="352"/>
      <c r="S86" s="352"/>
      <c r="T86" s="352"/>
      <c r="U86" s="352"/>
      <c r="V86" s="352"/>
      <c r="W86" s="352"/>
      <c r="X86" s="352"/>
    </row>
    <row r="87" spans="1:24" hidden="1">
      <c r="A87" s="348" t="s">
        <v>194</v>
      </c>
      <c r="B87" s="348"/>
      <c r="C87" s="348"/>
      <c r="D87" s="348"/>
      <c r="E87" s="348"/>
      <c r="F87" s="348"/>
      <c r="G87" s="348"/>
      <c r="H87" s="348"/>
      <c r="I87" s="348"/>
      <c r="J87" s="348"/>
      <c r="K87" s="348"/>
      <c r="L87" s="348"/>
      <c r="M87" s="348"/>
      <c r="N87" s="348"/>
      <c r="O87" s="348"/>
      <c r="P87" s="348"/>
      <c r="Q87" s="348"/>
      <c r="R87" s="348"/>
      <c r="S87" s="348"/>
      <c r="T87" s="348"/>
      <c r="U87" s="348"/>
      <c r="V87" s="348"/>
      <c r="W87" s="348"/>
      <c r="X87" s="348"/>
    </row>
    <row r="88" spans="1:24" hidden="1">
      <c r="A88" s="348" t="s">
        <v>195</v>
      </c>
      <c r="B88" s="348"/>
      <c r="C88" s="348"/>
      <c r="D88" s="348"/>
      <c r="E88" s="348"/>
      <c r="F88" s="348"/>
      <c r="G88" s="348"/>
      <c r="H88" s="348"/>
      <c r="I88" s="348"/>
      <c r="J88" s="348"/>
      <c r="K88" s="348"/>
      <c r="L88" s="348"/>
      <c r="M88" s="348"/>
      <c r="N88" s="348"/>
      <c r="O88" s="348"/>
      <c r="P88" s="348"/>
      <c r="Q88" s="348"/>
      <c r="R88" s="348"/>
      <c r="S88" s="348"/>
      <c r="T88" s="348"/>
      <c r="U88" s="348"/>
      <c r="V88" s="348"/>
      <c r="W88" s="348"/>
      <c r="X88" s="348"/>
    </row>
    <row r="89" spans="1:24" hidden="1">
      <c r="A89" s="279"/>
    </row>
    <row r="90" spans="1:24" hidden="1"/>
    <row r="91" spans="1:24" hidden="1"/>
    <row r="92" spans="1:24" hidden="1"/>
    <row r="93" spans="1:24" hidden="1">
      <c r="N93" s="256">
        <v>1903614563118</v>
      </c>
    </row>
    <row r="94" spans="1:24" hidden="1">
      <c r="N94" s="256">
        <v>1864831855916</v>
      </c>
    </row>
    <row r="95" spans="1:24" hidden="1">
      <c r="N95" s="256">
        <f>55101889209-23280000000-2105724000-659019660</f>
        <v>29057145549</v>
      </c>
    </row>
    <row r="96" spans="1:24" hidden="1">
      <c r="N96" s="256">
        <v>6544358092</v>
      </c>
    </row>
    <row r="97" spans="14:14" hidden="1">
      <c r="N97" s="256">
        <v>3181203561</v>
      </c>
    </row>
    <row r="98" spans="14:14" hidden="1">
      <c r="N98" s="256">
        <f>N93-N94-N95-N96-N97</f>
        <v>0</v>
      </c>
    </row>
    <row r="99" spans="14:14" hidden="1">
      <c r="N99" s="256">
        <f>N93-34245214000</f>
        <v>1869369349118</v>
      </c>
    </row>
    <row r="100" spans="14:14" hidden="1">
      <c r="N100" s="256">
        <v>18280000000</v>
      </c>
    </row>
    <row r="101" spans="14:14" hidden="1">
      <c r="N101" s="256">
        <v>5000000000</v>
      </c>
    </row>
    <row r="102" spans="14:14" hidden="1">
      <c r="N102" s="256">
        <f>SUM(N99:N101)</f>
        <v>1892649349118</v>
      </c>
    </row>
    <row r="103" spans="14:14" hidden="1"/>
    <row r="104" spans="14:14" hidden="1"/>
  </sheetData>
  <mergeCells count="31">
    <mergeCell ref="A1:C1"/>
    <mergeCell ref="A88:X88"/>
    <mergeCell ref="V1:X1"/>
    <mergeCell ref="A2:X2"/>
    <mergeCell ref="A3:X3"/>
    <mergeCell ref="V4:X4"/>
    <mergeCell ref="A87:X87"/>
    <mergeCell ref="A86:X86"/>
    <mergeCell ref="V6:V7"/>
    <mergeCell ref="W6:W7"/>
    <mergeCell ref="X6:X7"/>
    <mergeCell ref="V5:X5"/>
    <mergeCell ref="C6:C7"/>
    <mergeCell ref="D6:D7"/>
    <mergeCell ref="L6:L7"/>
    <mergeCell ref="M6:M7"/>
    <mergeCell ref="A5:A7"/>
    <mergeCell ref="B5:B7"/>
    <mergeCell ref="C5:K5"/>
    <mergeCell ref="L5:U5"/>
    <mergeCell ref="U6:U7"/>
    <mergeCell ref="E6:E7"/>
    <mergeCell ref="F6:F7"/>
    <mergeCell ref="G6:G7"/>
    <mergeCell ref="I6:K6"/>
    <mergeCell ref="Q6:Q7"/>
    <mergeCell ref="H6:H7"/>
    <mergeCell ref="N6:N7"/>
    <mergeCell ref="O6:O7"/>
    <mergeCell ref="P6:P7"/>
    <mergeCell ref="R6:T6"/>
  </mergeCells>
  <pageMargins left="0" right="0" top="0.25" bottom="0.25" header="0.3" footer="0.3"/>
  <pageSetup scale="55" orientation="landscape" r:id="rId1"/>
</worksheet>
</file>

<file path=xl/worksheets/sheet7.xml><?xml version="1.0" encoding="utf-8"?>
<worksheet xmlns="http://schemas.openxmlformats.org/spreadsheetml/2006/main" xmlns:r="http://schemas.openxmlformats.org/officeDocument/2006/relationships">
  <dimension ref="A1:V26"/>
  <sheetViews>
    <sheetView workbookViewId="0">
      <selection sqref="A1:C1"/>
    </sheetView>
  </sheetViews>
  <sheetFormatPr defaultRowHeight="15.75"/>
  <cols>
    <col min="1" max="1" width="9.140625" style="6"/>
    <col min="2" max="2" width="29" style="6" customWidth="1"/>
    <col min="3" max="3" width="10.140625" style="6" bestFit="1" customWidth="1"/>
    <col min="4" max="4" width="9.28515625" style="6" bestFit="1" customWidth="1"/>
    <col min="5" max="6" width="10.140625" style="6" bestFit="1" customWidth="1"/>
    <col min="7" max="7" width="9.28515625" style="6" bestFit="1" customWidth="1"/>
    <col min="8" max="10" width="9.28515625" style="6" hidden="1" customWidth="1"/>
    <col min="11" max="11" width="11.28515625" style="6" bestFit="1" customWidth="1"/>
    <col min="12" max="12" width="9.28515625" style="6" bestFit="1" customWidth="1"/>
    <col min="13" max="14" width="10.140625" style="6" bestFit="1" customWidth="1"/>
    <col min="15" max="15" width="9.28515625" style="6" bestFit="1" customWidth="1"/>
    <col min="16" max="16" width="10.140625" style="6" bestFit="1" customWidth="1"/>
    <col min="17" max="18" width="9.28515625" style="6" bestFit="1" customWidth="1"/>
    <col min="19" max="19" width="9.140625" style="6"/>
    <col min="20" max="20" width="10.140625" style="6" bestFit="1" customWidth="1"/>
    <col min="21" max="16384" width="9.140625" style="6"/>
  </cols>
  <sheetData>
    <row r="1" spans="1:22" ht="26.25" customHeight="1">
      <c r="A1" s="361" t="str">
        <f>'62'!chuong_phuluc_48</f>
        <v>ỦY BAN NHÂN DÂN TỈNH TIỀN GIANG</v>
      </c>
      <c r="B1" s="361"/>
      <c r="C1" s="361"/>
      <c r="T1" s="357" t="s">
        <v>227</v>
      </c>
      <c r="U1" s="357"/>
      <c r="V1" s="357"/>
    </row>
    <row r="2" spans="1:22">
      <c r="A2" s="357" t="s">
        <v>350</v>
      </c>
      <c r="B2" s="357"/>
      <c r="C2" s="357"/>
      <c r="D2" s="357"/>
      <c r="E2" s="357"/>
      <c r="F2" s="357"/>
      <c r="G2" s="357"/>
      <c r="H2" s="357"/>
      <c r="I2" s="357"/>
      <c r="J2" s="357"/>
      <c r="K2" s="357"/>
      <c r="L2" s="357"/>
      <c r="M2" s="357"/>
      <c r="N2" s="357"/>
      <c r="O2" s="357"/>
      <c r="P2" s="357"/>
      <c r="Q2" s="357"/>
      <c r="R2" s="357"/>
      <c r="S2" s="357"/>
      <c r="T2" s="357"/>
      <c r="U2" s="357"/>
      <c r="V2" s="357"/>
    </row>
    <row r="3" spans="1:22">
      <c r="A3" s="357"/>
      <c r="B3" s="357"/>
      <c r="C3" s="357"/>
      <c r="D3" s="357"/>
      <c r="E3" s="357"/>
      <c r="F3" s="357"/>
      <c r="G3" s="357"/>
      <c r="H3" s="357"/>
      <c r="I3" s="357"/>
      <c r="J3" s="357"/>
      <c r="K3" s="357"/>
      <c r="L3" s="357"/>
      <c r="M3" s="357"/>
      <c r="N3" s="357"/>
      <c r="O3" s="357"/>
      <c r="P3" s="357"/>
      <c r="Q3" s="357"/>
      <c r="R3" s="357"/>
      <c r="S3" s="357"/>
      <c r="T3" s="357"/>
      <c r="U3" s="357"/>
      <c r="V3" s="357"/>
    </row>
    <row r="4" spans="1:22">
      <c r="A4" s="7"/>
      <c r="T4" s="363" t="s">
        <v>1</v>
      </c>
      <c r="U4" s="363"/>
      <c r="V4" s="363"/>
    </row>
    <row r="5" spans="1:22">
      <c r="A5" s="355" t="s">
        <v>2</v>
      </c>
      <c r="B5" s="355" t="s">
        <v>1402</v>
      </c>
      <c r="C5" s="355" t="s">
        <v>3</v>
      </c>
      <c r="D5" s="355"/>
      <c r="E5" s="355"/>
      <c r="F5" s="355"/>
      <c r="G5" s="355"/>
      <c r="H5" s="355"/>
      <c r="I5" s="355"/>
      <c r="J5" s="355"/>
      <c r="K5" s="355" t="s">
        <v>4</v>
      </c>
      <c r="L5" s="355"/>
      <c r="M5" s="355"/>
      <c r="N5" s="355"/>
      <c r="O5" s="355"/>
      <c r="P5" s="355"/>
      <c r="Q5" s="355"/>
      <c r="R5" s="355"/>
      <c r="S5" s="355"/>
      <c r="T5" s="355" t="s">
        <v>53</v>
      </c>
      <c r="U5" s="355"/>
      <c r="V5" s="355"/>
    </row>
    <row r="6" spans="1:22" ht="15.75" customHeight="1">
      <c r="A6" s="355"/>
      <c r="B6" s="355"/>
      <c r="C6" s="355" t="s">
        <v>180</v>
      </c>
      <c r="D6" s="358" t="s">
        <v>28</v>
      </c>
      <c r="E6" s="355" t="s">
        <v>29</v>
      </c>
      <c r="F6" s="355"/>
      <c r="G6" s="355"/>
      <c r="H6" s="355" t="s">
        <v>229</v>
      </c>
      <c r="I6" s="355"/>
      <c r="J6" s="355"/>
      <c r="K6" s="355" t="s">
        <v>180</v>
      </c>
      <c r="L6" s="358" t="s">
        <v>28</v>
      </c>
      <c r="M6" s="355" t="s">
        <v>29</v>
      </c>
      <c r="N6" s="355"/>
      <c r="O6" s="355"/>
      <c r="P6" s="355" t="s">
        <v>229</v>
      </c>
      <c r="Q6" s="355"/>
      <c r="R6" s="355"/>
      <c r="S6" s="355" t="s">
        <v>37</v>
      </c>
      <c r="T6" s="355" t="s">
        <v>180</v>
      </c>
      <c r="U6" s="355" t="s">
        <v>28</v>
      </c>
      <c r="V6" s="355" t="s">
        <v>29</v>
      </c>
    </row>
    <row r="7" spans="1:22" ht="15.75" customHeight="1">
      <c r="A7" s="355"/>
      <c r="B7" s="355"/>
      <c r="C7" s="355"/>
      <c r="D7" s="359"/>
      <c r="E7" s="355" t="s">
        <v>180</v>
      </c>
      <c r="F7" s="355" t="s">
        <v>203</v>
      </c>
      <c r="G7" s="355"/>
      <c r="H7" s="355" t="s">
        <v>180</v>
      </c>
      <c r="I7" s="355" t="s">
        <v>203</v>
      </c>
      <c r="J7" s="355"/>
      <c r="K7" s="355"/>
      <c r="L7" s="359"/>
      <c r="M7" s="355" t="s">
        <v>180</v>
      </c>
      <c r="N7" s="355" t="s">
        <v>203</v>
      </c>
      <c r="O7" s="355"/>
      <c r="P7" s="355" t="s">
        <v>180</v>
      </c>
      <c r="Q7" s="355" t="s">
        <v>203</v>
      </c>
      <c r="R7" s="355"/>
      <c r="S7" s="355"/>
      <c r="T7" s="355"/>
      <c r="U7" s="355"/>
      <c r="V7" s="355"/>
    </row>
    <row r="8" spans="1:22" ht="78.75">
      <c r="A8" s="355"/>
      <c r="B8" s="355"/>
      <c r="C8" s="355"/>
      <c r="D8" s="360"/>
      <c r="E8" s="355"/>
      <c r="F8" s="55" t="s">
        <v>230</v>
      </c>
      <c r="G8" s="212" t="s">
        <v>134</v>
      </c>
      <c r="H8" s="355"/>
      <c r="I8" s="55" t="s">
        <v>28</v>
      </c>
      <c r="J8" s="55" t="s">
        <v>29</v>
      </c>
      <c r="K8" s="355"/>
      <c r="L8" s="360"/>
      <c r="M8" s="355"/>
      <c r="N8" s="37" t="s">
        <v>230</v>
      </c>
      <c r="O8" s="212" t="s">
        <v>134</v>
      </c>
      <c r="P8" s="355"/>
      <c r="Q8" s="37" t="s">
        <v>28</v>
      </c>
      <c r="R8" s="37" t="s">
        <v>29</v>
      </c>
      <c r="S8" s="355"/>
      <c r="T8" s="355"/>
      <c r="U8" s="355"/>
      <c r="V8" s="355"/>
    </row>
    <row r="9" spans="1:22">
      <c r="A9" s="37" t="s">
        <v>7</v>
      </c>
      <c r="B9" s="37" t="s">
        <v>8</v>
      </c>
      <c r="C9" s="55">
        <v>1</v>
      </c>
      <c r="D9" s="55">
        <v>2</v>
      </c>
      <c r="E9" s="55">
        <v>3</v>
      </c>
      <c r="F9" s="55">
        <v>4</v>
      </c>
      <c r="G9" s="55">
        <v>5</v>
      </c>
      <c r="H9" s="55">
        <v>6</v>
      </c>
      <c r="I9" s="55">
        <v>12</v>
      </c>
      <c r="J9" s="55">
        <v>13</v>
      </c>
      <c r="K9" s="37">
        <v>6</v>
      </c>
      <c r="L9" s="37">
        <v>7</v>
      </c>
      <c r="M9" s="37">
        <v>8</v>
      </c>
      <c r="N9" s="37">
        <v>9</v>
      </c>
      <c r="O9" s="37">
        <v>10</v>
      </c>
      <c r="P9" s="37">
        <v>11</v>
      </c>
      <c r="Q9" s="37">
        <v>12</v>
      </c>
      <c r="R9" s="37">
        <v>13</v>
      </c>
      <c r="S9" s="37">
        <v>14</v>
      </c>
      <c r="T9" s="37" t="s">
        <v>231</v>
      </c>
      <c r="U9" s="37" t="s">
        <v>232</v>
      </c>
      <c r="V9" s="37">
        <v>17</v>
      </c>
    </row>
    <row r="10" spans="1:22" s="63" customFormat="1">
      <c r="A10" s="33"/>
      <c r="B10" s="33" t="s">
        <v>184</v>
      </c>
      <c r="C10" s="51">
        <f>SUM(C11:C21)</f>
        <v>4442142</v>
      </c>
      <c r="D10" s="51">
        <f t="shared" ref="D10:S10" si="0">SUM(D11:D21)</f>
        <v>295466</v>
      </c>
      <c r="E10" s="51">
        <f t="shared" si="0"/>
        <v>4059575</v>
      </c>
      <c r="F10" s="51">
        <f t="shared" si="0"/>
        <v>1999525</v>
      </c>
      <c r="G10" s="51">
        <f t="shared" si="0"/>
        <v>0</v>
      </c>
      <c r="H10" s="51">
        <f t="shared" si="0"/>
        <v>0</v>
      </c>
      <c r="I10" s="51">
        <f t="shared" si="0"/>
        <v>0</v>
      </c>
      <c r="J10" s="51">
        <f t="shared" si="0"/>
        <v>0</v>
      </c>
      <c r="K10" s="51">
        <f t="shared" si="0"/>
        <v>5909300</v>
      </c>
      <c r="L10" s="51">
        <f t="shared" si="0"/>
        <v>891147</v>
      </c>
      <c r="M10" s="51">
        <f t="shared" si="0"/>
        <v>4491562</v>
      </c>
      <c r="N10" s="51">
        <f t="shared" si="0"/>
        <v>2040234</v>
      </c>
      <c r="O10" s="51">
        <f t="shared" si="0"/>
        <v>909</v>
      </c>
      <c r="P10" s="51">
        <f t="shared" si="0"/>
        <v>148091</v>
      </c>
      <c r="Q10" s="51">
        <f t="shared" si="0"/>
        <v>134034</v>
      </c>
      <c r="R10" s="51">
        <f t="shared" si="0"/>
        <v>14057</v>
      </c>
      <c r="S10" s="51">
        <f t="shared" si="0"/>
        <v>378500</v>
      </c>
      <c r="T10" s="62">
        <f t="shared" ref="T10:V11" si="1">K10/C10*100</f>
        <v>133.02816524100308</v>
      </c>
      <c r="U10" s="62">
        <f t="shared" si="1"/>
        <v>301.6072915326975</v>
      </c>
      <c r="V10" s="62">
        <f t="shared" si="1"/>
        <v>110.64118780906868</v>
      </c>
    </row>
    <row r="11" spans="1:22">
      <c r="A11" s="38">
        <v>1</v>
      </c>
      <c r="B11" s="39" t="s">
        <v>326</v>
      </c>
      <c r="C11" s="52">
        <v>630508</v>
      </c>
      <c r="D11" s="52">
        <v>30489</v>
      </c>
      <c r="E11" s="52">
        <v>587657</v>
      </c>
      <c r="F11" s="52">
        <f>297697+1980</f>
        <v>299677</v>
      </c>
      <c r="G11" s="52"/>
      <c r="H11" s="52"/>
      <c r="I11" s="52"/>
      <c r="J11" s="52"/>
      <c r="K11" s="52">
        <f>L11+M11+P11+S11</f>
        <v>829837</v>
      </c>
      <c r="L11" s="52">
        <v>178199</v>
      </c>
      <c r="M11" s="52">
        <v>585491</v>
      </c>
      <c r="N11" s="52">
        <v>287740</v>
      </c>
      <c r="O11" s="52">
        <v>3</v>
      </c>
      <c r="P11" s="52">
        <f>Q11+R11</f>
        <v>22047</v>
      </c>
      <c r="Q11" s="52">
        <v>20155</v>
      </c>
      <c r="R11" s="52">
        <v>1892</v>
      </c>
      <c r="S11" s="52">
        <v>44100</v>
      </c>
      <c r="T11" s="86">
        <f t="shared" si="1"/>
        <v>131.61403186002397</v>
      </c>
      <c r="U11" s="86">
        <f t="shared" si="1"/>
        <v>584.46980878349575</v>
      </c>
      <c r="V11" s="86">
        <f>M11/E11*100</f>
        <v>99.631417646688462</v>
      </c>
    </row>
    <row r="12" spans="1:22">
      <c r="A12" s="38">
        <v>2</v>
      </c>
      <c r="B12" s="39" t="s">
        <v>327</v>
      </c>
      <c r="C12" s="52">
        <v>424964</v>
      </c>
      <c r="D12" s="52">
        <v>15896</v>
      </c>
      <c r="E12" s="52">
        <v>400735</v>
      </c>
      <c r="F12" s="52">
        <f>211035+1733</f>
        <v>212768</v>
      </c>
      <c r="G12" s="52"/>
      <c r="H12" s="52"/>
      <c r="I12" s="52"/>
      <c r="J12" s="52"/>
      <c r="K12" s="52">
        <f t="shared" ref="K12:K21" si="2">L12+M12+P12+S12</f>
        <v>515607</v>
      </c>
      <c r="L12" s="52">
        <v>70865</v>
      </c>
      <c r="M12" s="52">
        <v>415856</v>
      </c>
      <c r="N12" s="52">
        <v>210963</v>
      </c>
      <c r="O12" s="52"/>
      <c r="P12" s="52">
        <f t="shared" ref="P12:P21" si="3">Q12+R12</f>
        <v>16282</v>
      </c>
      <c r="Q12" s="52">
        <v>15055</v>
      </c>
      <c r="R12" s="52">
        <v>1227</v>
      </c>
      <c r="S12" s="52">
        <v>12604</v>
      </c>
      <c r="T12" s="86">
        <f t="shared" ref="T12:T21" si="4">K12/C12*100</f>
        <v>121.3295714460519</v>
      </c>
      <c r="U12" s="86">
        <f t="shared" ref="U12:U21" si="5">L12/D12*100</f>
        <v>445.80397584297941</v>
      </c>
      <c r="V12" s="86">
        <f t="shared" ref="V12:V21" si="6">M12/E12*100</f>
        <v>103.77331653087451</v>
      </c>
    </row>
    <row r="13" spans="1:22">
      <c r="A13" s="38">
        <v>3</v>
      </c>
      <c r="B13" s="39" t="s">
        <v>328</v>
      </c>
      <c r="C13" s="52">
        <v>537091</v>
      </c>
      <c r="D13" s="52">
        <v>25442</v>
      </c>
      <c r="E13" s="52">
        <v>501118</v>
      </c>
      <c r="F13" s="52">
        <f>254653+4836</f>
        <v>259489</v>
      </c>
      <c r="G13" s="52"/>
      <c r="H13" s="52"/>
      <c r="I13" s="52"/>
      <c r="J13" s="52"/>
      <c r="K13" s="52">
        <f t="shared" si="2"/>
        <v>660674</v>
      </c>
      <c r="L13" s="52">
        <v>83945</v>
      </c>
      <c r="M13" s="52">
        <v>504480</v>
      </c>
      <c r="N13" s="52">
        <v>259070</v>
      </c>
      <c r="O13" s="52">
        <v>91</v>
      </c>
      <c r="P13" s="52">
        <f t="shared" si="3"/>
        <v>15489</v>
      </c>
      <c r="Q13" s="47">
        <v>13872</v>
      </c>
      <c r="R13" s="52">
        <v>1617</v>
      </c>
      <c r="S13" s="52">
        <v>56760</v>
      </c>
      <c r="T13" s="86">
        <f t="shared" si="4"/>
        <v>123.00969481894131</v>
      </c>
      <c r="U13" s="86">
        <f t="shared" si="5"/>
        <v>329.94654508293377</v>
      </c>
      <c r="V13" s="86">
        <f t="shared" si="6"/>
        <v>100.67089986789539</v>
      </c>
    </row>
    <row r="14" spans="1:22">
      <c r="A14" s="38">
        <v>4</v>
      </c>
      <c r="B14" s="39" t="s">
        <v>329</v>
      </c>
      <c r="C14" s="47">
        <v>453976</v>
      </c>
      <c r="D14" s="47">
        <v>15041</v>
      </c>
      <c r="E14" s="47">
        <v>430033</v>
      </c>
      <c r="F14" s="47">
        <f>222215+5363</f>
        <v>227578</v>
      </c>
      <c r="G14" s="47"/>
      <c r="H14" s="47"/>
      <c r="I14" s="47"/>
      <c r="J14" s="47"/>
      <c r="K14" s="52">
        <f t="shared" si="2"/>
        <v>551055</v>
      </c>
      <c r="L14" s="47">
        <v>63301</v>
      </c>
      <c r="M14" s="47">
        <v>453296</v>
      </c>
      <c r="N14" s="47">
        <v>221579</v>
      </c>
      <c r="O14" s="47">
        <v>108</v>
      </c>
      <c r="P14" s="52">
        <f t="shared" si="3"/>
        <v>14832</v>
      </c>
      <c r="Q14" s="47">
        <v>13425</v>
      </c>
      <c r="R14" s="47">
        <v>1407</v>
      </c>
      <c r="S14" s="47">
        <v>19626</v>
      </c>
      <c r="T14" s="86">
        <f t="shared" si="4"/>
        <v>121.38417008828661</v>
      </c>
      <c r="U14" s="86">
        <f t="shared" si="5"/>
        <v>420.85632604215147</v>
      </c>
      <c r="V14" s="86">
        <f t="shared" si="6"/>
        <v>105.40958484581415</v>
      </c>
    </row>
    <row r="15" spans="1:22">
      <c r="A15" s="38">
        <v>5</v>
      </c>
      <c r="B15" s="39" t="s">
        <v>330</v>
      </c>
      <c r="C15" s="47">
        <v>350459</v>
      </c>
      <c r="D15" s="47">
        <v>14465</v>
      </c>
      <c r="E15" s="47">
        <v>329122</v>
      </c>
      <c r="F15" s="47">
        <f>162500+5209</f>
        <v>167709</v>
      </c>
      <c r="G15" s="47"/>
      <c r="H15" s="47"/>
      <c r="I15" s="47"/>
      <c r="J15" s="47"/>
      <c r="K15" s="52">
        <f t="shared" si="2"/>
        <v>465426</v>
      </c>
      <c r="L15" s="47">
        <v>84009</v>
      </c>
      <c r="M15" s="47">
        <v>349672</v>
      </c>
      <c r="N15" s="47">
        <v>171525</v>
      </c>
      <c r="O15" s="47">
        <v>6</v>
      </c>
      <c r="P15" s="52">
        <f t="shared" si="3"/>
        <v>10957</v>
      </c>
      <c r="Q15" s="47">
        <v>9762</v>
      </c>
      <c r="R15" s="47">
        <v>1195</v>
      </c>
      <c r="S15" s="47">
        <v>20788</v>
      </c>
      <c r="T15" s="86">
        <f t="shared" si="4"/>
        <v>132.80469327367823</v>
      </c>
      <c r="U15" s="86">
        <f t="shared" si="5"/>
        <v>580.77428275146906</v>
      </c>
      <c r="V15" s="86">
        <f t="shared" si="6"/>
        <v>106.24388524620049</v>
      </c>
    </row>
    <row r="16" spans="1:22">
      <c r="A16" s="38">
        <v>6</v>
      </c>
      <c r="B16" s="39" t="s">
        <v>331</v>
      </c>
      <c r="C16" s="47">
        <v>371326</v>
      </c>
      <c r="D16" s="47">
        <v>18588</v>
      </c>
      <c r="E16" s="47">
        <v>345457</v>
      </c>
      <c r="F16" s="47">
        <f>168940+5214</f>
        <v>174154</v>
      </c>
      <c r="G16" s="47"/>
      <c r="H16" s="47"/>
      <c r="I16" s="47"/>
      <c r="J16" s="47"/>
      <c r="K16" s="52">
        <f t="shared" si="2"/>
        <v>546855</v>
      </c>
      <c r="L16" s="47">
        <v>69594</v>
      </c>
      <c r="M16" s="47">
        <v>406584</v>
      </c>
      <c r="N16" s="47">
        <v>186194</v>
      </c>
      <c r="O16" s="47">
        <v>7</v>
      </c>
      <c r="P16" s="52">
        <f t="shared" si="3"/>
        <v>19665</v>
      </c>
      <c r="Q16" s="47">
        <v>17025</v>
      </c>
      <c r="R16" s="47">
        <v>2640</v>
      </c>
      <c r="S16" s="47">
        <v>51012</v>
      </c>
      <c r="T16" s="86">
        <f t="shared" si="4"/>
        <v>147.27086172258339</v>
      </c>
      <c r="U16" s="86">
        <f t="shared" si="5"/>
        <v>374.40284054228539</v>
      </c>
      <c r="V16" s="86">
        <f t="shared" si="6"/>
        <v>117.69453217042931</v>
      </c>
    </row>
    <row r="17" spans="1:22">
      <c r="A17" s="38">
        <v>7</v>
      </c>
      <c r="B17" s="39" t="s">
        <v>332</v>
      </c>
      <c r="C17" s="47">
        <v>232301</v>
      </c>
      <c r="D17" s="47">
        <v>18531</v>
      </c>
      <c r="E17" s="47">
        <v>209215</v>
      </c>
      <c r="F17" s="47">
        <f>77136+3678</f>
        <v>80814</v>
      </c>
      <c r="G17" s="47"/>
      <c r="H17" s="47"/>
      <c r="I17" s="47"/>
      <c r="J17" s="47"/>
      <c r="K17" s="52">
        <f t="shared" si="2"/>
        <v>430848</v>
      </c>
      <c r="L17" s="47">
        <v>65981</v>
      </c>
      <c r="M17" s="47">
        <v>313764</v>
      </c>
      <c r="N17" s="47">
        <v>80967</v>
      </c>
      <c r="O17" s="47">
        <v>395</v>
      </c>
      <c r="P17" s="52">
        <f t="shared" si="3"/>
        <v>9480</v>
      </c>
      <c r="Q17" s="47">
        <v>8243</v>
      </c>
      <c r="R17" s="47">
        <v>1237</v>
      </c>
      <c r="S17" s="47">
        <v>41623</v>
      </c>
      <c r="T17" s="86">
        <f t="shared" si="4"/>
        <v>185.46971386261791</v>
      </c>
      <c r="U17" s="86">
        <f t="shared" si="5"/>
        <v>356.0574173007393</v>
      </c>
      <c r="V17" s="86">
        <f t="shared" si="6"/>
        <v>149.97203833377148</v>
      </c>
    </row>
    <row r="18" spans="1:22">
      <c r="A18" s="38">
        <v>8</v>
      </c>
      <c r="B18" s="39" t="s">
        <v>333</v>
      </c>
      <c r="C18" s="47">
        <v>140914</v>
      </c>
      <c r="D18" s="47">
        <v>7719</v>
      </c>
      <c r="E18" s="47">
        <v>130432</v>
      </c>
      <c r="F18" s="47">
        <f>43592+1770</f>
        <v>45362</v>
      </c>
      <c r="G18" s="47"/>
      <c r="H18" s="47"/>
      <c r="I18" s="47"/>
      <c r="J18" s="47"/>
      <c r="K18" s="52">
        <f t="shared" si="2"/>
        <v>216270</v>
      </c>
      <c r="L18" s="47">
        <v>12388</v>
      </c>
      <c r="M18" s="47">
        <v>180714</v>
      </c>
      <c r="N18" s="47">
        <v>72255</v>
      </c>
      <c r="O18" s="47">
        <v>217</v>
      </c>
      <c r="P18" s="52">
        <f t="shared" si="3"/>
        <v>15386</v>
      </c>
      <c r="Q18" s="47">
        <v>14771</v>
      </c>
      <c r="R18" s="47">
        <v>615</v>
      </c>
      <c r="S18" s="47">
        <v>7782</v>
      </c>
      <c r="T18" s="86">
        <f t="shared" si="4"/>
        <v>153.47658855755992</v>
      </c>
      <c r="U18" s="86">
        <f t="shared" si="5"/>
        <v>160.48710972923953</v>
      </c>
      <c r="V18" s="86">
        <f t="shared" si="6"/>
        <v>138.55035574092247</v>
      </c>
    </row>
    <row r="19" spans="1:22">
      <c r="A19" s="38">
        <v>9</v>
      </c>
      <c r="B19" s="39" t="s">
        <v>334</v>
      </c>
      <c r="C19" s="47">
        <v>300383</v>
      </c>
      <c r="D19" s="47">
        <v>16927</v>
      </c>
      <c r="E19" s="47">
        <v>277566</v>
      </c>
      <c r="F19" s="47">
        <f>126730+1619</f>
        <v>128349</v>
      </c>
      <c r="G19" s="47"/>
      <c r="H19" s="47"/>
      <c r="I19" s="47"/>
      <c r="J19" s="47"/>
      <c r="K19" s="52">
        <f t="shared" si="2"/>
        <v>401561</v>
      </c>
      <c r="L19" s="47">
        <v>38870</v>
      </c>
      <c r="M19" s="47">
        <v>321946</v>
      </c>
      <c r="N19" s="47">
        <v>148454</v>
      </c>
      <c r="O19" s="47">
        <v>7</v>
      </c>
      <c r="P19" s="52">
        <f t="shared" si="3"/>
        <v>7932</v>
      </c>
      <c r="Q19" s="47">
        <v>7139</v>
      </c>
      <c r="R19" s="47">
        <v>793</v>
      </c>
      <c r="S19" s="47">
        <v>32813</v>
      </c>
      <c r="T19" s="86">
        <f t="shared" si="4"/>
        <v>133.68299803916997</v>
      </c>
      <c r="U19" s="86">
        <f t="shared" si="5"/>
        <v>229.63313050156552</v>
      </c>
      <c r="V19" s="86">
        <f t="shared" si="6"/>
        <v>115.98899000598055</v>
      </c>
    </row>
    <row r="20" spans="1:22">
      <c r="A20" s="38">
        <v>10</v>
      </c>
      <c r="B20" s="39" t="s">
        <v>335</v>
      </c>
      <c r="C20" s="47">
        <v>355535</v>
      </c>
      <c r="D20" s="47">
        <v>20356</v>
      </c>
      <c r="E20" s="47">
        <v>328208</v>
      </c>
      <c r="F20" s="47">
        <f>162044+1416</f>
        <v>163460</v>
      </c>
      <c r="G20" s="47"/>
      <c r="H20" s="47"/>
      <c r="I20" s="47"/>
      <c r="J20" s="47"/>
      <c r="K20" s="52">
        <f t="shared" si="2"/>
        <v>465085</v>
      </c>
      <c r="L20" s="47">
        <v>92024</v>
      </c>
      <c r="M20" s="47">
        <v>343085</v>
      </c>
      <c r="N20" s="47">
        <v>162815</v>
      </c>
      <c r="O20" s="47">
        <v>3</v>
      </c>
      <c r="P20" s="52">
        <f t="shared" si="3"/>
        <v>8741</v>
      </c>
      <c r="Q20" s="47">
        <v>8249</v>
      </c>
      <c r="R20" s="47">
        <v>492</v>
      </c>
      <c r="S20" s="47">
        <v>21235</v>
      </c>
      <c r="T20" s="86">
        <f t="shared" si="4"/>
        <v>130.81271886030913</v>
      </c>
      <c r="U20" s="86">
        <f t="shared" si="5"/>
        <v>452.0730988406367</v>
      </c>
      <c r="V20" s="86">
        <f t="shared" si="6"/>
        <v>104.53279627553258</v>
      </c>
    </row>
    <row r="21" spans="1:22">
      <c r="A21" s="38">
        <v>11</v>
      </c>
      <c r="B21" s="40" t="s">
        <v>336</v>
      </c>
      <c r="C21" s="47">
        <v>644685</v>
      </c>
      <c r="D21" s="47">
        <v>112012</v>
      </c>
      <c r="E21" s="47">
        <v>520032</v>
      </c>
      <c r="F21" s="47">
        <f>238415+1750</f>
        <v>240165</v>
      </c>
      <c r="G21" s="47"/>
      <c r="H21" s="47"/>
      <c r="I21" s="47"/>
      <c r="J21" s="47"/>
      <c r="K21" s="52">
        <f t="shared" si="2"/>
        <v>826082</v>
      </c>
      <c r="L21" s="47">
        <v>131971</v>
      </c>
      <c r="M21" s="47">
        <v>616674</v>
      </c>
      <c r="N21" s="47">
        <v>238672</v>
      </c>
      <c r="O21" s="47">
        <v>72</v>
      </c>
      <c r="P21" s="52">
        <f t="shared" si="3"/>
        <v>7280</v>
      </c>
      <c r="Q21" s="47">
        <v>6338</v>
      </c>
      <c r="R21" s="47">
        <v>942</v>
      </c>
      <c r="S21" s="47">
        <v>70157</v>
      </c>
      <c r="T21" s="86">
        <f t="shared" si="4"/>
        <v>128.1373073671638</v>
      </c>
      <c r="U21" s="86">
        <f t="shared" si="5"/>
        <v>117.81862657572404</v>
      </c>
      <c r="V21" s="86">
        <f t="shared" si="6"/>
        <v>118.58385637806906</v>
      </c>
    </row>
    <row r="22" spans="1:22">
      <c r="A22" s="41"/>
      <c r="B22" s="42"/>
      <c r="C22" s="15"/>
      <c r="D22" s="15"/>
      <c r="E22" s="15"/>
      <c r="F22" s="15"/>
      <c r="G22" s="15"/>
      <c r="H22" s="15"/>
      <c r="I22" s="15"/>
      <c r="J22" s="15"/>
      <c r="K22" s="15"/>
      <c r="L22" s="15"/>
      <c r="M22" s="15"/>
      <c r="N22" s="15"/>
      <c r="O22" s="15"/>
      <c r="P22" s="15"/>
      <c r="Q22" s="15"/>
      <c r="R22" s="15"/>
      <c r="S22" s="15"/>
      <c r="T22" s="15"/>
      <c r="U22" s="15"/>
      <c r="V22" s="15"/>
    </row>
    <row r="23" spans="1:22" hidden="1">
      <c r="A23" s="362" t="s">
        <v>276</v>
      </c>
      <c r="B23" s="362"/>
      <c r="C23" s="362"/>
      <c r="D23" s="362"/>
      <c r="E23" s="362"/>
      <c r="F23" s="362"/>
      <c r="G23" s="362"/>
      <c r="H23" s="362"/>
      <c r="I23" s="362"/>
      <c r="J23" s="362"/>
      <c r="K23" s="362"/>
      <c r="L23" s="362"/>
      <c r="M23" s="362"/>
      <c r="N23" s="362"/>
      <c r="O23" s="362"/>
      <c r="P23" s="362"/>
      <c r="Q23" s="362"/>
      <c r="R23" s="362"/>
      <c r="S23" s="362"/>
      <c r="T23" s="362"/>
      <c r="U23" s="362"/>
      <c r="V23" s="362"/>
    </row>
    <row r="24" spans="1:22" hidden="1">
      <c r="A24" s="356" t="s">
        <v>238</v>
      </c>
      <c r="B24" s="356"/>
      <c r="C24" s="356"/>
      <c r="D24" s="356"/>
      <c r="E24" s="356"/>
      <c r="F24" s="356"/>
      <c r="G24" s="356"/>
      <c r="H24" s="356"/>
      <c r="I24" s="356"/>
      <c r="J24" s="356"/>
      <c r="K24" s="356"/>
      <c r="L24" s="356"/>
      <c r="M24" s="356"/>
      <c r="N24" s="356"/>
      <c r="O24" s="356"/>
      <c r="P24" s="356"/>
      <c r="Q24" s="356"/>
      <c r="R24" s="356"/>
      <c r="S24" s="356"/>
      <c r="T24" s="356"/>
      <c r="U24" s="356"/>
      <c r="V24" s="356"/>
    </row>
    <row r="25" spans="1:22" hidden="1">
      <c r="A25" s="356" t="s">
        <v>239</v>
      </c>
      <c r="B25" s="356"/>
      <c r="C25" s="356"/>
      <c r="D25" s="356"/>
      <c r="E25" s="356"/>
      <c r="F25" s="356"/>
      <c r="G25" s="356"/>
      <c r="H25" s="356"/>
      <c r="I25" s="356"/>
      <c r="J25" s="356"/>
      <c r="K25" s="356"/>
      <c r="L25" s="356"/>
      <c r="M25" s="356"/>
      <c r="N25" s="356"/>
      <c r="O25" s="356"/>
      <c r="P25" s="356"/>
      <c r="Q25" s="356"/>
      <c r="R25" s="356"/>
      <c r="S25" s="356"/>
      <c r="T25" s="356"/>
      <c r="U25" s="356"/>
      <c r="V25" s="356"/>
    </row>
    <row r="26" spans="1:22" hidden="1">
      <c r="A26" s="8"/>
    </row>
  </sheetData>
  <mergeCells count="33">
    <mergeCell ref="A24:V24"/>
    <mergeCell ref="T1:V1"/>
    <mergeCell ref="T4:V4"/>
    <mergeCell ref="M7:M8"/>
    <mergeCell ref="N7:O7"/>
    <mergeCell ref="P7:P8"/>
    <mergeCell ref="K5:S5"/>
    <mergeCell ref="T5:V5"/>
    <mergeCell ref="K6:K8"/>
    <mergeCell ref="M6:O6"/>
    <mergeCell ref="P6:R6"/>
    <mergeCell ref="S6:S8"/>
    <mergeCell ref="H7:H8"/>
    <mergeCell ref="D6:D8"/>
    <mergeCell ref="U6:U8"/>
    <mergeCell ref="A1:C1"/>
    <mergeCell ref="A23:V23"/>
    <mergeCell ref="T6:T8"/>
    <mergeCell ref="A25:V25"/>
    <mergeCell ref="Q7:R7"/>
    <mergeCell ref="A2:V2"/>
    <mergeCell ref="A3:V3"/>
    <mergeCell ref="A5:A8"/>
    <mergeCell ref="B5:B8"/>
    <mergeCell ref="C5:J5"/>
    <mergeCell ref="C6:C8"/>
    <mergeCell ref="V6:V8"/>
    <mergeCell ref="E6:G6"/>
    <mergeCell ref="H6:J6"/>
    <mergeCell ref="I7:J7"/>
    <mergeCell ref="L6:L8"/>
    <mergeCell ref="E7:E8"/>
    <mergeCell ref="F7:G7"/>
  </mergeCells>
  <pageMargins left="0" right="0" top="0.25" bottom="0.25" header="0.3" footer="0.3"/>
  <pageSetup scale="65" orientation="landscape" r:id="rId1"/>
</worksheet>
</file>

<file path=xl/worksheets/sheet8.xml><?xml version="1.0" encoding="utf-8"?>
<worksheet xmlns="http://schemas.openxmlformats.org/spreadsheetml/2006/main" xmlns:r="http://schemas.openxmlformats.org/officeDocument/2006/relationships">
  <dimension ref="A1:Z51"/>
  <sheetViews>
    <sheetView tabSelected="1" workbookViewId="0">
      <selection activeCell="K6" sqref="K6:K8"/>
    </sheetView>
  </sheetViews>
  <sheetFormatPr defaultRowHeight="15.75"/>
  <cols>
    <col min="1" max="1" width="5.140625" style="56" bestFit="1" customWidth="1"/>
    <col min="2" max="2" width="19.5703125" style="56" customWidth="1"/>
    <col min="3" max="4" width="10.140625" style="56" bestFit="1" customWidth="1"/>
    <col min="5" max="5" width="9.140625" style="56"/>
    <col min="6" max="6" width="6.85546875" style="56" customWidth="1"/>
    <col min="7" max="8" width="9.140625" style="56"/>
    <col min="9" max="9" width="8.28515625" style="56" customWidth="1"/>
    <col min="10" max="10" width="8" style="56" customWidth="1"/>
    <col min="11" max="11" width="10.140625" style="56" bestFit="1" customWidth="1"/>
    <col min="12" max="12" width="10.140625" style="56" customWidth="1"/>
    <col min="13" max="13" width="10.140625" style="56" bestFit="1" customWidth="1"/>
    <col min="14" max="14" width="7.140625" style="56" customWidth="1"/>
    <col min="15" max="15" width="10.140625" style="56" bestFit="1" customWidth="1"/>
    <col min="16" max="21" width="9.140625" style="56"/>
    <col min="22" max="22" width="8.140625" style="56" customWidth="1"/>
    <col min="23" max="24" width="9.140625" style="56"/>
    <col min="25" max="25" width="8.28515625" style="56" customWidth="1"/>
    <col min="26" max="26" width="7.85546875" style="56" customWidth="1"/>
    <col min="27" max="16384" width="9.140625" style="56"/>
  </cols>
  <sheetData>
    <row r="1" spans="1:26" ht="21.75" customHeight="1">
      <c r="A1" s="373" t="str">
        <f>'62'!chuong_phuluc_48</f>
        <v>ỦY BAN NHÂN DÂN TỈNH TIỀN GIANG</v>
      </c>
      <c r="B1" s="373"/>
      <c r="C1" s="373"/>
      <c r="D1" s="373"/>
      <c r="X1" s="333" t="s">
        <v>1412</v>
      </c>
      <c r="Y1" s="333"/>
      <c r="Z1" s="333"/>
    </row>
    <row r="2" spans="1:26">
      <c r="A2" s="372" t="s">
        <v>1429</v>
      </c>
      <c r="B2" s="372"/>
      <c r="C2" s="372"/>
      <c r="D2" s="372"/>
      <c r="E2" s="372"/>
      <c r="F2" s="372"/>
      <c r="G2" s="372"/>
      <c r="H2" s="372"/>
      <c r="I2" s="372"/>
      <c r="J2" s="372"/>
      <c r="K2" s="372"/>
      <c r="L2" s="372"/>
      <c r="M2" s="372"/>
      <c r="N2" s="372"/>
      <c r="O2" s="372"/>
      <c r="P2" s="372"/>
      <c r="Q2" s="372"/>
      <c r="R2" s="372"/>
      <c r="S2" s="372"/>
      <c r="T2" s="372"/>
      <c r="U2" s="372"/>
      <c r="V2" s="372"/>
      <c r="W2" s="372"/>
      <c r="X2" s="372"/>
      <c r="Y2" s="372"/>
      <c r="Z2" s="372"/>
    </row>
    <row r="3" spans="1:26">
      <c r="A3" s="364" t="str">
        <f>'62'!A3:F3</f>
        <v>(Kèm theo Quyết định số ………../QĐ-UBND ngày    /01/2020 của Ủy ban nhân dân tỉnh Tiền Giang)</v>
      </c>
      <c r="B3" s="364"/>
      <c r="C3" s="364"/>
      <c r="D3" s="364"/>
      <c r="E3" s="364"/>
      <c r="F3" s="364"/>
      <c r="G3" s="364"/>
      <c r="H3" s="364"/>
      <c r="I3" s="364"/>
      <c r="J3" s="364"/>
      <c r="K3" s="364"/>
      <c r="L3" s="364"/>
      <c r="M3" s="364"/>
      <c r="N3" s="364"/>
      <c r="O3" s="364"/>
      <c r="P3" s="364"/>
      <c r="Q3" s="364"/>
      <c r="R3" s="364"/>
      <c r="S3" s="364"/>
      <c r="T3" s="364"/>
      <c r="U3" s="364"/>
      <c r="V3" s="364"/>
      <c r="W3" s="364"/>
      <c r="X3" s="364"/>
      <c r="Y3" s="364"/>
      <c r="Z3" s="364"/>
    </row>
    <row r="4" spans="1:26">
      <c r="A4" s="57"/>
      <c r="X4" s="371" t="s">
        <v>1</v>
      </c>
      <c r="Y4" s="371"/>
      <c r="Z4" s="371"/>
    </row>
    <row r="5" spans="1:26" ht="15.75" customHeight="1">
      <c r="A5" s="365" t="s">
        <v>2</v>
      </c>
      <c r="B5" s="365" t="s">
        <v>228</v>
      </c>
      <c r="C5" s="368" t="s">
        <v>3</v>
      </c>
      <c r="D5" s="369"/>
      <c r="E5" s="369"/>
      <c r="F5" s="369"/>
      <c r="G5" s="369"/>
      <c r="H5" s="369"/>
      <c r="I5" s="369"/>
      <c r="J5" s="370"/>
      <c r="K5" s="368" t="s">
        <v>4</v>
      </c>
      <c r="L5" s="369"/>
      <c r="M5" s="369"/>
      <c r="N5" s="369"/>
      <c r="O5" s="369"/>
      <c r="P5" s="369"/>
      <c r="Q5" s="369"/>
      <c r="R5" s="370"/>
      <c r="S5" s="368" t="s">
        <v>240</v>
      </c>
      <c r="T5" s="369"/>
      <c r="U5" s="369"/>
      <c r="V5" s="369"/>
      <c r="W5" s="369"/>
      <c r="X5" s="369"/>
      <c r="Y5" s="369"/>
      <c r="Z5" s="370"/>
    </row>
    <row r="6" spans="1:26" ht="15.75" customHeight="1">
      <c r="A6" s="366"/>
      <c r="B6" s="366"/>
      <c r="C6" s="365" t="s">
        <v>180</v>
      </c>
      <c r="D6" s="365" t="s">
        <v>58</v>
      </c>
      <c r="E6" s="368" t="s">
        <v>59</v>
      </c>
      <c r="F6" s="369"/>
      <c r="G6" s="369"/>
      <c r="H6" s="369"/>
      <c r="I6" s="369"/>
      <c r="J6" s="370"/>
      <c r="K6" s="365" t="s">
        <v>180</v>
      </c>
      <c r="L6" s="365" t="s">
        <v>58</v>
      </c>
      <c r="M6" s="368" t="s">
        <v>59</v>
      </c>
      <c r="N6" s="369"/>
      <c r="O6" s="369"/>
      <c r="P6" s="369"/>
      <c r="Q6" s="369"/>
      <c r="R6" s="370"/>
      <c r="S6" s="365" t="s">
        <v>180</v>
      </c>
      <c r="T6" s="365" t="s">
        <v>58</v>
      </c>
      <c r="U6" s="368" t="s">
        <v>59</v>
      </c>
      <c r="V6" s="369"/>
      <c r="W6" s="369"/>
      <c r="X6" s="369"/>
      <c r="Y6" s="369"/>
      <c r="Z6" s="370"/>
    </row>
    <row r="7" spans="1:26" ht="24" customHeight="1">
      <c r="A7" s="366"/>
      <c r="B7" s="366"/>
      <c r="C7" s="366"/>
      <c r="D7" s="366"/>
      <c r="E7" s="365" t="s">
        <v>180</v>
      </c>
      <c r="F7" s="368" t="s">
        <v>241</v>
      </c>
      <c r="G7" s="370"/>
      <c r="H7" s="365" t="s">
        <v>242</v>
      </c>
      <c r="I7" s="365" t="s">
        <v>243</v>
      </c>
      <c r="J7" s="365" t="s">
        <v>244</v>
      </c>
      <c r="K7" s="366"/>
      <c r="L7" s="366"/>
      <c r="M7" s="365" t="s">
        <v>180</v>
      </c>
      <c r="N7" s="368" t="s">
        <v>241</v>
      </c>
      <c r="O7" s="370"/>
      <c r="P7" s="365" t="s">
        <v>242</v>
      </c>
      <c r="Q7" s="365" t="s">
        <v>243</v>
      </c>
      <c r="R7" s="365" t="s">
        <v>244</v>
      </c>
      <c r="S7" s="366"/>
      <c r="T7" s="366"/>
      <c r="U7" s="365" t="s">
        <v>180</v>
      </c>
      <c r="V7" s="368" t="s">
        <v>241</v>
      </c>
      <c r="W7" s="370"/>
      <c r="X7" s="365" t="s">
        <v>242</v>
      </c>
      <c r="Y7" s="365" t="s">
        <v>243</v>
      </c>
      <c r="Z7" s="365" t="s">
        <v>244</v>
      </c>
    </row>
    <row r="8" spans="1:26" ht="107.25" customHeight="1">
      <c r="A8" s="367"/>
      <c r="B8" s="367"/>
      <c r="C8" s="367"/>
      <c r="D8" s="367"/>
      <c r="E8" s="367"/>
      <c r="F8" s="315" t="s">
        <v>245</v>
      </c>
      <c r="G8" s="315" t="s">
        <v>246</v>
      </c>
      <c r="H8" s="367"/>
      <c r="I8" s="367"/>
      <c r="J8" s="367"/>
      <c r="K8" s="367"/>
      <c r="L8" s="367"/>
      <c r="M8" s="367"/>
      <c r="N8" s="315" t="s">
        <v>245</v>
      </c>
      <c r="O8" s="315" t="s">
        <v>246</v>
      </c>
      <c r="P8" s="367"/>
      <c r="Q8" s="367"/>
      <c r="R8" s="367"/>
      <c r="S8" s="367"/>
      <c r="T8" s="367"/>
      <c r="U8" s="367"/>
      <c r="V8" s="315" t="s">
        <v>245</v>
      </c>
      <c r="W8" s="315" t="s">
        <v>246</v>
      </c>
      <c r="X8" s="367"/>
      <c r="Y8" s="367"/>
      <c r="Z8" s="367"/>
    </row>
    <row r="9" spans="1:26" s="242" customFormat="1" ht="25.5">
      <c r="A9" s="224" t="s">
        <v>7</v>
      </c>
      <c r="B9" s="224" t="s">
        <v>8</v>
      </c>
      <c r="C9" s="224">
        <v>1</v>
      </c>
      <c r="D9" s="224">
        <v>2</v>
      </c>
      <c r="E9" s="224" t="s">
        <v>247</v>
      </c>
      <c r="F9" s="224">
        <v>4</v>
      </c>
      <c r="G9" s="224">
        <v>5</v>
      </c>
      <c r="H9" s="224">
        <v>6</v>
      </c>
      <c r="I9" s="224">
        <v>7</v>
      </c>
      <c r="J9" s="224">
        <v>8</v>
      </c>
      <c r="K9" s="224">
        <v>9</v>
      </c>
      <c r="L9" s="224">
        <v>10</v>
      </c>
      <c r="M9" s="224" t="s">
        <v>248</v>
      </c>
      <c r="N9" s="224">
        <v>12</v>
      </c>
      <c r="O9" s="224">
        <v>13</v>
      </c>
      <c r="P9" s="224">
        <v>14</v>
      </c>
      <c r="Q9" s="224">
        <v>15</v>
      </c>
      <c r="R9" s="224">
        <v>16</v>
      </c>
      <c r="S9" s="224" t="s">
        <v>249</v>
      </c>
      <c r="T9" s="224" t="s">
        <v>250</v>
      </c>
      <c r="U9" s="224" t="s">
        <v>251</v>
      </c>
      <c r="V9" s="224" t="s">
        <v>252</v>
      </c>
      <c r="W9" s="224" t="s">
        <v>253</v>
      </c>
      <c r="X9" s="224" t="s">
        <v>254</v>
      </c>
      <c r="Y9" s="224" t="s">
        <v>255</v>
      </c>
      <c r="Z9" s="224" t="s">
        <v>256</v>
      </c>
    </row>
    <row r="10" spans="1:26" s="61" customFormat="1">
      <c r="A10" s="51"/>
      <c r="B10" s="51" t="s">
        <v>184</v>
      </c>
      <c r="C10" s="51">
        <f>SUM(C11:C21)</f>
        <v>3591344</v>
      </c>
      <c r="D10" s="51">
        <f t="shared" ref="D10:R10" si="0">SUM(D11:D21)</f>
        <v>3121630</v>
      </c>
      <c r="E10" s="51">
        <f t="shared" si="0"/>
        <v>469714</v>
      </c>
      <c r="F10" s="51">
        <f t="shared" si="0"/>
        <v>0</v>
      </c>
      <c r="G10" s="51">
        <f t="shared" si="0"/>
        <v>469714</v>
      </c>
      <c r="H10" s="51">
        <f t="shared" si="0"/>
        <v>252893</v>
      </c>
      <c r="I10" s="51">
        <f t="shared" si="0"/>
        <v>216821</v>
      </c>
      <c r="J10" s="51">
        <f t="shared" si="0"/>
        <v>0</v>
      </c>
      <c r="K10" s="51">
        <f>SUM(K11:K21)</f>
        <v>4501420.523</v>
      </c>
      <c r="L10" s="51">
        <f t="shared" ref="L10" si="1">SUM(L11:L21)</f>
        <v>3121630</v>
      </c>
      <c r="M10" s="51">
        <f t="shared" ref="M10" si="2">SUM(M11:M21)</f>
        <v>1379790.5229999996</v>
      </c>
      <c r="N10" s="51">
        <f t="shared" ref="N10" si="3">SUM(N11:N21)</f>
        <v>0</v>
      </c>
      <c r="O10" s="51">
        <f t="shared" ref="O10" si="4">SUM(O11:O21)</f>
        <v>1379790.5229999996</v>
      </c>
      <c r="P10" s="51">
        <f t="shared" ref="P10" si="5">SUM(P11:P21)</f>
        <v>573857</v>
      </c>
      <c r="Q10" s="51">
        <f t="shared" si="0"/>
        <v>679069.20500000007</v>
      </c>
      <c r="R10" s="51">
        <f t="shared" si="0"/>
        <v>126864.318</v>
      </c>
      <c r="S10" s="62">
        <f>K10/C10*100</f>
        <v>125.34083404430207</v>
      </c>
      <c r="T10" s="62">
        <f t="shared" ref="T10:X10" si="6">L10/D10*100</f>
        <v>100</v>
      </c>
      <c r="U10" s="62">
        <f t="shared" si="6"/>
        <v>293.75120243382133</v>
      </c>
      <c r="V10" s="62"/>
      <c r="W10" s="62">
        <f t="shared" si="6"/>
        <v>293.75120243382133</v>
      </c>
      <c r="X10" s="62">
        <f t="shared" si="6"/>
        <v>226.91691743148289</v>
      </c>
      <c r="Y10" s="62"/>
      <c r="Z10" s="62"/>
    </row>
    <row r="11" spans="1:26">
      <c r="A11" s="38">
        <v>1</v>
      </c>
      <c r="B11" s="39" t="s">
        <v>326</v>
      </c>
      <c r="C11" s="327">
        <v>556999</v>
      </c>
      <c r="D11" s="47">
        <v>492819</v>
      </c>
      <c r="E11" s="47">
        <v>64180</v>
      </c>
      <c r="F11" s="47"/>
      <c r="G11" s="47">
        <v>64180</v>
      </c>
      <c r="H11" s="47">
        <v>39884</v>
      </c>
      <c r="I11" s="47">
        <v>24296</v>
      </c>
      <c r="J11" s="47"/>
      <c r="K11" s="52">
        <v>683525.571</v>
      </c>
      <c r="L11" s="47">
        <v>492819</v>
      </c>
      <c r="M11" s="47">
        <v>190706.571</v>
      </c>
      <c r="N11" s="47"/>
      <c r="O11" s="47">
        <v>190706.571</v>
      </c>
      <c r="P11" s="47">
        <v>99654</v>
      </c>
      <c r="Q11" s="47">
        <v>74262.938999999998</v>
      </c>
      <c r="R11" s="47">
        <v>16789.631999999998</v>
      </c>
      <c r="S11" s="86">
        <v>122.71576268539081</v>
      </c>
      <c r="T11" s="86">
        <v>100</v>
      </c>
      <c r="U11" s="86">
        <v>297.14330165160487</v>
      </c>
      <c r="V11" s="86"/>
      <c r="W11" s="86">
        <v>297.14330165160487</v>
      </c>
      <c r="X11" s="86">
        <v>249.85959281917562</v>
      </c>
      <c r="Y11" s="86"/>
      <c r="Z11" s="86"/>
    </row>
    <row r="12" spans="1:26">
      <c r="A12" s="38">
        <v>2</v>
      </c>
      <c r="B12" s="39" t="s">
        <v>327</v>
      </c>
      <c r="C12" s="52">
        <v>405957</v>
      </c>
      <c r="D12" s="47">
        <v>357586</v>
      </c>
      <c r="E12" s="47">
        <v>48371</v>
      </c>
      <c r="F12" s="47"/>
      <c r="G12" s="47">
        <v>48371</v>
      </c>
      <c r="H12" s="47">
        <v>27998</v>
      </c>
      <c r="I12" s="47">
        <v>20373</v>
      </c>
      <c r="J12" s="47"/>
      <c r="K12" s="52">
        <v>501661.64500000002</v>
      </c>
      <c r="L12" s="47">
        <v>357586</v>
      </c>
      <c r="M12" s="47">
        <v>144075.64500000002</v>
      </c>
      <c r="N12" s="47"/>
      <c r="O12" s="47">
        <v>144075.64500000002</v>
      </c>
      <c r="P12" s="47">
        <v>70285</v>
      </c>
      <c r="Q12" s="47">
        <v>62313.224000000017</v>
      </c>
      <c r="R12" s="47">
        <v>11477.421</v>
      </c>
      <c r="S12" s="86">
        <v>123.57506952706814</v>
      </c>
      <c r="T12" s="86">
        <v>100</v>
      </c>
      <c r="U12" s="86">
        <v>297.85541956957684</v>
      </c>
      <c r="V12" s="86"/>
      <c r="W12" s="86">
        <v>297.85541956957684</v>
      </c>
      <c r="X12" s="86">
        <v>251.03578827059073</v>
      </c>
      <c r="Y12" s="86"/>
      <c r="Z12" s="86"/>
    </row>
    <row r="13" spans="1:26">
      <c r="A13" s="38">
        <v>3</v>
      </c>
      <c r="B13" s="39" t="s">
        <v>328</v>
      </c>
      <c r="C13" s="52">
        <v>446414</v>
      </c>
      <c r="D13" s="47">
        <v>401183</v>
      </c>
      <c r="E13" s="47">
        <v>45231</v>
      </c>
      <c r="F13" s="47"/>
      <c r="G13" s="47">
        <v>45231</v>
      </c>
      <c r="H13" s="47">
        <v>22859</v>
      </c>
      <c r="I13" s="47">
        <v>22372</v>
      </c>
      <c r="J13" s="47"/>
      <c r="K13" s="52">
        <v>525141.31799999997</v>
      </c>
      <c r="L13" s="47">
        <v>401183</v>
      </c>
      <c r="M13" s="47">
        <v>123958.31799999997</v>
      </c>
      <c r="N13" s="47"/>
      <c r="O13" s="47">
        <v>123958.31799999997</v>
      </c>
      <c r="P13" s="47">
        <v>56463.000000000015</v>
      </c>
      <c r="Q13" s="47">
        <v>52979.461999999956</v>
      </c>
      <c r="R13" s="47">
        <v>14515.856</v>
      </c>
      <c r="S13" s="86">
        <v>117.63549485455205</v>
      </c>
      <c r="T13" s="86">
        <v>100</v>
      </c>
      <c r="U13" s="86">
        <v>274.05610753686625</v>
      </c>
      <c r="V13" s="86"/>
      <c r="W13" s="86">
        <v>274.05610753686625</v>
      </c>
      <c r="X13" s="86">
        <v>247.00555579859142</v>
      </c>
      <c r="Y13" s="86"/>
      <c r="Z13" s="86"/>
    </row>
    <row r="14" spans="1:26">
      <c r="A14" s="38">
        <v>4</v>
      </c>
      <c r="B14" s="39" t="s">
        <v>329</v>
      </c>
      <c r="C14" s="52">
        <v>435914</v>
      </c>
      <c r="D14" s="47">
        <v>386169</v>
      </c>
      <c r="E14" s="47">
        <v>49745</v>
      </c>
      <c r="F14" s="47"/>
      <c r="G14" s="47">
        <v>49745</v>
      </c>
      <c r="H14" s="47">
        <v>35453</v>
      </c>
      <c r="I14" s="47">
        <v>14292</v>
      </c>
      <c r="J14" s="47"/>
      <c r="K14" s="52">
        <v>521072.08500000002</v>
      </c>
      <c r="L14" s="47">
        <v>386169</v>
      </c>
      <c r="M14" s="47">
        <v>134903.08500000002</v>
      </c>
      <c r="N14" s="47"/>
      <c r="O14" s="47">
        <v>134903.08500000002</v>
      </c>
      <c r="P14" s="47">
        <v>68353.999999999985</v>
      </c>
      <c r="Q14" s="47">
        <v>53216.567000000039</v>
      </c>
      <c r="R14" s="47">
        <v>13332.518</v>
      </c>
      <c r="S14" s="86">
        <v>119.53552420890358</v>
      </c>
      <c r="T14" s="86">
        <v>100</v>
      </c>
      <c r="U14" s="86">
        <v>271.18923509900497</v>
      </c>
      <c r="V14" s="86"/>
      <c r="W14" s="86">
        <v>271.18923509900497</v>
      </c>
      <c r="X14" s="86">
        <v>192.80173751163508</v>
      </c>
      <c r="Y14" s="86"/>
      <c r="Z14" s="86"/>
    </row>
    <row r="15" spans="1:26">
      <c r="A15" s="38">
        <v>5</v>
      </c>
      <c r="B15" s="39" t="s">
        <v>330</v>
      </c>
      <c r="C15" s="52">
        <v>331225</v>
      </c>
      <c r="D15" s="47">
        <v>298513</v>
      </c>
      <c r="E15" s="47">
        <v>32712</v>
      </c>
      <c r="F15" s="47"/>
      <c r="G15" s="47">
        <v>32712</v>
      </c>
      <c r="H15" s="47">
        <v>13932</v>
      </c>
      <c r="I15" s="47">
        <v>18780</v>
      </c>
      <c r="J15" s="47"/>
      <c r="K15" s="52">
        <v>375100.00099999999</v>
      </c>
      <c r="L15" s="47">
        <v>298513</v>
      </c>
      <c r="M15" s="47">
        <v>76587.000999999989</v>
      </c>
      <c r="N15" s="47"/>
      <c r="O15" s="47">
        <v>76587.000999999989</v>
      </c>
      <c r="P15" s="47">
        <v>27233</v>
      </c>
      <c r="Q15" s="47">
        <v>41360.223999999987</v>
      </c>
      <c r="R15" s="47">
        <v>7993.777</v>
      </c>
      <c r="S15" s="86">
        <v>113.24628304022946</v>
      </c>
      <c r="T15" s="86">
        <v>100</v>
      </c>
      <c r="U15" s="86">
        <v>234.12509476644652</v>
      </c>
      <c r="V15" s="86"/>
      <c r="W15" s="86">
        <v>234.12509476644652</v>
      </c>
      <c r="X15" s="86">
        <v>195.4708584553546</v>
      </c>
      <c r="Y15" s="86"/>
      <c r="Z15" s="86"/>
    </row>
    <row r="16" spans="1:26">
      <c r="A16" s="38">
        <v>6</v>
      </c>
      <c r="B16" s="39" t="s">
        <v>331</v>
      </c>
      <c r="C16" s="52">
        <v>366131</v>
      </c>
      <c r="D16" s="47">
        <v>322125</v>
      </c>
      <c r="E16" s="47">
        <v>44006</v>
      </c>
      <c r="F16" s="47"/>
      <c r="G16" s="47">
        <v>44006</v>
      </c>
      <c r="H16" s="47">
        <v>14088</v>
      </c>
      <c r="I16" s="47">
        <v>29918</v>
      </c>
      <c r="J16" s="47"/>
      <c r="K16" s="52">
        <v>469389.397</v>
      </c>
      <c r="L16" s="47">
        <v>322125</v>
      </c>
      <c r="M16" s="47">
        <v>147264.39700000003</v>
      </c>
      <c r="N16" s="47"/>
      <c r="O16" s="47">
        <v>147264.39700000003</v>
      </c>
      <c r="P16" s="47">
        <v>41365</v>
      </c>
      <c r="Q16" s="47">
        <v>93054.281000000003</v>
      </c>
      <c r="R16" s="47">
        <v>12845.115999999998</v>
      </c>
      <c r="S16" s="86">
        <v>128.20258240902845</v>
      </c>
      <c r="T16" s="86">
        <v>100</v>
      </c>
      <c r="U16" s="86">
        <v>334.64617779393728</v>
      </c>
      <c r="V16" s="86"/>
      <c r="W16" s="86">
        <v>334.64617779393728</v>
      </c>
      <c r="X16" s="86">
        <v>293.61868256672341</v>
      </c>
      <c r="Y16" s="86"/>
      <c r="Z16" s="86"/>
    </row>
    <row r="17" spans="1:26">
      <c r="A17" s="38">
        <v>7</v>
      </c>
      <c r="B17" s="39" t="s">
        <v>332</v>
      </c>
      <c r="C17" s="52">
        <v>209377</v>
      </c>
      <c r="D17" s="47">
        <v>178007</v>
      </c>
      <c r="E17" s="47">
        <v>31370</v>
      </c>
      <c r="F17" s="47"/>
      <c r="G17" s="47">
        <v>31370</v>
      </c>
      <c r="H17" s="47">
        <v>11711</v>
      </c>
      <c r="I17" s="47">
        <v>19659</v>
      </c>
      <c r="J17" s="47"/>
      <c r="K17" s="250">
        <v>277417.85499999998</v>
      </c>
      <c r="L17" s="47">
        <v>178007</v>
      </c>
      <c r="M17" s="47">
        <v>99410.854999999981</v>
      </c>
      <c r="N17" s="47"/>
      <c r="O17" s="47">
        <v>99410.854999999981</v>
      </c>
      <c r="P17" s="47">
        <v>37603</v>
      </c>
      <c r="Q17" s="47">
        <v>53864.81099999998</v>
      </c>
      <c r="R17" s="47">
        <v>7943.0439999999999</v>
      </c>
      <c r="S17" s="86">
        <v>132.49681435878819</v>
      </c>
      <c r="T17" s="86">
        <v>100</v>
      </c>
      <c r="U17" s="86">
        <v>316.89784826267129</v>
      </c>
      <c r="V17" s="86"/>
      <c r="W17" s="86">
        <v>316.89784826267129</v>
      </c>
      <c r="X17" s="86">
        <v>321.09128170096494</v>
      </c>
      <c r="Y17" s="86"/>
      <c r="Z17" s="86"/>
    </row>
    <row r="18" spans="1:26">
      <c r="A18" s="38">
        <v>8</v>
      </c>
      <c r="B18" s="39" t="s">
        <v>333</v>
      </c>
      <c r="C18" s="52">
        <v>151696</v>
      </c>
      <c r="D18" s="47">
        <v>120357</v>
      </c>
      <c r="E18" s="47">
        <v>31339</v>
      </c>
      <c r="F18" s="47"/>
      <c r="G18" s="47">
        <v>31339</v>
      </c>
      <c r="H18" s="47">
        <v>3319</v>
      </c>
      <c r="I18" s="47">
        <v>28020</v>
      </c>
      <c r="J18" s="47"/>
      <c r="K18" s="52">
        <v>188665.89799999999</v>
      </c>
      <c r="L18" s="47">
        <v>120357</v>
      </c>
      <c r="M18" s="47">
        <v>68308.897999999986</v>
      </c>
      <c r="N18" s="47"/>
      <c r="O18" s="47">
        <v>68308.897999999986</v>
      </c>
      <c r="P18" s="47">
        <v>11990.000000000002</v>
      </c>
      <c r="Q18" s="47">
        <v>36884.899999999987</v>
      </c>
      <c r="R18" s="47">
        <v>19433.998</v>
      </c>
      <c r="S18" s="86">
        <v>124.37104340259467</v>
      </c>
      <c r="T18" s="86">
        <v>100</v>
      </c>
      <c r="U18" s="86">
        <v>217.96770158588336</v>
      </c>
      <c r="V18" s="86"/>
      <c r="W18" s="86">
        <v>217.96770158588336</v>
      </c>
      <c r="X18" s="86">
        <v>361.25338957517329</v>
      </c>
      <c r="Y18" s="86"/>
      <c r="Z18" s="86"/>
    </row>
    <row r="19" spans="1:26">
      <c r="A19" s="38">
        <v>9</v>
      </c>
      <c r="B19" s="39" t="s">
        <v>334</v>
      </c>
      <c r="C19" s="52">
        <v>273401</v>
      </c>
      <c r="D19" s="47">
        <v>227389</v>
      </c>
      <c r="E19" s="47">
        <v>46012</v>
      </c>
      <c r="F19" s="47"/>
      <c r="G19" s="47">
        <v>46012</v>
      </c>
      <c r="H19" s="47">
        <v>22545</v>
      </c>
      <c r="I19" s="47">
        <v>23467</v>
      </c>
      <c r="J19" s="47"/>
      <c r="K19" s="52">
        <v>344156.049</v>
      </c>
      <c r="L19" s="47">
        <v>227389</v>
      </c>
      <c r="M19" s="47">
        <v>116767.049</v>
      </c>
      <c r="N19" s="47"/>
      <c r="O19" s="47">
        <v>116767.049</v>
      </c>
      <c r="P19" s="47">
        <v>39263</v>
      </c>
      <c r="Q19" s="47">
        <v>66898.413</v>
      </c>
      <c r="R19" s="47">
        <v>10605.636</v>
      </c>
      <c r="S19" s="86">
        <v>125.87958676083848</v>
      </c>
      <c r="T19" s="86">
        <v>100</v>
      </c>
      <c r="U19" s="86">
        <v>253.77520864122403</v>
      </c>
      <c r="V19" s="86"/>
      <c r="W19" s="86">
        <v>253.77520864122403</v>
      </c>
      <c r="X19" s="86">
        <v>174.15391439343534</v>
      </c>
      <c r="Y19" s="86"/>
      <c r="Z19" s="86"/>
    </row>
    <row r="20" spans="1:26">
      <c r="A20" s="38">
        <v>10</v>
      </c>
      <c r="B20" s="39" t="s">
        <v>335</v>
      </c>
      <c r="C20" s="52">
        <v>298426</v>
      </c>
      <c r="D20" s="47">
        <v>265919</v>
      </c>
      <c r="E20" s="47">
        <v>32507</v>
      </c>
      <c r="F20" s="47"/>
      <c r="G20" s="47">
        <v>32507</v>
      </c>
      <c r="H20" s="47">
        <v>23313</v>
      </c>
      <c r="I20" s="47">
        <v>9194</v>
      </c>
      <c r="J20" s="47"/>
      <c r="K20" s="52">
        <v>396414.96799999999</v>
      </c>
      <c r="L20" s="47">
        <v>265919</v>
      </c>
      <c r="M20" s="47">
        <v>130495.96799999999</v>
      </c>
      <c r="N20" s="47"/>
      <c r="O20" s="47">
        <v>130495.96799999999</v>
      </c>
      <c r="P20" s="47">
        <v>69120</v>
      </c>
      <c r="Q20" s="47">
        <v>54381.049999999996</v>
      </c>
      <c r="R20" s="47">
        <v>6994.9179999999997</v>
      </c>
      <c r="S20" s="86">
        <v>132.835265023825</v>
      </c>
      <c r="T20" s="86">
        <v>100</v>
      </c>
      <c r="U20" s="86">
        <v>401.43959147260591</v>
      </c>
      <c r="V20" s="86"/>
      <c r="W20" s="86">
        <v>401.43959147260591</v>
      </c>
      <c r="X20" s="86">
        <v>296.48693861793851</v>
      </c>
      <c r="Y20" s="86"/>
      <c r="Z20" s="86"/>
    </row>
    <row r="21" spans="1:26">
      <c r="A21" s="38">
        <v>11</v>
      </c>
      <c r="B21" s="40" t="s">
        <v>336</v>
      </c>
      <c r="C21" s="52">
        <v>115804</v>
      </c>
      <c r="D21" s="47">
        <v>71563</v>
      </c>
      <c r="E21" s="47">
        <v>44241</v>
      </c>
      <c r="F21" s="47"/>
      <c r="G21" s="47">
        <v>44241</v>
      </c>
      <c r="H21" s="47">
        <v>37791</v>
      </c>
      <c r="I21" s="47">
        <v>6450</v>
      </c>
      <c r="J21" s="47"/>
      <c r="K21" s="52">
        <v>218875.736</v>
      </c>
      <c r="L21" s="47">
        <v>71563</v>
      </c>
      <c r="M21" s="47">
        <v>147312.736</v>
      </c>
      <c r="N21" s="47"/>
      <c r="O21" s="47">
        <v>147312.736</v>
      </c>
      <c r="P21" s="47">
        <v>52527</v>
      </c>
      <c r="Q21" s="47">
        <v>89853.334000000003</v>
      </c>
      <c r="R21" s="47">
        <v>4932.402</v>
      </c>
      <c r="S21" s="86">
        <v>189.00533314911402</v>
      </c>
      <c r="T21" s="86">
        <v>100</v>
      </c>
      <c r="U21" s="86">
        <v>332.97786216405598</v>
      </c>
      <c r="V21" s="86"/>
      <c r="W21" s="86">
        <v>332.97786216405598</v>
      </c>
      <c r="X21" s="86">
        <v>138.99341112963404</v>
      </c>
      <c r="Y21" s="86"/>
      <c r="Z21" s="86"/>
    </row>
    <row r="22" spans="1:26">
      <c r="A22" s="243"/>
      <c r="B22" s="244"/>
      <c r="C22" s="48"/>
      <c r="D22" s="48"/>
      <c r="E22" s="48"/>
      <c r="F22" s="48"/>
      <c r="G22" s="48"/>
      <c r="H22" s="48"/>
      <c r="I22" s="48"/>
      <c r="J22" s="48"/>
      <c r="K22" s="48"/>
      <c r="L22" s="48"/>
      <c r="M22" s="48"/>
      <c r="N22" s="48"/>
      <c r="O22" s="48"/>
      <c r="P22" s="48"/>
      <c r="Q22" s="48"/>
      <c r="R22" s="48"/>
      <c r="S22" s="48"/>
      <c r="T22" s="48"/>
      <c r="U22" s="48"/>
      <c r="V22" s="48"/>
      <c r="W22" s="48"/>
      <c r="X22" s="48"/>
      <c r="Y22" s="48"/>
      <c r="Z22" s="48"/>
    </row>
    <row r="23" spans="1:26" hidden="1">
      <c r="A23" s="374" t="s">
        <v>277</v>
      </c>
      <c r="B23" s="374"/>
      <c r="C23" s="374"/>
      <c r="D23" s="374"/>
      <c r="E23" s="374"/>
      <c r="F23" s="374"/>
      <c r="G23" s="374"/>
      <c r="H23" s="374"/>
      <c r="I23" s="374"/>
      <c r="J23" s="374"/>
      <c r="K23" s="374"/>
      <c r="L23" s="374"/>
      <c r="M23" s="374"/>
      <c r="N23" s="374"/>
      <c r="O23" s="374"/>
      <c r="P23" s="374"/>
      <c r="Q23" s="374"/>
      <c r="R23" s="374"/>
      <c r="S23" s="374"/>
      <c r="T23" s="374"/>
      <c r="U23" s="374"/>
      <c r="V23" s="374"/>
      <c r="W23" s="374"/>
      <c r="X23" s="374"/>
      <c r="Y23" s="374"/>
      <c r="Z23" s="374"/>
    </row>
    <row r="24" spans="1:26">
      <c r="A24" s="58"/>
    </row>
    <row r="25" spans="1:26">
      <c r="A25" s="59"/>
    </row>
    <row r="50" spans="1:1">
      <c r="A50" s="60"/>
    </row>
    <row r="51" spans="1:1">
      <c r="A51" s="59"/>
    </row>
  </sheetData>
  <mergeCells count="35">
    <mergeCell ref="A23:Z23"/>
    <mergeCell ref="Y7:Y8"/>
    <mergeCell ref="Z7:Z8"/>
    <mergeCell ref="N7:O7"/>
    <mergeCell ref="P7:P8"/>
    <mergeCell ref="Q7:Q8"/>
    <mergeCell ref="R7:R8"/>
    <mergeCell ref="U7:U8"/>
    <mergeCell ref="V7:W7"/>
    <mergeCell ref="H7:H8"/>
    <mergeCell ref="I7:I8"/>
    <mergeCell ref="J7:J8"/>
    <mergeCell ref="X1:Z1"/>
    <mergeCell ref="X4:Z4"/>
    <mergeCell ref="E7:E8"/>
    <mergeCell ref="F7:G7"/>
    <mergeCell ref="M7:M8"/>
    <mergeCell ref="X7:X8"/>
    <mergeCell ref="C5:J5"/>
    <mergeCell ref="K5:R5"/>
    <mergeCell ref="S5:Z5"/>
    <mergeCell ref="C6:C8"/>
    <mergeCell ref="T6:T8"/>
    <mergeCell ref="U6:Z6"/>
    <mergeCell ref="A2:Z2"/>
    <mergeCell ref="L6:L8"/>
    <mergeCell ref="M6:R6"/>
    <mergeCell ref="A1:D1"/>
    <mergeCell ref="A3:Z3"/>
    <mergeCell ref="D6:D8"/>
    <mergeCell ref="E6:J6"/>
    <mergeCell ref="A5:A8"/>
    <mergeCell ref="B5:B8"/>
    <mergeCell ref="K6:K8"/>
    <mergeCell ref="S6:S8"/>
  </mergeCells>
  <pageMargins left="0" right="0" top="0.25" bottom="0.25" header="0.3" footer="0.3"/>
  <pageSetup paperSize="9" scale="60" orientation="landscape" r:id="rId1"/>
</worksheet>
</file>

<file path=xl/worksheets/sheet9.xml><?xml version="1.0" encoding="utf-8"?>
<worksheet xmlns="http://schemas.openxmlformats.org/spreadsheetml/2006/main" xmlns:r="http://schemas.openxmlformats.org/officeDocument/2006/relationships">
  <dimension ref="A1:AJ49"/>
  <sheetViews>
    <sheetView workbookViewId="0">
      <pane xSplit="2" ySplit="10" topLeftCell="C11" activePane="bottomRight" state="frozen"/>
      <selection activeCell="K6" sqref="K6:K8"/>
      <selection pane="topRight" activeCell="K6" sqref="K6:K8"/>
      <selection pane="bottomLeft" activeCell="K6" sqref="K6:K8"/>
      <selection pane="bottomRight" activeCell="K6" sqref="K6:K8"/>
    </sheetView>
  </sheetViews>
  <sheetFormatPr defaultRowHeight="15.75"/>
  <cols>
    <col min="1" max="1" width="5" style="43" customWidth="1"/>
    <col min="2" max="2" width="33.7109375" style="240" customWidth="1"/>
    <col min="3" max="3" width="9.140625" style="43"/>
    <col min="4" max="5" width="10.5703125" style="43" customWidth="1"/>
    <col min="6" max="9" width="9.140625" style="43"/>
    <col min="10" max="11" width="11.42578125" style="43" customWidth="1"/>
    <col min="12" max="12" width="9.140625" style="43"/>
    <col min="13" max="14" width="11.42578125" style="43" customWidth="1"/>
    <col min="15" max="15" width="0" style="43" hidden="1" customWidth="1"/>
    <col min="16" max="17" width="11.42578125" style="43" hidden="1" customWidth="1"/>
    <col min="18" max="18" width="0" style="43" hidden="1" customWidth="1"/>
    <col min="19" max="20" width="11.42578125" style="43" hidden="1" customWidth="1"/>
    <col min="21" max="21" width="0" style="43" hidden="1" customWidth="1"/>
    <col min="22" max="23" width="11.42578125" style="43" hidden="1" customWidth="1"/>
    <col min="24" max="24" width="0" style="43" hidden="1" customWidth="1"/>
    <col min="25" max="26" width="11.42578125" style="43" hidden="1" customWidth="1"/>
    <col min="27" max="27" width="0" style="43" hidden="1" customWidth="1"/>
    <col min="28" max="29" width="11.42578125" style="43" hidden="1" customWidth="1"/>
    <col min="30" max="30" width="0" style="43" hidden="1" customWidth="1"/>
    <col min="31" max="32" width="11.42578125" style="43" hidden="1" customWidth="1"/>
    <col min="33" max="35" width="9.140625" style="43"/>
    <col min="36" max="36" width="0" style="43" hidden="1" customWidth="1"/>
    <col min="37" max="16384" width="9.140625" style="43"/>
  </cols>
  <sheetData>
    <row r="1" spans="1:36" ht="24" customHeight="1">
      <c r="A1" s="343" t="str">
        <f>'62'!chuong_phuluc_48</f>
        <v>ỦY BAN NHÂN DÂN TỈNH TIỀN GIANG</v>
      </c>
      <c r="B1" s="343"/>
      <c r="C1" s="343"/>
      <c r="AG1" s="333" t="s">
        <v>1411</v>
      </c>
      <c r="AH1" s="333"/>
      <c r="AI1" s="333"/>
      <c r="AJ1" s="288"/>
    </row>
    <row r="2" spans="1:36">
      <c r="A2" s="340" t="s">
        <v>1430</v>
      </c>
      <c r="B2" s="340"/>
      <c r="C2" s="340"/>
      <c r="D2" s="340"/>
      <c r="E2" s="340"/>
      <c r="F2" s="340"/>
      <c r="G2" s="340"/>
      <c r="H2" s="340"/>
      <c r="I2" s="340"/>
      <c r="J2" s="340"/>
      <c r="K2" s="340"/>
      <c r="L2" s="340"/>
      <c r="M2" s="340"/>
      <c r="N2" s="340"/>
      <c r="O2" s="340"/>
      <c r="P2" s="340"/>
      <c r="Q2" s="340"/>
      <c r="R2" s="340"/>
      <c r="S2" s="340"/>
      <c r="T2" s="340"/>
      <c r="U2" s="340"/>
      <c r="V2" s="340"/>
      <c r="W2" s="340"/>
      <c r="X2" s="340"/>
      <c r="Y2" s="340"/>
      <c r="Z2" s="340"/>
      <c r="AA2" s="340"/>
      <c r="AB2" s="340"/>
      <c r="AC2" s="340"/>
      <c r="AD2" s="340"/>
      <c r="AE2" s="340"/>
      <c r="AF2" s="340"/>
      <c r="AG2" s="340"/>
      <c r="AH2" s="340"/>
      <c r="AI2" s="340"/>
      <c r="AJ2" s="340"/>
    </row>
    <row r="3" spans="1:36">
      <c r="A3" s="344" t="str">
        <f>'62'!A3:F3</f>
        <v>(Kèm theo Quyết định số ………../QĐ-UBND ngày    /01/2020 của Ủy ban nhân dân tỉnh Tiền Giang)</v>
      </c>
      <c r="B3" s="344"/>
      <c r="C3" s="344"/>
      <c r="D3" s="344"/>
      <c r="E3" s="344"/>
      <c r="F3" s="344"/>
      <c r="G3" s="344"/>
      <c r="H3" s="344"/>
      <c r="I3" s="344"/>
      <c r="J3" s="344"/>
      <c r="K3" s="344"/>
      <c r="L3" s="344"/>
      <c r="M3" s="344"/>
      <c r="N3" s="344"/>
      <c r="O3" s="344"/>
      <c r="P3" s="344"/>
      <c r="Q3" s="344"/>
      <c r="R3" s="344"/>
      <c r="S3" s="344"/>
      <c r="T3" s="344"/>
      <c r="U3" s="344"/>
      <c r="V3" s="344"/>
      <c r="W3" s="344"/>
      <c r="X3" s="344"/>
      <c r="Y3" s="344"/>
      <c r="Z3" s="344"/>
      <c r="AA3" s="344"/>
      <c r="AB3" s="344"/>
      <c r="AC3" s="344"/>
      <c r="AD3" s="344"/>
      <c r="AE3" s="344"/>
      <c r="AF3" s="344"/>
      <c r="AG3" s="344"/>
      <c r="AH3" s="344"/>
      <c r="AI3" s="344"/>
      <c r="AJ3" s="344"/>
    </row>
    <row r="4" spans="1:36" ht="15.75" customHeight="1">
      <c r="A4" s="44"/>
      <c r="AG4" s="375" t="s">
        <v>1</v>
      </c>
      <c r="AH4" s="375"/>
      <c r="AI4" s="375"/>
      <c r="AJ4" s="375"/>
    </row>
    <row r="5" spans="1:36" ht="15.75" customHeight="1">
      <c r="A5" s="345" t="s">
        <v>2</v>
      </c>
      <c r="B5" s="345" t="s">
        <v>1393</v>
      </c>
      <c r="C5" s="345" t="s">
        <v>3</v>
      </c>
      <c r="D5" s="345"/>
      <c r="E5" s="345"/>
      <c r="F5" s="345" t="s">
        <v>4</v>
      </c>
      <c r="G5" s="345"/>
      <c r="H5" s="345"/>
      <c r="I5" s="345"/>
      <c r="J5" s="345"/>
      <c r="K5" s="345"/>
      <c r="L5" s="345"/>
      <c r="M5" s="345"/>
      <c r="N5" s="345"/>
      <c r="O5" s="345"/>
      <c r="P5" s="345"/>
      <c r="Q5" s="345"/>
      <c r="R5" s="345"/>
      <c r="S5" s="345"/>
      <c r="T5" s="345"/>
      <c r="U5" s="345"/>
      <c r="V5" s="345"/>
      <c r="W5" s="345"/>
      <c r="X5" s="345"/>
      <c r="Y5" s="345"/>
      <c r="Z5" s="345"/>
      <c r="AA5" s="345"/>
      <c r="AB5" s="345"/>
      <c r="AC5" s="345"/>
      <c r="AD5" s="345"/>
      <c r="AE5" s="345"/>
      <c r="AF5" s="345"/>
      <c r="AG5" s="345" t="s">
        <v>53</v>
      </c>
      <c r="AH5" s="345"/>
      <c r="AI5" s="345"/>
      <c r="AJ5" s="345"/>
    </row>
    <row r="6" spans="1:36" ht="40.5" customHeight="1">
      <c r="A6" s="345"/>
      <c r="B6" s="345"/>
      <c r="C6" s="345" t="s">
        <v>180</v>
      </c>
      <c r="D6" s="345" t="s">
        <v>203</v>
      </c>
      <c r="E6" s="345"/>
      <c r="F6" s="345" t="s">
        <v>180</v>
      </c>
      <c r="G6" s="345" t="s">
        <v>203</v>
      </c>
      <c r="H6" s="345"/>
      <c r="I6" s="345" t="s">
        <v>389</v>
      </c>
      <c r="J6" s="345"/>
      <c r="K6" s="345"/>
      <c r="L6" s="345" t="s">
        <v>397</v>
      </c>
      <c r="M6" s="345"/>
      <c r="N6" s="345"/>
      <c r="O6" s="345" t="s">
        <v>394</v>
      </c>
      <c r="P6" s="345"/>
      <c r="Q6" s="345"/>
      <c r="R6" s="368" t="s">
        <v>395</v>
      </c>
      <c r="S6" s="369"/>
      <c r="T6" s="370"/>
      <c r="U6" s="368" t="s">
        <v>396</v>
      </c>
      <c r="V6" s="369"/>
      <c r="W6" s="370"/>
      <c r="X6" s="345" t="s">
        <v>399</v>
      </c>
      <c r="Y6" s="345"/>
      <c r="Z6" s="345"/>
      <c r="AA6" s="345"/>
      <c r="AB6" s="345"/>
      <c r="AC6" s="345"/>
      <c r="AD6" s="345"/>
      <c r="AE6" s="345"/>
      <c r="AF6" s="345"/>
      <c r="AG6" s="345" t="s">
        <v>180</v>
      </c>
      <c r="AH6" s="345" t="s">
        <v>203</v>
      </c>
      <c r="AI6" s="345"/>
      <c r="AJ6" s="345" t="s">
        <v>181</v>
      </c>
    </row>
    <row r="7" spans="1:36" ht="15.75" customHeight="1">
      <c r="A7" s="345"/>
      <c r="B7" s="345"/>
      <c r="C7" s="345"/>
      <c r="D7" s="365" t="s">
        <v>390</v>
      </c>
      <c r="E7" s="365" t="s">
        <v>391</v>
      </c>
      <c r="F7" s="345"/>
      <c r="G7" s="365" t="s">
        <v>392</v>
      </c>
      <c r="H7" s="365" t="s">
        <v>393</v>
      </c>
      <c r="I7" s="345" t="s">
        <v>180</v>
      </c>
      <c r="J7" s="365" t="s">
        <v>390</v>
      </c>
      <c r="K7" s="365" t="s">
        <v>391</v>
      </c>
      <c r="L7" s="345" t="s">
        <v>180</v>
      </c>
      <c r="M7" s="365" t="s">
        <v>390</v>
      </c>
      <c r="N7" s="365" t="s">
        <v>391</v>
      </c>
      <c r="O7" s="345" t="s">
        <v>180</v>
      </c>
      <c r="P7" s="365" t="s">
        <v>390</v>
      </c>
      <c r="Q7" s="365" t="s">
        <v>391</v>
      </c>
      <c r="R7" s="345" t="s">
        <v>180</v>
      </c>
      <c r="S7" s="365" t="s">
        <v>390</v>
      </c>
      <c r="T7" s="365" t="s">
        <v>391</v>
      </c>
      <c r="U7" s="345" t="s">
        <v>180</v>
      </c>
      <c r="V7" s="365" t="s">
        <v>390</v>
      </c>
      <c r="W7" s="365" t="s">
        <v>391</v>
      </c>
      <c r="X7" s="345" t="s">
        <v>180</v>
      </c>
      <c r="Y7" s="365" t="s">
        <v>398</v>
      </c>
      <c r="Z7" s="365" t="s">
        <v>391</v>
      </c>
      <c r="AA7" s="345" t="s">
        <v>180</v>
      </c>
      <c r="AB7" s="365" t="s">
        <v>390</v>
      </c>
      <c r="AC7" s="365" t="s">
        <v>391</v>
      </c>
      <c r="AD7" s="345" t="s">
        <v>180</v>
      </c>
      <c r="AE7" s="365" t="s">
        <v>390</v>
      </c>
      <c r="AF7" s="365" t="s">
        <v>391</v>
      </c>
      <c r="AG7" s="345"/>
      <c r="AH7" s="345" t="s">
        <v>28</v>
      </c>
      <c r="AI7" s="345" t="s">
        <v>29</v>
      </c>
      <c r="AJ7" s="345"/>
    </row>
    <row r="8" spans="1:36">
      <c r="A8" s="345"/>
      <c r="B8" s="345"/>
      <c r="C8" s="345"/>
      <c r="D8" s="366"/>
      <c r="E8" s="366"/>
      <c r="F8" s="345"/>
      <c r="G8" s="366"/>
      <c r="H8" s="366"/>
      <c r="I8" s="345"/>
      <c r="J8" s="366"/>
      <c r="K8" s="366"/>
      <c r="L8" s="345"/>
      <c r="M8" s="366"/>
      <c r="N8" s="366"/>
      <c r="O8" s="345"/>
      <c r="P8" s="366"/>
      <c r="Q8" s="366"/>
      <c r="R8" s="345"/>
      <c r="S8" s="366"/>
      <c r="T8" s="366"/>
      <c r="U8" s="345"/>
      <c r="V8" s="366"/>
      <c r="W8" s="366"/>
      <c r="X8" s="345"/>
      <c r="Y8" s="366"/>
      <c r="Z8" s="366"/>
      <c r="AA8" s="345"/>
      <c r="AB8" s="366"/>
      <c r="AC8" s="366"/>
      <c r="AD8" s="345"/>
      <c r="AE8" s="366"/>
      <c r="AF8" s="366"/>
      <c r="AG8" s="345"/>
      <c r="AH8" s="345"/>
      <c r="AI8" s="345"/>
      <c r="AJ8" s="345"/>
    </row>
    <row r="9" spans="1:36" ht="30.75" customHeight="1">
      <c r="A9" s="345"/>
      <c r="B9" s="345"/>
      <c r="C9" s="345"/>
      <c r="D9" s="367"/>
      <c r="E9" s="367"/>
      <c r="F9" s="345"/>
      <c r="G9" s="367"/>
      <c r="H9" s="367"/>
      <c r="I9" s="345"/>
      <c r="J9" s="367"/>
      <c r="K9" s="367"/>
      <c r="L9" s="345"/>
      <c r="M9" s="367"/>
      <c r="N9" s="367"/>
      <c r="O9" s="345"/>
      <c r="P9" s="367"/>
      <c r="Q9" s="367"/>
      <c r="R9" s="345"/>
      <c r="S9" s="367"/>
      <c r="T9" s="367"/>
      <c r="U9" s="345"/>
      <c r="V9" s="367"/>
      <c r="W9" s="367"/>
      <c r="X9" s="345"/>
      <c r="Y9" s="367"/>
      <c r="Z9" s="367"/>
      <c r="AA9" s="345"/>
      <c r="AB9" s="367"/>
      <c r="AC9" s="367"/>
      <c r="AD9" s="345"/>
      <c r="AE9" s="367"/>
      <c r="AF9" s="367"/>
      <c r="AG9" s="345"/>
      <c r="AH9" s="345"/>
      <c r="AI9" s="345"/>
      <c r="AJ9" s="345"/>
    </row>
    <row r="10" spans="1:36">
      <c r="A10" s="315" t="s">
        <v>7</v>
      </c>
      <c r="B10" s="315" t="s">
        <v>8</v>
      </c>
      <c r="C10" s="315">
        <v>1</v>
      </c>
      <c r="D10" s="315">
        <v>2</v>
      </c>
      <c r="E10" s="315">
        <v>3</v>
      </c>
      <c r="F10" s="315">
        <v>5</v>
      </c>
      <c r="G10" s="315">
        <v>6</v>
      </c>
      <c r="H10" s="315">
        <v>7</v>
      </c>
      <c r="I10" s="315">
        <v>8</v>
      </c>
      <c r="J10" s="315">
        <v>9</v>
      </c>
      <c r="K10" s="315">
        <v>10</v>
      </c>
      <c r="L10" s="315">
        <v>11</v>
      </c>
      <c r="M10" s="315">
        <v>12</v>
      </c>
      <c r="N10" s="315">
        <v>13</v>
      </c>
      <c r="O10" s="315">
        <v>14</v>
      </c>
      <c r="P10" s="315">
        <v>15</v>
      </c>
      <c r="Q10" s="315">
        <v>16</v>
      </c>
      <c r="R10" s="315">
        <v>17</v>
      </c>
      <c r="S10" s="315">
        <v>18</v>
      </c>
      <c r="T10" s="315">
        <v>19</v>
      </c>
      <c r="U10" s="315">
        <v>20</v>
      </c>
      <c r="V10" s="315">
        <v>21</v>
      </c>
      <c r="W10" s="315">
        <v>22</v>
      </c>
      <c r="X10" s="315">
        <v>23</v>
      </c>
      <c r="Y10" s="315">
        <v>24</v>
      </c>
      <c r="Z10" s="315">
        <v>25</v>
      </c>
      <c r="AA10" s="315">
        <v>8</v>
      </c>
      <c r="AB10" s="315">
        <v>9</v>
      </c>
      <c r="AC10" s="315">
        <v>12</v>
      </c>
      <c r="AD10" s="315">
        <v>8</v>
      </c>
      <c r="AE10" s="315">
        <v>9</v>
      </c>
      <c r="AF10" s="315">
        <v>12</v>
      </c>
      <c r="AG10" s="315" t="s">
        <v>1405</v>
      </c>
      <c r="AH10" s="315" t="s">
        <v>1403</v>
      </c>
      <c r="AI10" s="315" t="s">
        <v>1404</v>
      </c>
      <c r="AJ10" s="315" t="s">
        <v>268</v>
      </c>
    </row>
    <row r="11" spans="1:36" s="46" customFormat="1">
      <c r="A11" s="85"/>
      <c r="B11" s="51" t="s">
        <v>184</v>
      </c>
      <c r="C11" s="51">
        <f t="shared" ref="C11:AF11" si="0">SUM(C12:C31)</f>
        <v>148156</v>
      </c>
      <c r="D11" s="51">
        <f t="shared" si="0"/>
        <v>100100</v>
      </c>
      <c r="E11" s="51">
        <f t="shared" si="0"/>
        <v>48056</v>
      </c>
      <c r="F11" s="51">
        <f t="shared" si="0"/>
        <v>154766.01500000001</v>
      </c>
      <c r="G11" s="51">
        <f t="shared" si="0"/>
        <v>105651.122</v>
      </c>
      <c r="H11" s="51">
        <f t="shared" si="0"/>
        <v>49114.893000000004</v>
      </c>
      <c r="I11" s="51">
        <f t="shared" si="0"/>
        <v>24999.52</v>
      </c>
      <c r="J11" s="51">
        <f t="shared" si="0"/>
        <v>10493.960999999999</v>
      </c>
      <c r="K11" s="51">
        <f t="shared" si="0"/>
        <v>14505.559000000001</v>
      </c>
      <c r="L11" s="51">
        <f t="shared" si="0"/>
        <v>129766.49500000001</v>
      </c>
      <c r="M11" s="51">
        <f t="shared" si="0"/>
        <v>95157.160999999993</v>
      </c>
      <c r="N11" s="51">
        <f t="shared" si="0"/>
        <v>34609.333999999995</v>
      </c>
      <c r="O11" s="51">
        <f t="shared" si="0"/>
        <v>0</v>
      </c>
      <c r="P11" s="51">
        <f t="shared" si="0"/>
        <v>0</v>
      </c>
      <c r="Q11" s="51">
        <f t="shared" si="0"/>
        <v>0</v>
      </c>
      <c r="R11" s="51">
        <f t="shared" si="0"/>
        <v>0</v>
      </c>
      <c r="S11" s="51">
        <f t="shared" si="0"/>
        <v>0</v>
      </c>
      <c r="T11" s="51">
        <f t="shared" si="0"/>
        <v>0</v>
      </c>
      <c r="U11" s="51">
        <f t="shared" si="0"/>
        <v>0</v>
      </c>
      <c r="V11" s="51">
        <f t="shared" si="0"/>
        <v>0</v>
      </c>
      <c r="W11" s="51">
        <f t="shared" si="0"/>
        <v>0</v>
      </c>
      <c r="X11" s="51">
        <f t="shared" si="0"/>
        <v>0</v>
      </c>
      <c r="Y11" s="51">
        <f t="shared" si="0"/>
        <v>0</v>
      </c>
      <c r="Z11" s="51">
        <f t="shared" si="0"/>
        <v>0</v>
      </c>
      <c r="AA11" s="51">
        <f t="shared" si="0"/>
        <v>0</v>
      </c>
      <c r="AB11" s="51">
        <f t="shared" si="0"/>
        <v>0</v>
      </c>
      <c r="AC11" s="51">
        <f t="shared" si="0"/>
        <v>0</v>
      </c>
      <c r="AD11" s="51">
        <f t="shared" si="0"/>
        <v>0</v>
      </c>
      <c r="AE11" s="51">
        <f t="shared" si="0"/>
        <v>0</v>
      </c>
      <c r="AF11" s="51">
        <f t="shared" si="0"/>
        <v>0</v>
      </c>
      <c r="AG11" s="62">
        <f>F11/C11*100</f>
        <v>104.46152366424582</v>
      </c>
      <c r="AH11" s="62">
        <f>G11/D11*100</f>
        <v>105.54557642357642</v>
      </c>
      <c r="AI11" s="62">
        <f>H11/E11*100</f>
        <v>102.20345638421841</v>
      </c>
      <c r="AJ11" s="51"/>
    </row>
    <row r="12" spans="1:36" ht="31.5">
      <c r="A12" s="281">
        <v>1</v>
      </c>
      <c r="B12" s="245" t="s">
        <v>383</v>
      </c>
      <c r="C12" s="52">
        <f>D12+E12</f>
        <v>3000.1869999999999</v>
      </c>
      <c r="D12" s="52"/>
      <c r="E12" s="52">
        <f>2940.187+60</f>
        <v>3000.1869999999999</v>
      </c>
      <c r="F12" s="52">
        <f>G12+H12</f>
        <v>2637.9569999999999</v>
      </c>
      <c r="G12" s="52">
        <f>J12+M12+P12+S12+V12+Y12</f>
        <v>0</v>
      </c>
      <c r="H12" s="52">
        <f>K12+N12+Q12+T12+W12+Z12</f>
        <v>2637.9569999999999</v>
      </c>
      <c r="I12" s="52">
        <f>J12+K12</f>
        <v>10.083</v>
      </c>
      <c r="J12" s="52"/>
      <c r="K12" s="52">
        <v>10.083</v>
      </c>
      <c r="L12" s="52">
        <f>M12+N12</f>
        <v>2627.8739999999998</v>
      </c>
      <c r="M12" s="52"/>
      <c r="N12" s="52">
        <v>2627.8739999999998</v>
      </c>
      <c r="O12" s="52">
        <f>P12+Q12</f>
        <v>0</v>
      </c>
      <c r="P12" s="52"/>
      <c r="Q12" s="52"/>
      <c r="R12" s="52">
        <f>S12+T12</f>
        <v>0</v>
      </c>
      <c r="S12" s="52"/>
      <c r="T12" s="52"/>
      <c r="U12" s="52">
        <f>V12+W12</f>
        <v>0</v>
      </c>
      <c r="V12" s="52"/>
      <c r="W12" s="52"/>
      <c r="X12" s="52">
        <f>Y12+Z12</f>
        <v>0</v>
      </c>
      <c r="Y12" s="52"/>
      <c r="Z12" s="52"/>
      <c r="AA12" s="52"/>
      <c r="AB12" s="52"/>
      <c r="AC12" s="52"/>
      <c r="AD12" s="52"/>
      <c r="AE12" s="52"/>
      <c r="AF12" s="52"/>
      <c r="AG12" s="86">
        <f>F12/C12*100</f>
        <v>87.926419253199882</v>
      </c>
      <c r="AH12" s="86"/>
      <c r="AI12" s="86">
        <f t="shared" ref="AI12:AI31" si="1">H12/E12*100</f>
        <v>87.926419253199882</v>
      </c>
      <c r="AJ12" s="52"/>
    </row>
    <row r="13" spans="1:36">
      <c r="A13" s="281">
        <v>2</v>
      </c>
      <c r="B13" s="246" t="s">
        <v>385</v>
      </c>
      <c r="C13" s="52">
        <f t="shared" ref="C13:C31" si="2">D13+E13</f>
        <v>1880</v>
      </c>
      <c r="D13" s="52"/>
      <c r="E13" s="52">
        <f>1800+80</f>
        <v>1880</v>
      </c>
      <c r="F13" s="52">
        <f t="shared" ref="F13:F31" si="3">G13+H13</f>
        <v>2162.0369999999998</v>
      </c>
      <c r="G13" s="52">
        <f t="shared" ref="G13:H31" si="4">J13+M13+P13+S13+V13+Y13</f>
        <v>0</v>
      </c>
      <c r="H13" s="52">
        <f t="shared" si="4"/>
        <v>2162.0369999999998</v>
      </c>
      <c r="I13" s="52">
        <f t="shared" ref="I13:I31" si="5">J13+K13</f>
        <v>1421.7909999999999</v>
      </c>
      <c r="J13" s="52"/>
      <c r="K13" s="52">
        <v>1421.7909999999999</v>
      </c>
      <c r="L13" s="52">
        <f t="shared" ref="L13:L31" si="6">M13+N13</f>
        <v>740.24599999999998</v>
      </c>
      <c r="M13" s="52"/>
      <c r="N13" s="52">
        <v>740.24599999999998</v>
      </c>
      <c r="O13" s="52">
        <f t="shared" ref="O13:O31" si="7">P13+Q13</f>
        <v>0</v>
      </c>
      <c r="P13" s="52"/>
      <c r="Q13" s="52"/>
      <c r="R13" s="52">
        <f t="shared" ref="R13:R31" si="8">S13+T13</f>
        <v>0</v>
      </c>
      <c r="S13" s="52"/>
      <c r="T13" s="52"/>
      <c r="U13" s="52">
        <f t="shared" ref="U13:U31" si="9">V13+W13</f>
        <v>0</v>
      </c>
      <c r="V13" s="52"/>
      <c r="W13" s="52"/>
      <c r="X13" s="52">
        <f t="shared" ref="X13:X31" si="10">Y13+Z13</f>
        <v>0</v>
      </c>
      <c r="Y13" s="52"/>
      <c r="Z13" s="52"/>
      <c r="AA13" s="52"/>
      <c r="AB13" s="52"/>
      <c r="AC13" s="52"/>
      <c r="AD13" s="52"/>
      <c r="AE13" s="52"/>
      <c r="AF13" s="52"/>
      <c r="AG13" s="86">
        <f t="shared" ref="AG13:AH31" si="11">F13/C13*100</f>
        <v>115.00196808510637</v>
      </c>
      <c r="AH13" s="86"/>
      <c r="AI13" s="86">
        <f t="shared" si="1"/>
        <v>115.00196808510637</v>
      </c>
      <c r="AJ13" s="52"/>
    </row>
    <row r="14" spans="1:36">
      <c r="A14" s="281">
        <v>3</v>
      </c>
      <c r="B14" s="246" t="s">
        <v>386</v>
      </c>
      <c r="C14" s="52">
        <f t="shared" si="2"/>
        <v>540</v>
      </c>
      <c r="D14" s="52"/>
      <c r="E14" s="52">
        <f>540</f>
        <v>540</v>
      </c>
      <c r="F14" s="52">
        <f t="shared" si="3"/>
        <v>0</v>
      </c>
      <c r="G14" s="52">
        <f t="shared" si="4"/>
        <v>0</v>
      </c>
      <c r="H14" s="52">
        <f t="shared" si="4"/>
        <v>0</v>
      </c>
      <c r="I14" s="52">
        <f t="shared" si="5"/>
        <v>0</v>
      </c>
      <c r="J14" s="52"/>
      <c r="K14" s="52"/>
      <c r="L14" s="52">
        <f t="shared" si="6"/>
        <v>0</v>
      </c>
      <c r="M14" s="52"/>
      <c r="N14" s="52"/>
      <c r="O14" s="52">
        <f t="shared" si="7"/>
        <v>0</v>
      </c>
      <c r="P14" s="52"/>
      <c r="Q14" s="52"/>
      <c r="R14" s="52">
        <f t="shared" si="8"/>
        <v>0</v>
      </c>
      <c r="S14" s="52"/>
      <c r="T14" s="52"/>
      <c r="U14" s="52">
        <f t="shared" si="9"/>
        <v>0</v>
      </c>
      <c r="V14" s="52"/>
      <c r="W14" s="52"/>
      <c r="X14" s="52">
        <f t="shared" si="10"/>
        <v>0</v>
      </c>
      <c r="Y14" s="52"/>
      <c r="Z14" s="52"/>
      <c r="AA14" s="52"/>
      <c r="AB14" s="52"/>
      <c r="AC14" s="52"/>
      <c r="AD14" s="52"/>
      <c r="AE14" s="52"/>
      <c r="AF14" s="52"/>
      <c r="AG14" s="86">
        <f t="shared" si="11"/>
        <v>0</v>
      </c>
      <c r="AH14" s="86"/>
      <c r="AI14" s="86">
        <f t="shared" si="1"/>
        <v>0</v>
      </c>
      <c r="AJ14" s="52"/>
    </row>
    <row r="15" spans="1:36">
      <c r="A15" s="281">
        <v>4</v>
      </c>
      <c r="B15" s="246" t="s">
        <v>387</v>
      </c>
      <c r="C15" s="52">
        <f t="shared" si="2"/>
        <v>724</v>
      </c>
      <c r="D15" s="52"/>
      <c r="E15" s="52">
        <v>724</v>
      </c>
      <c r="F15" s="52">
        <f t="shared" si="3"/>
        <v>715.947</v>
      </c>
      <c r="G15" s="52">
        <f t="shared" si="4"/>
        <v>0</v>
      </c>
      <c r="H15" s="52">
        <f t="shared" si="4"/>
        <v>715.947</v>
      </c>
      <c r="I15" s="52">
        <f t="shared" si="5"/>
        <v>0</v>
      </c>
      <c r="J15" s="52"/>
      <c r="K15" s="52"/>
      <c r="L15" s="52">
        <f t="shared" si="6"/>
        <v>715.947</v>
      </c>
      <c r="M15" s="52"/>
      <c r="N15" s="52">
        <v>715.947</v>
      </c>
      <c r="O15" s="52">
        <f t="shared" si="7"/>
        <v>0</v>
      </c>
      <c r="P15" s="52"/>
      <c r="Q15" s="52"/>
      <c r="R15" s="52">
        <f t="shared" si="8"/>
        <v>0</v>
      </c>
      <c r="S15" s="52"/>
      <c r="T15" s="52"/>
      <c r="U15" s="52">
        <f t="shared" si="9"/>
        <v>0</v>
      </c>
      <c r="V15" s="52"/>
      <c r="W15" s="52"/>
      <c r="X15" s="52">
        <f t="shared" si="10"/>
        <v>0</v>
      </c>
      <c r="Y15" s="52"/>
      <c r="Z15" s="52"/>
      <c r="AA15" s="52"/>
      <c r="AB15" s="52"/>
      <c r="AC15" s="52"/>
      <c r="AD15" s="52"/>
      <c r="AE15" s="52"/>
      <c r="AF15" s="52"/>
      <c r="AG15" s="86">
        <f t="shared" si="11"/>
        <v>98.88770718232044</v>
      </c>
      <c r="AH15" s="86"/>
      <c r="AI15" s="86">
        <f t="shared" si="1"/>
        <v>98.88770718232044</v>
      </c>
      <c r="AJ15" s="52"/>
    </row>
    <row r="16" spans="1:36">
      <c r="A16" s="281">
        <v>5</v>
      </c>
      <c r="B16" s="246" t="s">
        <v>388</v>
      </c>
      <c r="C16" s="52">
        <f t="shared" si="2"/>
        <v>13845.495000000001</v>
      </c>
      <c r="D16" s="45"/>
      <c r="E16" s="47">
        <v>13845.495000000001</v>
      </c>
      <c r="F16" s="52">
        <f t="shared" si="3"/>
        <v>14971.496999999999</v>
      </c>
      <c r="G16" s="52">
        <f t="shared" si="4"/>
        <v>0</v>
      </c>
      <c r="H16" s="52">
        <f t="shared" si="4"/>
        <v>14971.496999999999</v>
      </c>
      <c r="I16" s="52">
        <f t="shared" si="5"/>
        <v>0</v>
      </c>
      <c r="J16" s="47"/>
      <c r="K16" s="47"/>
      <c r="L16" s="52">
        <f t="shared" si="6"/>
        <v>14971.496999999999</v>
      </c>
      <c r="M16" s="47"/>
      <c r="N16" s="47">
        <v>14971.496999999999</v>
      </c>
      <c r="O16" s="52">
        <f t="shared" si="7"/>
        <v>0</v>
      </c>
      <c r="P16" s="47"/>
      <c r="Q16" s="47"/>
      <c r="R16" s="52">
        <f t="shared" si="8"/>
        <v>0</v>
      </c>
      <c r="S16" s="47"/>
      <c r="T16" s="47"/>
      <c r="U16" s="52">
        <f t="shared" si="9"/>
        <v>0</v>
      </c>
      <c r="V16" s="47"/>
      <c r="W16" s="47"/>
      <c r="X16" s="52">
        <f t="shared" si="10"/>
        <v>0</v>
      </c>
      <c r="Y16" s="47"/>
      <c r="Z16" s="47"/>
      <c r="AA16" s="47"/>
      <c r="AB16" s="47"/>
      <c r="AC16" s="47"/>
      <c r="AD16" s="47"/>
      <c r="AE16" s="47"/>
      <c r="AF16" s="47"/>
      <c r="AG16" s="86">
        <f t="shared" si="11"/>
        <v>108.13262364400838</v>
      </c>
      <c r="AH16" s="86"/>
      <c r="AI16" s="86">
        <f t="shared" si="1"/>
        <v>108.13262364400838</v>
      </c>
      <c r="AJ16" s="47"/>
    </row>
    <row r="17" spans="1:36">
      <c r="A17" s="281">
        <v>6</v>
      </c>
      <c r="B17" s="246" t="s">
        <v>292</v>
      </c>
      <c r="C17" s="52">
        <f t="shared" si="2"/>
        <v>900</v>
      </c>
      <c r="D17" s="47"/>
      <c r="E17" s="47">
        <f>900</f>
        <v>900</v>
      </c>
      <c r="F17" s="52">
        <f t="shared" si="3"/>
        <v>470.15600000000001</v>
      </c>
      <c r="G17" s="52">
        <f t="shared" si="4"/>
        <v>0</v>
      </c>
      <c r="H17" s="52">
        <f t="shared" si="4"/>
        <v>470.15600000000001</v>
      </c>
      <c r="I17" s="52">
        <f t="shared" si="5"/>
        <v>466.92599999999999</v>
      </c>
      <c r="J17" s="47"/>
      <c r="K17" s="47">
        <v>466.92599999999999</v>
      </c>
      <c r="L17" s="52">
        <f t="shared" si="6"/>
        <v>3.23</v>
      </c>
      <c r="M17" s="47"/>
      <c r="N17" s="47">
        <v>3.23</v>
      </c>
      <c r="O17" s="52">
        <f t="shared" si="7"/>
        <v>0</v>
      </c>
      <c r="P17" s="47"/>
      <c r="Q17" s="47"/>
      <c r="R17" s="52">
        <f t="shared" si="8"/>
        <v>0</v>
      </c>
      <c r="S17" s="47"/>
      <c r="T17" s="47"/>
      <c r="U17" s="52">
        <f t="shared" si="9"/>
        <v>0</v>
      </c>
      <c r="V17" s="47"/>
      <c r="W17" s="47"/>
      <c r="X17" s="52">
        <f t="shared" si="10"/>
        <v>0</v>
      </c>
      <c r="Y17" s="47"/>
      <c r="Z17" s="47"/>
      <c r="AA17" s="47"/>
      <c r="AB17" s="47"/>
      <c r="AC17" s="47"/>
      <c r="AD17" s="47"/>
      <c r="AE17" s="47"/>
      <c r="AF17" s="47"/>
      <c r="AG17" s="86">
        <f t="shared" si="11"/>
        <v>52.239555555555562</v>
      </c>
      <c r="AH17" s="86"/>
      <c r="AI17" s="86">
        <f t="shared" si="1"/>
        <v>52.239555555555562</v>
      </c>
      <c r="AJ17" s="47"/>
    </row>
    <row r="18" spans="1:36">
      <c r="A18" s="281">
        <v>7</v>
      </c>
      <c r="B18" s="246" t="s">
        <v>384</v>
      </c>
      <c r="C18" s="52">
        <f t="shared" si="2"/>
        <v>160</v>
      </c>
      <c r="D18" s="47"/>
      <c r="E18" s="47">
        <f>160</f>
        <v>160</v>
      </c>
      <c r="F18" s="52">
        <f t="shared" si="3"/>
        <v>146.25</v>
      </c>
      <c r="G18" s="52">
        <f t="shared" si="4"/>
        <v>0</v>
      </c>
      <c r="H18" s="52">
        <f t="shared" si="4"/>
        <v>146.25</v>
      </c>
      <c r="I18" s="52">
        <f t="shared" si="5"/>
        <v>0</v>
      </c>
      <c r="J18" s="47"/>
      <c r="K18" s="47"/>
      <c r="L18" s="52">
        <f t="shared" si="6"/>
        <v>146.25</v>
      </c>
      <c r="M18" s="47"/>
      <c r="N18" s="47">
        <v>146.25</v>
      </c>
      <c r="O18" s="52">
        <f t="shared" si="7"/>
        <v>0</v>
      </c>
      <c r="P18" s="47"/>
      <c r="Q18" s="47"/>
      <c r="R18" s="52">
        <f t="shared" si="8"/>
        <v>0</v>
      </c>
      <c r="S18" s="47"/>
      <c r="T18" s="47"/>
      <c r="U18" s="52">
        <f t="shared" si="9"/>
        <v>0</v>
      </c>
      <c r="V18" s="47"/>
      <c r="W18" s="47"/>
      <c r="X18" s="52">
        <f t="shared" si="10"/>
        <v>0</v>
      </c>
      <c r="Y18" s="47"/>
      <c r="Z18" s="47"/>
      <c r="AA18" s="47"/>
      <c r="AB18" s="47"/>
      <c r="AC18" s="47"/>
      <c r="AD18" s="47"/>
      <c r="AE18" s="47"/>
      <c r="AF18" s="47"/>
      <c r="AG18" s="86">
        <f t="shared" si="11"/>
        <v>91.40625</v>
      </c>
      <c r="AH18" s="86"/>
      <c r="AI18" s="86">
        <f t="shared" si="1"/>
        <v>91.40625</v>
      </c>
      <c r="AJ18" s="47"/>
    </row>
    <row r="19" spans="1:36">
      <c r="A19" s="281">
        <v>8</v>
      </c>
      <c r="B19" s="246" t="s">
        <v>283</v>
      </c>
      <c r="C19" s="52">
        <f t="shared" si="2"/>
        <v>48.5</v>
      </c>
      <c r="D19" s="47"/>
      <c r="E19" s="47">
        <v>48.5</v>
      </c>
      <c r="F19" s="52">
        <f t="shared" si="3"/>
        <v>37.738999999999997</v>
      </c>
      <c r="G19" s="52">
        <f t="shared" si="4"/>
        <v>0</v>
      </c>
      <c r="H19" s="52">
        <f t="shared" si="4"/>
        <v>37.738999999999997</v>
      </c>
      <c r="I19" s="52">
        <f t="shared" si="5"/>
        <v>0</v>
      </c>
      <c r="J19" s="47"/>
      <c r="K19" s="47"/>
      <c r="L19" s="52">
        <f t="shared" si="6"/>
        <v>37.738999999999997</v>
      </c>
      <c r="M19" s="47"/>
      <c r="N19" s="47">
        <v>37.738999999999997</v>
      </c>
      <c r="O19" s="52">
        <f t="shared" si="7"/>
        <v>0</v>
      </c>
      <c r="P19" s="47"/>
      <c r="Q19" s="47"/>
      <c r="R19" s="52">
        <f t="shared" si="8"/>
        <v>0</v>
      </c>
      <c r="S19" s="47"/>
      <c r="T19" s="47"/>
      <c r="U19" s="52">
        <f t="shared" si="9"/>
        <v>0</v>
      </c>
      <c r="V19" s="47"/>
      <c r="W19" s="47"/>
      <c r="X19" s="52">
        <f t="shared" si="10"/>
        <v>0</v>
      </c>
      <c r="Y19" s="47"/>
      <c r="Z19" s="47"/>
      <c r="AA19" s="47"/>
      <c r="AB19" s="47"/>
      <c r="AC19" s="47"/>
      <c r="AD19" s="47"/>
      <c r="AE19" s="47"/>
      <c r="AF19" s="47"/>
      <c r="AG19" s="86">
        <f t="shared" si="11"/>
        <v>77.812371134020609</v>
      </c>
      <c r="AH19" s="86"/>
      <c r="AI19" s="86">
        <f t="shared" si="1"/>
        <v>77.812371134020609</v>
      </c>
      <c r="AJ19" s="47"/>
    </row>
    <row r="20" spans="1:36">
      <c r="A20" s="281">
        <v>9</v>
      </c>
      <c r="B20" s="246" t="s">
        <v>310</v>
      </c>
      <c r="C20" s="52">
        <f t="shared" si="2"/>
        <v>193.5</v>
      </c>
      <c r="D20" s="47"/>
      <c r="E20" s="47">
        <v>193.5</v>
      </c>
      <c r="F20" s="52">
        <f t="shared" si="3"/>
        <v>193.5</v>
      </c>
      <c r="G20" s="52">
        <f t="shared" si="4"/>
        <v>0</v>
      </c>
      <c r="H20" s="52">
        <f t="shared" si="4"/>
        <v>193.5</v>
      </c>
      <c r="I20" s="52">
        <f t="shared" si="5"/>
        <v>0</v>
      </c>
      <c r="J20" s="47"/>
      <c r="K20" s="47"/>
      <c r="L20" s="52">
        <f t="shared" si="6"/>
        <v>193.5</v>
      </c>
      <c r="M20" s="47"/>
      <c r="N20" s="47">
        <v>193.5</v>
      </c>
      <c r="O20" s="52">
        <f t="shared" si="7"/>
        <v>0</v>
      </c>
      <c r="P20" s="47"/>
      <c r="Q20" s="47"/>
      <c r="R20" s="52">
        <f t="shared" si="8"/>
        <v>0</v>
      </c>
      <c r="S20" s="47"/>
      <c r="T20" s="47"/>
      <c r="U20" s="52">
        <f t="shared" si="9"/>
        <v>0</v>
      </c>
      <c r="V20" s="47"/>
      <c r="W20" s="47"/>
      <c r="X20" s="52">
        <f t="shared" si="10"/>
        <v>0</v>
      </c>
      <c r="Y20" s="47"/>
      <c r="Z20" s="47"/>
      <c r="AA20" s="47"/>
      <c r="AB20" s="47"/>
      <c r="AC20" s="47"/>
      <c r="AD20" s="47"/>
      <c r="AE20" s="47"/>
      <c r="AF20" s="47"/>
      <c r="AG20" s="86">
        <f t="shared" si="11"/>
        <v>100</v>
      </c>
      <c r="AH20" s="86"/>
      <c r="AI20" s="86">
        <f t="shared" si="1"/>
        <v>100</v>
      </c>
      <c r="AJ20" s="47"/>
    </row>
    <row r="21" spans="1:36">
      <c r="A21" s="281">
        <v>10</v>
      </c>
      <c r="B21" s="247" t="s">
        <v>326</v>
      </c>
      <c r="C21" s="52">
        <f t="shared" si="2"/>
        <v>16789.631999999998</v>
      </c>
      <c r="D21" s="47">
        <f>14094.892</f>
        <v>14094.892</v>
      </c>
      <c r="E21" s="47">
        <f>508+2186.74</f>
        <v>2694.74</v>
      </c>
      <c r="F21" s="52">
        <f t="shared" si="3"/>
        <v>17139.879000000001</v>
      </c>
      <c r="G21" s="52">
        <f t="shared" si="4"/>
        <v>14459.76</v>
      </c>
      <c r="H21" s="52">
        <f t="shared" si="4"/>
        <v>2680.1190000000001</v>
      </c>
      <c r="I21" s="52">
        <f t="shared" si="5"/>
        <v>474.14800000000002</v>
      </c>
      <c r="J21" s="47"/>
      <c r="K21" s="47">
        <f>474.148</f>
        <v>474.14800000000002</v>
      </c>
      <c r="L21" s="52">
        <f t="shared" si="6"/>
        <v>16665.731</v>
      </c>
      <c r="M21" s="47">
        <v>14459.76</v>
      </c>
      <c r="N21" s="47">
        <v>2205.971</v>
      </c>
      <c r="O21" s="52">
        <f t="shared" si="7"/>
        <v>0</v>
      </c>
      <c r="P21" s="47"/>
      <c r="Q21" s="47"/>
      <c r="R21" s="52">
        <f t="shared" si="8"/>
        <v>0</v>
      </c>
      <c r="S21" s="47"/>
      <c r="T21" s="47"/>
      <c r="U21" s="52">
        <f t="shared" si="9"/>
        <v>0</v>
      </c>
      <c r="V21" s="47"/>
      <c r="W21" s="47"/>
      <c r="X21" s="52">
        <f t="shared" si="10"/>
        <v>0</v>
      </c>
      <c r="Y21" s="47"/>
      <c r="Z21" s="47"/>
      <c r="AA21" s="47"/>
      <c r="AB21" s="47"/>
      <c r="AC21" s="47"/>
      <c r="AD21" s="47"/>
      <c r="AE21" s="47"/>
      <c r="AF21" s="47"/>
      <c r="AG21" s="86">
        <f t="shared" si="11"/>
        <v>102.08609098758092</v>
      </c>
      <c r="AH21" s="86">
        <f t="shared" si="11"/>
        <v>102.58865410249329</v>
      </c>
      <c r="AI21" s="86">
        <f t="shared" si="1"/>
        <v>99.457424463955718</v>
      </c>
      <c r="AJ21" s="47"/>
    </row>
    <row r="22" spans="1:36">
      <c r="A22" s="281">
        <v>11</v>
      </c>
      <c r="B22" s="247" t="s">
        <v>327</v>
      </c>
      <c r="C22" s="52">
        <f t="shared" si="2"/>
        <v>11477.421</v>
      </c>
      <c r="D22" s="47">
        <f>9564.391</f>
        <v>9564.3909999999996</v>
      </c>
      <c r="E22" s="47">
        <f>298+1615.03</f>
        <v>1913.03</v>
      </c>
      <c r="F22" s="52">
        <f t="shared" si="3"/>
        <v>11235.338</v>
      </c>
      <c r="G22" s="52">
        <f t="shared" si="4"/>
        <v>9441.6949999999997</v>
      </c>
      <c r="H22" s="52">
        <f t="shared" si="4"/>
        <v>1793.643</v>
      </c>
      <c r="I22" s="52">
        <f t="shared" si="5"/>
        <v>250</v>
      </c>
      <c r="J22" s="47"/>
      <c r="K22" s="47">
        <f>250</f>
        <v>250</v>
      </c>
      <c r="L22" s="52">
        <f t="shared" si="6"/>
        <v>10985.338</v>
      </c>
      <c r="M22" s="47">
        <v>9441.6949999999997</v>
      </c>
      <c r="N22" s="47">
        <v>1543.643</v>
      </c>
      <c r="O22" s="52">
        <f t="shared" si="7"/>
        <v>0</v>
      </c>
      <c r="P22" s="47"/>
      <c r="Q22" s="47"/>
      <c r="R22" s="52">
        <f t="shared" si="8"/>
        <v>0</v>
      </c>
      <c r="S22" s="47"/>
      <c r="T22" s="47"/>
      <c r="U22" s="52">
        <f t="shared" si="9"/>
        <v>0</v>
      </c>
      <c r="V22" s="47"/>
      <c r="W22" s="47"/>
      <c r="X22" s="52">
        <f t="shared" si="10"/>
        <v>0</v>
      </c>
      <c r="Y22" s="47"/>
      <c r="Z22" s="47"/>
      <c r="AA22" s="47"/>
      <c r="AB22" s="47"/>
      <c r="AC22" s="47"/>
      <c r="AD22" s="47"/>
      <c r="AE22" s="47"/>
      <c r="AF22" s="47"/>
      <c r="AG22" s="86">
        <f t="shared" si="11"/>
        <v>97.890789228695184</v>
      </c>
      <c r="AH22" s="86">
        <f t="shared" si="11"/>
        <v>98.71715825921379</v>
      </c>
      <c r="AI22" s="86">
        <f t="shared" si="1"/>
        <v>93.759271940325036</v>
      </c>
      <c r="AJ22" s="47"/>
    </row>
    <row r="23" spans="1:36">
      <c r="A23" s="281">
        <v>12</v>
      </c>
      <c r="B23" s="247" t="s">
        <v>328</v>
      </c>
      <c r="C23" s="52">
        <f t="shared" si="2"/>
        <v>14515.856</v>
      </c>
      <c r="D23" s="47">
        <f>12081.336</f>
        <v>12081.335999999999</v>
      </c>
      <c r="E23" s="47">
        <f>447+1987.52</f>
        <v>2434.52</v>
      </c>
      <c r="F23" s="52">
        <f t="shared" si="3"/>
        <v>18383.662</v>
      </c>
      <c r="G23" s="52">
        <f t="shared" si="4"/>
        <v>16205.785</v>
      </c>
      <c r="H23" s="52">
        <f t="shared" si="4"/>
        <v>2177.877</v>
      </c>
      <c r="I23" s="52">
        <f t="shared" si="5"/>
        <v>363.9</v>
      </c>
      <c r="J23" s="47"/>
      <c r="K23" s="47">
        <v>363.9</v>
      </c>
      <c r="L23" s="52">
        <f t="shared" si="6"/>
        <v>18019.761999999999</v>
      </c>
      <c r="M23" s="47">
        <v>16205.785</v>
      </c>
      <c r="N23" s="47">
        <v>1813.9770000000001</v>
      </c>
      <c r="O23" s="52">
        <f t="shared" si="7"/>
        <v>0</v>
      </c>
      <c r="P23" s="47"/>
      <c r="Q23" s="47"/>
      <c r="R23" s="52">
        <f t="shared" si="8"/>
        <v>0</v>
      </c>
      <c r="S23" s="47"/>
      <c r="T23" s="47"/>
      <c r="U23" s="52">
        <f t="shared" si="9"/>
        <v>0</v>
      </c>
      <c r="V23" s="47"/>
      <c r="W23" s="47"/>
      <c r="X23" s="52">
        <f t="shared" si="10"/>
        <v>0</v>
      </c>
      <c r="Y23" s="47"/>
      <c r="Z23" s="47"/>
      <c r="AA23" s="47"/>
      <c r="AB23" s="47"/>
      <c r="AC23" s="47"/>
      <c r="AD23" s="47"/>
      <c r="AE23" s="47"/>
      <c r="AF23" s="47"/>
      <c r="AG23" s="86">
        <f t="shared" si="11"/>
        <v>126.64538694790028</v>
      </c>
      <c r="AH23" s="86">
        <f t="shared" si="11"/>
        <v>134.13901409579205</v>
      </c>
      <c r="AI23" s="86">
        <f t="shared" si="1"/>
        <v>89.458168345300109</v>
      </c>
      <c r="AJ23" s="47"/>
    </row>
    <row r="24" spans="1:36">
      <c r="A24" s="281">
        <v>13</v>
      </c>
      <c r="B24" s="247" t="s">
        <v>329</v>
      </c>
      <c r="C24" s="52">
        <f t="shared" si="2"/>
        <v>13332.518</v>
      </c>
      <c r="D24" s="47">
        <f>11074.558</f>
        <v>11074.558000000001</v>
      </c>
      <c r="E24" s="47">
        <f>335+1922.96</f>
        <v>2257.96</v>
      </c>
      <c r="F24" s="52">
        <f t="shared" si="3"/>
        <v>14742.663</v>
      </c>
      <c r="G24" s="52">
        <f t="shared" si="4"/>
        <v>12463.112999999999</v>
      </c>
      <c r="H24" s="52">
        <f t="shared" si="4"/>
        <v>2279.5500000000002</v>
      </c>
      <c r="I24" s="52">
        <f t="shared" si="5"/>
        <v>267.37599999999998</v>
      </c>
      <c r="J24" s="47"/>
      <c r="K24" s="47">
        <v>267.37599999999998</v>
      </c>
      <c r="L24" s="52">
        <f t="shared" si="6"/>
        <v>14475.287</v>
      </c>
      <c r="M24" s="47">
        <v>12463.112999999999</v>
      </c>
      <c r="N24" s="47">
        <v>2012.174</v>
      </c>
      <c r="O24" s="52">
        <f t="shared" si="7"/>
        <v>0</v>
      </c>
      <c r="P24" s="47"/>
      <c r="Q24" s="47"/>
      <c r="R24" s="52">
        <f t="shared" si="8"/>
        <v>0</v>
      </c>
      <c r="S24" s="47"/>
      <c r="T24" s="47"/>
      <c r="U24" s="52">
        <f t="shared" si="9"/>
        <v>0</v>
      </c>
      <c r="V24" s="47"/>
      <c r="W24" s="47"/>
      <c r="X24" s="52">
        <f t="shared" si="10"/>
        <v>0</v>
      </c>
      <c r="Y24" s="47"/>
      <c r="Z24" s="47"/>
      <c r="AA24" s="47"/>
      <c r="AB24" s="47"/>
      <c r="AC24" s="47"/>
      <c r="AD24" s="47"/>
      <c r="AE24" s="47"/>
      <c r="AF24" s="47"/>
      <c r="AG24" s="86">
        <f t="shared" si="11"/>
        <v>110.57673426730045</v>
      </c>
      <c r="AH24" s="86">
        <f t="shared" si="11"/>
        <v>112.53824306125806</v>
      </c>
      <c r="AI24" s="86">
        <f t="shared" si="1"/>
        <v>100.95617282857093</v>
      </c>
      <c r="AJ24" s="47"/>
    </row>
    <row r="25" spans="1:36">
      <c r="A25" s="281">
        <v>14</v>
      </c>
      <c r="B25" s="247" t="s">
        <v>330</v>
      </c>
      <c r="C25" s="52">
        <f t="shared" si="2"/>
        <v>7993.777</v>
      </c>
      <c r="D25" s="47">
        <f>6544.057</f>
        <v>6544.0569999999998</v>
      </c>
      <c r="E25" s="47">
        <f>213+1236.72</f>
        <v>1449.72</v>
      </c>
      <c r="F25" s="52">
        <f t="shared" si="3"/>
        <v>7921.3869999999997</v>
      </c>
      <c r="G25" s="52">
        <f t="shared" si="4"/>
        <v>6544.0569999999998</v>
      </c>
      <c r="H25" s="52">
        <f t="shared" si="4"/>
        <v>1377.33</v>
      </c>
      <c r="I25" s="52">
        <f t="shared" si="5"/>
        <v>213</v>
      </c>
      <c r="J25" s="47"/>
      <c r="K25" s="47">
        <v>213</v>
      </c>
      <c r="L25" s="52">
        <f t="shared" si="6"/>
        <v>7708.3869999999997</v>
      </c>
      <c r="M25" s="47">
        <v>6544.0569999999998</v>
      </c>
      <c r="N25" s="47">
        <v>1164.33</v>
      </c>
      <c r="O25" s="52">
        <f t="shared" si="7"/>
        <v>0</v>
      </c>
      <c r="P25" s="47"/>
      <c r="Q25" s="47"/>
      <c r="R25" s="52">
        <f t="shared" si="8"/>
        <v>0</v>
      </c>
      <c r="S25" s="47"/>
      <c r="T25" s="47"/>
      <c r="U25" s="52">
        <f t="shared" si="9"/>
        <v>0</v>
      </c>
      <c r="V25" s="47"/>
      <c r="W25" s="47"/>
      <c r="X25" s="52">
        <f t="shared" si="10"/>
        <v>0</v>
      </c>
      <c r="Y25" s="47"/>
      <c r="Z25" s="47"/>
      <c r="AA25" s="47"/>
      <c r="AB25" s="47"/>
      <c r="AC25" s="47"/>
      <c r="AD25" s="47"/>
      <c r="AE25" s="47"/>
      <c r="AF25" s="47"/>
      <c r="AG25" s="86">
        <f t="shared" si="11"/>
        <v>99.094420572402754</v>
      </c>
      <c r="AH25" s="86">
        <f t="shared" si="11"/>
        <v>100</v>
      </c>
      <c r="AI25" s="86">
        <f t="shared" si="1"/>
        <v>95.006621968380088</v>
      </c>
      <c r="AJ25" s="47"/>
    </row>
    <row r="26" spans="1:36">
      <c r="A26" s="281">
        <v>15</v>
      </c>
      <c r="B26" s="247" t="s">
        <v>331</v>
      </c>
      <c r="C26" s="52">
        <f t="shared" si="2"/>
        <v>12845.115999999998</v>
      </c>
      <c r="D26" s="47">
        <f>2378+7550.835</f>
        <v>9928.8349999999991</v>
      </c>
      <c r="E26" s="47">
        <f>1307+1609.281</f>
        <v>2916.2809999999999</v>
      </c>
      <c r="F26" s="52">
        <f t="shared" si="3"/>
        <v>13296.31</v>
      </c>
      <c r="G26" s="52">
        <f t="shared" si="4"/>
        <v>10988.222</v>
      </c>
      <c r="H26" s="52">
        <f t="shared" si="4"/>
        <v>2308.0879999999997</v>
      </c>
      <c r="I26" s="52">
        <f t="shared" si="5"/>
        <v>4388.2330000000002</v>
      </c>
      <c r="J26" s="47">
        <f>3133.233</f>
        <v>3133.2330000000002</v>
      </c>
      <c r="K26" s="47">
        <v>1255</v>
      </c>
      <c r="L26" s="52">
        <f t="shared" si="6"/>
        <v>8908.0769999999993</v>
      </c>
      <c r="M26" s="47">
        <v>7854.9889999999996</v>
      </c>
      <c r="N26" s="47">
        <v>1053.088</v>
      </c>
      <c r="O26" s="52">
        <f t="shared" si="7"/>
        <v>0</v>
      </c>
      <c r="P26" s="47"/>
      <c r="Q26" s="47"/>
      <c r="R26" s="52">
        <f t="shared" si="8"/>
        <v>0</v>
      </c>
      <c r="S26" s="47"/>
      <c r="T26" s="47"/>
      <c r="U26" s="52">
        <f t="shared" si="9"/>
        <v>0</v>
      </c>
      <c r="V26" s="47"/>
      <c r="W26" s="47"/>
      <c r="X26" s="52">
        <f t="shared" si="10"/>
        <v>0</v>
      </c>
      <c r="Y26" s="47"/>
      <c r="Z26" s="47"/>
      <c r="AA26" s="47"/>
      <c r="AB26" s="47"/>
      <c r="AC26" s="47"/>
      <c r="AD26" s="47"/>
      <c r="AE26" s="47"/>
      <c r="AF26" s="47"/>
      <c r="AG26" s="86">
        <f t="shared" si="11"/>
        <v>103.51257240495144</v>
      </c>
      <c r="AH26" s="86">
        <f t="shared" si="11"/>
        <v>110.66980164339523</v>
      </c>
      <c r="AI26" s="86">
        <f t="shared" si="1"/>
        <v>79.14491093279419</v>
      </c>
      <c r="AJ26" s="47"/>
    </row>
    <row r="27" spans="1:36">
      <c r="A27" s="281">
        <v>16</v>
      </c>
      <c r="B27" s="247" t="s">
        <v>332</v>
      </c>
      <c r="C27" s="52">
        <f t="shared" si="2"/>
        <v>7943.0439999999999</v>
      </c>
      <c r="D27" s="47">
        <f>6544.057</f>
        <v>6544.0569999999998</v>
      </c>
      <c r="E27" s="47">
        <f>224+1174.987</f>
        <v>1398.9870000000001</v>
      </c>
      <c r="F27" s="52">
        <f t="shared" si="3"/>
        <v>8608.732</v>
      </c>
      <c r="G27" s="52">
        <f t="shared" si="4"/>
        <v>7777.4080000000004</v>
      </c>
      <c r="H27" s="52">
        <f t="shared" si="4"/>
        <v>831.32399999999996</v>
      </c>
      <c r="I27" s="52">
        <f t="shared" si="5"/>
        <v>0</v>
      </c>
      <c r="J27" s="47"/>
      <c r="K27" s="47">
        <v>0</v>
      </c>
      <c r="L27" s="52">
        <f t="shared" si="6"/>
        <v>8608.732</v>
      </c>
      <c r="M27" s="47">
        <v>7777.4080000000004</v>
      </c>
      <c r="N27" s="47">
        <v>831.32399999999996</v>
      </c>
      <c r="O27" s="52">
        <f t="shared" si="7"/>
        <v>0</v>
      </c>
      <c r="P27" s="47"/>
      <c r="Q27" s="47"/>
      <c r="R27" s="52">
        <f t="shared" si="8"/>
        <v>0</v>
      </c>
      <c r="S27" s="47"/>
      <c r="T27" s="47"/>
      <c r="U27" s="52">
        <f t="shared" si="9"/>
        <v>0</v>
      </c>
      <c r="V27" s="47"/>
      <c r="W27" s="47"/>
      <c r="X27" s="52">
        <f t="shared" si="10"/>
        <v>0</v>
      </c>
      <c r="Y27" s="47"/>
      <c r="Z27" s="47"/>
      <c r="AA27" s="47"/>
      <c r="AB27" s="47"/>
      <c r="AC27" s="47"/>
      <c r="AD27" s="47"/>
      <c r="AE27" s="47"/>
      <c r="AF27" s="47"/>
      <c r="AG27" s="86">
        <f t="shared" si="11"/>
        <v>108.38076686972904</v>
      </c>
      <c r="AH27" s="86">
        <f t="shared" si="11"/>
        <v>118.84688657204545</v>
      </c>
      <c r="AI27" s="86">
        <f t="shared" si="1"/>
        <v>59.423282703842126</v>
      </c>
      <c r="AJ27" s="47"/>
    </row>
    <row r="28" spans="1:36">
      <c r="A28" s="281">
        <v>17</v>
      </c>
      <c r="B28" s="247" t="s">
        <v>333</v>
      </c>
      <c r="C28" s="52">
        <f t="shared" si="2"/>
        <v>19433.998</v>
      </c>
      <c r="D28" s="47">
        <f>6000+6040.668</f>
        <v>12040.668</v>
      </c>
      <c r="E28" s="47">
        <f>6090+1303.33</f>
        <v>7393.33</v>
      </c>
      <c r="F28" s="52">
        <f t="shared" si="3"/>
        <v>19429.005000000001</v>
      </c>
      <c r="G28" s="52">
        <f t="shared" si="4"/>
        <v>9941.1820000000007</v>
      </c>
      <c r="H28" s="52">
        <f t="shared" si="4"/>
        <v>9487.8230000000003</v>
      </c>
      <c r="I28" s="52">
        <f t="shared" si="5"/>
        <v>13485.361000000001</v>
      </c>
      <c r="J28" s="47">
        <f>4844.039</f>
        <v>4844.0389999999998</v>
      </c>
      <c r="K28" s="47">
        <v>8641.3220000000001</v>
      </c>
      <c r="L28" s="52">
        <f t="shared" si="6"/>
        <v>5943.6440000000002</v>
      </c>
      <c r="M28" s="47">
        <v>5097.143</v>
      </c>
      <c r="N28" s="47">
        <v>846.50099999999998</v>
      </c>
      <c r="O28" s="52">
        <f t="shared" si="7"/>
        <v>0</v>
      </c>
      <c r="P28" s="47"/>
      <c r="Q28" s="47"/>
      <c r="R28" s="52">
        <f t="shared" si="8"/>
        <v>0</v>
      </c>
      <c r="S28" s="47"/>
      <c r="T28" s="47"/>
      <c r="U28" s="52">
        <f t="shared" si="9"/>
        <v>0</v>
      </c>
      <c r="V28" s="47"/>
      <c r="W28" s="47"/>
      <c r="X28" s="52">
        <f t="shared" si="10"/>
        <v>0</v>
      </c>
      <c r="Y28" s="47"/>
      <c r="Z28" s="47"/>
      <c r="AA28" s="47"/>
      <c r="AB28" s="47"/>
      <c r="AC28" s="47"/>
      <c r="AD28" s="47"/>
      <c r="AE28" s="47"/>
      <c r="AF28" s="47"/>
      <c r="AG28" s="86">
        <f t="shared" si="11"/>
        <v>99.974307911321191</v>
      </c>
      <c r="AH28" s="86">
        <f t="shared" si="11"/>
        <v>82.563376051893471</v>
      </c>
      <c r="AI28" s="86">
        <f t="shared" si="1"/>
        <v>128.32949428741853</v>
      </c>
      <c r="AJ28" s="47"/>
    </row>
    <row r="29" spans="1:36">
      <c r="A29" s="281">
        <v>18</v>
      </c>
      <c r="B29" s="247" t="s">
        <v>334</v>
      </c>
      <c r="C29" s="52">
        <f t="shared" si="2"/>
        <v>10605.636</v>
      </c>
      <c r="D29" s="47">
        <f>2622+5537.426</f>
        <v>8159.4260000000004</v>
      </c>
      <c r="E29" s="47">
        <f>856+1590.21</f>
        <v>2446.21</v>
      </c>
      <c r="F29" s="52">
        <f t="shared" si="3"/>
        <v>10649.285</v>
      </c>
      <c r="G29" s="52">
        <f t="shared" si="4"/>
        <v>7807.0720000000001</v>
      </c>
      <c r="H29" s="52">
        <f t="shared" si="4"/>
        <v>2842.2129999999997</v>
      </c>
      <c r="I29" s="52">
        <f t="shared" si="5"/>
        <v>3543.7019999999998</v>
      </c>
      <c r="J29" s="47">
        <f>2516.689</f>
        <v>2516.6889999999999</v>
      </c>
      <c r="K29" s="47">
        <v>1027.0129999999999</v>
      </c>
      <c r="L29" s="52">
        <f t="shared" si="6"/>
        <v>7105.5829999999996</v>
      </c>
      <c r="M29" s="47">
        <v>5290.3829999999998</v>
      </c>
      <c r="N29" s="47">
        <v>1815.2</v>
      </c>
      <c r="O29" s="52">
        <f t="shared" si="7"/>
        <v>0</v>
      </c>
      <c r="P29" s="47"/>
      <c r="Q29" s="47"/>
      <c r="R29" s="52">
        <f t="shared" si="8"/>
        <v>0</v>
      </c>
      <c r="S29" s="47"/>
      <c r="T29" s="47"/>
      <c r="U29" s="52">
        <f t="shared" si="9"/>
        <v>0</v>
      </c>
      <c r="V29" s="47"/>
      <c r="W29" s="47"/>
      <c r="X29" s="52">
        <f t="shared" si="10"/>
        <v>0</v>
      </c>
      <c r="Y29" s="47"/>
      <c r="Z29" s="47"/>
      <c r="AA29" s="47"/>
      <c r="AB29" s="47"/>
      <c r="AC29" s="47"/>
      <c r="AD29" s="47"/>
      <c r="AE29" s="47"/>
      <c r="AF29" s="47"/>
      <c r="AG29" s="86">
        <f t="shared" si="11"/>
        <v>100.41156419096411</v>
      </c>
      <c r="AH29" s="86">
        <f t="shared" si="11"/>
        <v>95.681632506992514</v>
      </c>
      <c r="AI29" s="86">
        <f t="shared" si="1"/>
        <v>116.1884302655945</v>
      </c>
      <c r="AJ29" s="47"/>
    </row>
    <row r="30" spans="1:36">
      <c r="A30" s="281">
        <v>19</v>
      </c>
      <c r="B30" s="247" t="s">
        <v>335</v>
      </c>
      <c r="C30" s="52">
        <f t="shared" si="2"/>
        <v>6994.9179999999997</v>
      </c>
      <c r="D30" s="47">
        <v>6040.6679999999997</v>
      </c>
      <c r="E30" s="47">
        <f>178+776.25</f>
        <v>954.25</v>
      </c>
      <c r="F30" s="52">
        <f t="shared" si="3"/>
        <v>6823.893</v>
      </c>
      <c r="G30" s="52">
        <f t="shared" si="4"/>
        <v>5937.4889999999996</v>
      </c>
      <c r="H30" s="52">
        <f t="shared" si="4"/>
        <v>886.404</v>
      </c>
      <c r="I30" s="52">
        <f t="shared" si="5"/>
        <v>115</v>
      </c>
      <c r="J30" s="47"/>
      <c r="K30" s="47">
        <v>115</v>
      </c>
      <c r="L30" s="52">
        <f t="shared" si="6"/>
        <v>6708.893</v>
      </c>
      <c r="M30" s="47">
        <v>5937.4889999999996</v>
      </c>
      <c r="N30" s="47">
        <v>771.404</v>
      </c>
      <c r="O30" s="52">
        <f t="shared" si="7"/>
        <v>0</v>
      </c>
      <c r="P30" s="47"/>
      <c r="Q30" s="47"/>
      <c r="R30" s="52">
        <f t="shared" si="8"/>
        <v>0</v>
      </c>
      <c r="S30" s="47"/>
      <c r="T30" s="47"/>
      <c r="U30" s="52">
        <f t="shared" si="9"/>
        <v>0</v>
      </c>
      <c r="V30" s="47"/>
      <c r="W30" s="47"/>
      <c r="X30" s="52">
        <f t="shared" si="10"/>
        <v>0</v>
      </c>
      <c r="Y30" s="47"/>
      <c r="Z30" s="47"/>
      <c r="AA30" s="47"/>
      <c r="AB30" s="47"/>
      <c r="AC30" s="47"/>
      <c r="AD30" s="47"/>
      <c r="AE30" s="47"/>
      <c r="AF30" s="47"/>
      <c r="AG30" s="86">
        <f t="shared" si="11"/>
        <v>97.555010652019078</v>
      </c>
      <c r="AH30" s="86">
        <f t="shared" si="11"/>
        <v>98.291927316647758</v>
      </c>
      <c r="AI30" s="86">
        <f t="shared" si="1"/>
        <v>92.890123133350798</v>
      </c>
      <c r="AJ30" s="47"/>
    </row>
    <row r="31" spans="1:36">
      <c r="A31" s="328">
        <v>20</v>
      </c>
      <c r="B31" s="248" t="s">
        <v>336</v>
      </c>
      <c r="C31" s="244">
        <f t="shared" si="2"/>
        <v>4932.402</v>
      </c>
      <c r="D31" s="48">
        <f>4027.112</f>
        <v>4027.1120000000001</v>
      </c>
      <c r="E31" s="48">
        <f>100+805.29</f>
        <v>905.29</v>
      </c>
      <c r="F31" s="244">
        <f t="shared" si="3"/>
        <v>5200.7780000000002</v>
      </c>
      <c r="G31" s="244">
        <f t="shared" si="4"/>
        <v>4085.3389999999999</v>
      </c>
      <c r="H31" s="244">
        <f t="shared" si="4"/>
        <v>1115.4390000000001</v>
      </c>
      <c r="I31" s="244">
        <f t="shared" si="5"/>
        <v>0</v>
      </c>
      <c r="J31" s="48"/>
      <c r="K31" s="48">
        <v>0</v>
      </c>
      <c r="L31" s="244">
        <f t="shared" si="6"/>
        <v>5200.7780000000002</v>
      </c>
      <c r="M31" s="48">
        <v>4085.3389999999999</v>
      </c>
      <c r="N31" s="48">
        <v>1115.4390000000001</v>
      </c>
      <c r="O31" s="244">
        <f t="shared" si="7"/>
        <v>0</v>
      </c>
      <c r="P31" s="48"/>
      <c r="Q31" s="48"/>
      <c r="R31" s="244">
        <f t="shared" si="8"/>
        <v>0</v>
      </c>
      <c r="S31" s="48"/>
      <c r="T31" s="48"/>
      <c r="U31" s="244">
        <f t="shared" si="9"/>
        <v>0</v>
      </c>
      <c r="V31" s="48"/>
      <c r="W31" s="48"/>
      <c r="X31" s="244">
        <f t="shared" si="10"/>
        <v>0</v>
      </c>
      <c r="Y31" s="48"/>
      <c r="Z31" s="48"/>
      <c r="AA31" s="48"/>
      <c r="AB31" s="48"/>
      <c r="AC31" s="48"/>
      <c r="AD31" s="48"/>
      <c r="AE31" s="48"/>
      <c r="AF31" s="48"/>
      <c r="AG31" s="280">
        <f t="shared" si="11"/>
        <v>105.44108124195878</v>
      </c>
      <c r="AH31" s="280">
        <f t="shared" si="11"/>
        <v>101.44587486019758</v>
      </c>
      <c r="AI31" s="280">
        <f t="shared" si="1"/>
        <v>123.2134454152813</v>
      </c>
      <c r="AJ31" s="48"/>
    </row>
    <row r="32" spans="1:36" hidden="1">
      <c r="A32" s="376" t="s">
        <v>278</v>
      </c>
      <c r="B32" s="377"/>
      <c r="C32" s="377"/>
      <c r="D32" s="377"/>
      <c r="E32" s="377"/>
      <c r="F32" s="377"/>
      <c r="G32" s="377"/>
      <c r="H32" s="377"/>
      <c r="I32" s="377"/>
      <c r="J32" s="377"/>
      <c r="K32" s="377"/>
      <c r="L32" s="377"/>
      <c r="M32" s="377"/>
      <c r="N32" s="377"/>
      <c r="O32" s="377"/>
      <c r="P32" s="377"/>
      <c r="Q32" s="377"/>
      <c r="R32" s="377"/>
      <c r="S32" s="377"/>
      <c r="T32" s="377"/>
      <c r="U32" s="377"/>
      <c r="V32" s="377"/>
      <c r="W32" s="377"/>
      <c r="X32" s="377"/>
      <c r="Y32" s="377"/>
      <c r="Z32" s="377"/>
      <c r="AA32" s="377"/>
      <c r="AB32" s="377"/>
      <c r="AC32" s="377"/>
      <c r="AD32" s="377"/>
      <c r="AE32" s="377"/>
      <c r="AF32" s="377"/>
      <c r="AG32" s="376"/>
      <c r="AH32" s="376"/>
      <c r="AI32" s="376"/>
      <c r="AJ32" s="377"/>
    </row>
    <row r="33" spans="1:2">
      <c r="A33" s="49"/>
    </row>
    <row r="40" spans="1:2" hidden="1">
      <c r="B40" s="240">
        <v>190359653560</v>
      </c>
    </row>
    <row r="41" spans="1:2" hidden="1">
      <c r="B41" s="240">
        <v>186888617136</v>
      </c>
    </row>
    <row r="42" spans="1:2" hidden="1">
      <c r="B42" s="240">
        <f>B40-B41</f>
        <v>3471036424</v>
      </c>
    </row>
    <row r="43" spans="1:2" hidden="1">
      <c r="B43" s="240">
        <v>2971036424</v>
      </c>
    </row>
    <row r="44" spans="1:2" hidden="1">
      <c r="B44" s="240">
        <v>500000000</v>
      </c>
    </row>
    <row r="45" spans="1:2" hidden="1">
      <c r="B45" s="240">
        <f>B44+B43</f>
        <v>3471036424</v>
      </c>
    </row>
    <row r="46" spans="1:2" hidden="1">
      <c r="B46" s="240">
        <v>-290376928</v>
      </c>
    </row>
    <row r="47" spans="1:2" hidden="1">
      <c r="B47" s="240">
        <v>-1325106120</v>
      </c>
    </row>
    <row r="48" spans="1:2" hidden="1">
      <c r="B48" s="240">
        <v>-4733874002</v>
      </c>
    </row>
    <row r="49" spans="2:2" hidden="1">
      <c r="B49" s="240">
        <f>B40+B46+B47+B48</f>
        <v>184010296510</v>
      </c>
    </row>
  </sheetData>
  <mergeCells count="56">
    <mergeCell ref="A1:C1"/>
    <mergeCell ref="AG1:AI1"/>
    <mergeCell ref="AG4:AJ4"/>
    <mergeCell ref="A32:AJ32"/>
    <mergeCell ref="AH7:AH9"/>
    <mergeCell ref="AI7:AI9"/>
    <mergeCell ref="E7:E9"/>
    <mergeCell ref="G7:G9"/>
    <mergeCell ref="A5:A9"/>
    <mergeCell ref="H7:H9"/>
    <mergeCell ref="AG6:AG9"/>
    <mergeCell ref="AH6:AI6"/>
    <mergeCell ref="AJ6:AJ9"/>
    <mergeCell ref="K7:K9"/>
    <mergeCell ref="L6:N6"/>
    <mergeCell ref="L7:L9"/>
    <mergeCell ref="A2:AJ2"/>
    <mergeCell ref="A3:AJ3"/>
    <mergeCell ref="I7:I9"/>
    <mergeCell ref="B5:B9"/>
    <mergeCell ref="C5:E5"/>
    <mergeCell ref="F5:AF5"/>
    <mergeCell ref="AG5:AJ5"/>
    <mergeCell ref="C6:C9"/>
    <mergeCell ref="D6:E6"/>
    <mergeCell ref="F6:F9"/>
    <mergeCell ref="G6:H6"/>
    <mergeCell ref="I6:K6"/>
    <mergeCell ref="D7:D9"/>
    <mergeCell ref="J7:J9"/>
    <mergeCell ref="O7:O9"/>
    <mergeCell ref="P7:P9"/>
    <mergeCell ref="M7:M9"/>
    <mergeCell ref="N7:N9"/>
    <mergeCell ref="O6:Q6"/>
    <mergeCell ref="U6:W6"/>
    <mergeCell ref="U7:U9"/>
    <mergeCell ref="V7:V9"/>
    <mergeCell ref="W7:W9"/>
    <mergeCell ref="Q7:Q9"/>
    <mergeCell ref="R6:T6"/>
    <mergeCell ref="R7:R9"/>
    <mergeCell ref="S7:S9"/>
    <mergeCell ref="T7:T9"/>
    <mergeCell ref="AD6:AF6"/>
    <mergeCell ref="AD7:AD9"/>
    <mergeCell ref="AE7:AE9"/>
    <mergeCell ref="AF7:AF9"/>
    <mergeCell ref="X6:Z6"/>
    <mergeCell ref="X7:X9"/>
    <mergeCell ref="Y7:Y9"/>
    <mergeCell ref="Z7:Z9"/>
    <mergeCell ref="AA6:AC6"/>
    <mergeCell ref="AA7:AA9"/>
    <mergeCell ref="AB7:AB9"/>
    <mergeCell ref="AC7:AC9"/>
  </mergeCells>
  <pageMargins left="0" right="0" top="0.25" bottom="0.25" header="0.3" footer="0.3"/>
  <pageSetup paperSize="9" scale="75"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5693DE3-0C4E-4BF8-9D41-71DEE9CE1B03}"/>
</file>

<file path=customXml/itemProps2.xml><?xml version="1.0" encoding="utf-8"?>
<ds:datastoreItem xmlns:ds="http://schemas.openxmlformats.org/officeDocument/2006/customXml" ds:itemID="{A2B920FB-A268-4D71-8710-ACF6C8FFB3E2}"/>
</file>

<file path=customXml/itemProps3.xml><?xml version="1.0" encoding="utf-8"?>
<ds:datastoreItem xmlns:ds="http://schemas.openxmlformats.org/officeDocument/2006/customXml" ds:itemID="{BC5A68A1-48A3-4E6A-BA34-D2E20B5C63B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34</vt:i4>
      </vt:variant>
    </vt:vector>
  </HeadingPairs>
  <TitlesOfParts>
    <vt:vector size="50" baseType="lpstr">
      <vt:lpstr>62</vt:lpstr>
      <vt:lpstr>63</vt:lpstr>
      <vt:lpstr>51</vt:lpstr>
      <vt:lpstr>64</vt:lpstr>
      <vt:lpstr>65</vt:lpstr>
      <vt:lpstr>66</vt:lpstr>
      <vt:lpstr>58</vt:lpstr>
      <vt:lpstr>67</vt:lpstr>
      <vt:lpstr>68</vt:lpstr>
      <vt:lpstr>49</vt:lpstr>
      <vt:lpstr>55(DT)</vt:lpstr>
      <vt:lpstr>56</vt:lpstr>
      <vt:lpstr>57</vt:lpstr>
      <vt:lpstr>60</vt:lpstr>
      <vt:lpstr>Sheet1</vt:lpstr>
      <vt:lpstr>Sheet2</vt:lpstr>
      <vt:lpstr>'62'!chuong_phuluc_48</vt:lpstr>
      <vt:lpstr>'62'!chuong_phuluc_48_name</vt:lpstr>
      <vt:lpstr>'62'!chuong_phuluc_49</vt:lpstr>
      <vt:lpstr>'62'!chuong_phuluc_49_name</vt:lpstr>
      <vt:lpstr>'62'!chuong_phuluc_50</vt:lpstr>
      <vt:lpstr>'62'!chuong_phuluc_50_name</vt:lpstr>
      <vt:lpstr>'62'!chuong_phuluc_51</vt:lpstr>
      <vt:lpstr>'62'!chuong_phuluc_51_name</vt:lpstr>
      <vt:lpstr>'62'!chuong_phuluc_52</vt:lpstr>
      <vt:lpstr>'62'!chuong_phuluc_52_name</vt:lpstr>
      <vt:lpstr>'62'!chuong_phuluc_53</vt:lpstr>
      <vt:lpstr>'62'!chuong_phuluc_53_name</vt:lpstr>
      <vt:lpstr>'62'!chuong_phuluc_54</vt:lpstr>
      <vt:lpstr>'62'!chuong_phuluc_54_name</vt:lpstr>
      <vt:lpstr>'62'!chuong_phuluc_55</vt:lpstr>
      <vt:lpstr>'62'!chuong_phuluc_55_name</vt:lpstr>
      <vt:lpstr>'62'!chuong_phuluc_56</vt:lpstr>
      <vt:lpstr>'62'!chuong_phuluc_56_name</vt:lpstr>
      <vt:lpstr>'62'!chuong_phuluc_57</vt:lpstr>
      <vt:lpstr>'62'!chuong_phuluc_57_name</vt:lpstr>
      <vt:lpstr>'62'!chuong_phuluc_58</vt:lpstr>
      <vt:lpstr>'62'!chuong_phuluc_58_name</vt:lpstr>
      <vt:lpstr>'62'!chuong_phuluc_59</vt:lpstr>
      <vt:lpstr>'62'!chuong_phuluc_59_name</vt:lpstr>
      <vt:lpstr>'62'!chuong_phuluc_60</vt:lpstr>
      <vt:lpstr>'62'!chuong_phuluc_60_name</vt:lpstr>
      <vt:lpstr>'62'!chuong_phuluc_61</vt:lpstr>
      <vt:lpstr>'62'!chuong_phuluc_61_name</vt:lpstr>
      <vt:lpstr>'51'!Print_Titles</vt:lpstr>
      <vt:lpstr>'62'!Print_Titles</vt:lpstr>
      <vt:lpstr>'63'!Print_Titles</vt:lpstr>
      <vt:lpstr>'64'!Print_Titles</vt:lpstr>
      <vt:lpstr>'65'!Print_Titles</vt:lpstr>
      <vt:lpstr>'66'!Print_Titles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nguyenhoangbup</cp:lastModifiedBy>
  <cp:lastPrinted>2020-01-05T12:48:41Z</cp:lastPrinted>
  <dcterms:created xsi:type="dcterms:W3CDTF">2017-05-31T02:55:57Z</dcterms:created>
  <dcterms:modified xsi:type="dcterms:W3CDTF">2020-06-24T11:49:39Z</dcterms:modified>
</cp:coreProperties>
</file>